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tables/table6.xml" ContentType="application/vnd.openxmlformats-officedocument.spreadsheetml.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5.xml" ContentType="application/vnd.openxmlformats-officedocument.drawing+xml"/>
  <Override PartName="/xl/pivotTables/pivotTable12.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0.xml" ContentType="application/vnd.openxmlformats-officedocument.drawing+xml"/>
  <Override PartName="/xl/tables/table9.xml" ContentType="application/vnd.openxmlformats-officedocument.spreadsheetml.table+xml"/>
  <Override PartName="/xl/comments3.xml" ContentType="application/vnd.openxmlformats-officedocument.spreadsheetml.comments+xml"/>
  <Override PartName="/xl/drawings/drawing11.xml" ContentType="application/vnd.openxmlformats-officedocument.drawing+xml"/>
  <Override PartName="/xl/tables/table10.xml" ContentType="application/vnd.openxmlformats-officedocument.spreadsheetml.table+xml"/>
  <Override PartName="/xl/comments4.xml" ContentType="application/vnd.openxmlformats-officedocument.spreadsheetml.comments+xml"/>
  <Override PartName="/xl/pivotTables/pivotTable19.xml" ContentType="application/vnd.openxmlformats-officedocument.spreadsheetml.pivotTable+xml"/>
  <Override PartName="/xl/tables/table11.xml" ContentType="application/vnd.openxmlformats-officedocument.spreadsheetml.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2.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BHARDWAD\Desktop\Deepika Backup\CAR\April 2019\"/>
    </mc:Choice>
  </mc:AlternateContent>
  <bookViews>
    <workbookView xWindow="0" yWindow="0" windowWidth="28800" windowHeight="12432"/>
  </bookViews>
  <sheets>
    <sheet name="IDP locations" sheetId="14" r:id="rId1"/>
    <sheet name="DistanceToCamp" sheetId="90" state="hidden" r:id="rId2"/>
    <sheet name="Definition" sheetId="49" state="hidden" r:id="rId3"/>
    <sheet name="Graphs" sheetId="92" state="hidden" r:id="rId4"/>
    <sheet name="IDP location Analysis" sheetId="33" r:id="rId5"/>
    <sheet name="CCCM Dashboard" sheetId="94" r:id="rId6"/>
    <sheet name="Map" sheetId="66" state="hidden" r:id="rId7"/>
    <sheet name="ForGIS" sheetId="87" state="hidden" r:id="rId8"/>
    <sheet name="Shelter Cross Check" sheetId="88" state="hidden" r:id="rId9"/>
    <sheet name="IDP locations (printable)" sheetId="91" r:id="rId10"/>
    <sheet name="Relocation" sheetId="98" r:id="rId11"/>
    <sheet name="Shelter Gap Analysis" sheetId="19" r:id="rId12"/>
    <sheet name="Define_TCL" sheetId="69" state="hidden" r:id="rId13"/>
    <sheet name="Shelter Coverage Camp" sheetId="84" state="hidden" r:id="rId14"/>
    <sheet name="Shelter Solution" sheetId="99" r:id="rId15"/>
    <sheet name="Shelter overview" sheetId="62" r:id="rId16"/>
    <sheet name="NFI Stock and Pipeline" sheetId="95" r:id="rId17"/>
    <sheet name="NFI Distributions" sheetId="20" r:id="rId18"/>
    <sheet name="Winter Item" sheetId="86" state="hidden" r:id="rId19"/>
    <sheet name="NFI Summary" sheetId="43" r:id="rId20"/>
    <sheet name="data" sheetId="96" state="hidden" r:id="rId21"/>
  </sheets>
  <externalReferences>
    <externalReference r:id="rId22"/>
  </externalReferences>
  <definedNames>
    <definedName name="_xlnm._FilterDatabase" localSheetId="20" hidden="1">data!$A$1:$J$171</definedName>
    <definedName name="_xlnm._FilterDatabase" localSheetId="0" hidden="1">'IDP locations'!$AH$4:$AI$4</definedName>
    <definedName name="_xlnm._FilterDatabase" localSheetId="17" hidden="1">'NFI Distributions'!#REF!</definedName>
    <definedName name="_xlnm._FilterDatabase" localSheetId="16" hidden="1">'NFI Stock and Pipeline'!$B$1:$BX$3</definedName>
    <definedName name="_xlnm._FilterDatabase" localSheetId="11" hidden="1">'Shelter Gap Analysis'!$A$4:$AJ$184</definedName>
    <definedName name="AllData_Camplist" localSheetId="6">CampList[#All]</definedName>
    <definedName name="AllData_Camplist" localSheetId="15">CampList[#All]</definedName>
    <definedName name="AllData_Camplist">CampList[#All]</definedName>
    <definedName name="Camp_Accessibility">Definition!$Q$2:$Q$4</definedName>
    <definedName name="Camp_List">CampList[#All]</definedName>
    <definedName name="Camp_Status">"Open, Close"</definedName>
    <definedName name="Camplist_HH">'IDP locations'!$R:$R</definedName>
    <definedName name="Camplist_Popl">'IDP locations'!$S:$S</definedName>
    <definedName name="CampList_Status">'IDP locations'!$B:$B</definedName>
    <definedName name="Camplist_Township">'IDP locations'!$G:$G</definedName>
    <definedName name="Camplist_Type_Of_Acc">'IDP locations'!$W:$W</definedName>
    <definedName name="CL">Define_TCL!$G$4:$K$1000</definedName>
    <definedName name="Kachin">Definition!$L$2:$L$24</definedName>
    <definedName name="Kashin">CampList[#All]</definedName>
    <definedName name="Kyauk_Phyu_G" localSheetId="6">Map!$P$46</definedName>
    <definedName name="Location">"Camp_G,Cluster_G"</definedName>
    <definedName name="NameTSPOP">Define_TCL!$M$4:$Q$2320</definedName>
    <definedName name="NFI">Definition!$A$2:$F$16</definedName>
    <definedName name="NFI_Blanket_Track">'NFI Distributions'!$AG:$AG</definedName>
    <definedName name="NFI_Clothes_Track">'NFI Distributions'!$AI:$AI</definedName>
    <definedName name="NFI_Core_Track">'NFI Distributions'!$AC:$AC</definedName>
    <definedName name="NFI_Expiration">'NFI Distributions'!#REF!</definedName>
    <definedName name="NFI_Hygiene_Track">'NFI Distributions'!$AB:$AB</definedName>
    <definedName name="NFI_Kitchen_Track">'NFI Distributions'!$AH:$AH</definedName>
    <definedName name="NFI_Monitor_Date">Definition!$B$24</definedName>
    <definedName name="NFI_Month">'NFI Distributions'!$B:$B</definedName>
    <definedName name="NFI_Mosquito_Track">'NFI Distributions'!$AE:$AE</definedName>
    <definedName name="NFI_Org">'NFI Distributions'!$E:$E</definedName>
    <definedName name="NFI_Plastic_Bucket_Track">'NFI Distributions'!$AJ:$AJ</definedName>
    <definedName name="NFI_Plastic_Mat_Track">'NFI Distributions'!$AK:$AK</definedName>
    <definedName name="NFI_Sanitary_Track">'NFI Distributions'!$AD:$AD</definedName>
    <definedName name="NFI_State">'NFI Distributions'!$G:$G</definedName>
    <definedName name="NFI_Tarpaulin_Track">'NFI Distributions'!$AF:$AF</definedName>
    <definedName name="NFI_Township">'NFI Distributions'!$H:$H</definedName>
    <definedName name="NFI_Winter_Blanket_Track">'NFI Distributions'!$AO:$AO</definedName>
    <definedName name="NFI_Winter_Clothes_Adult_Track">'NFI Distributions'!$AL:$AL</definedName>
    <definedName name="NFI_Winter_Clothes_Children_Track">'NFI Distributions'!$AM:$AM</definedName>
    <definedName name="NFI_Winter_Items_Other_Track">'NFI Distributions'!$AN:$AN</definedName>
    <definedName name="Pcode_Priority">Table10[[Pcode]:[Priority]]</definedName>
    <definedName name="_xlnm.Print_Area" localSheetId="5">'CCCM Dashboard'!$A$2:$S$51</definedName>
    <definedName name="_xlnm.Print_Area" localSheetId="4">'IDP location Analysis'!$B$2:$L$80</definedName>
    <definedName name="_xlnm.Print_Area" localSheetId="0">'IDP locations'!$M$4:$S$105</definedName>
    <definedName name="_xlnm.Print_Area" localSheetId="6">Map!$A:$O</definedName>
    <definedName name="_xlnm.Print_Area" localSheetId="17">'NFI Distributions'!$B$5:$R$5</definedName>
    <definedName name="_xlnm.Print_Area" localSheetId="19">'NFI Summary'!$B$2:$T$58</definedName>
    <definedName name="_xlnm.Print_Area" localSheetId="15">'Shelter overview'!$A$2:$O$45</definedName>
    <definedName name="_xlnm.Print_Titles" localSheetId="9">'IDP locations (printable)'!$8:$8</definedName>
    <definedName name="_xlnm.Print_Titles" localSheetId="8">'Shelter Cross Check'!$3:$3</definedName>
    <definedName name="PriorityCampWin">Table10[[Pcode]:[Priority]]</definedName>
    <definedName name="Rakhine_DB" localSheetId="6">Map!$T$2:$AD$25</definedName>
    <definedName name="Report_Date">Definition!$B$23</definedName>
    <definedName name="Shan_North">Definition!$N$2:$N$8</definedName>
    <definedName name="Shelter_Draw_Ratio">'Shelter overview'!#REF!</definedName>
    <definedName name="Shelter_Gap">'IDP locations'!#REF!</definedName>
    <definedName name="Shelter_HH_Covered">'Shelter Gap Analysis'!#REF!</definedName>
    <definedName name="Shelter_HH_Covered_1">'Shelter Gap Analysis'!#REF!</definedName>
    <definedName name="Shelter_HH_Covered_old">'Shelter Gap Analysis'!#REF!</definedName>
    <definedName name="Shelter_possible">'IDP locations'!#REF!</definedName>
    <definedName name="Stat01">'IDP location Analysis'!$B$57</definedName>
    <definedName name="State">Definition!$J$2:$J$4</definedName>
    <definedName name="TCL_C">Define_TCL!$B$4:$B$1000</definedName>
    <definedName name="TCL_T">Define_TCL!$A$4:$A$1000</definedName>
    <definedName name="TCL_T1">Define_TCL!$A$4</definedName>
    <definedName name="WinAccomo">Define_TCL!$U$4:$V$233</definedName>
  </definedNames>
  <calcPr calcId="152511"/>
  <pivotCaches>
    <pivotCache cacheId="0" r:id="rId23"/>
    <pivotCache cacheId="1" r:id="rId24"/>
    <pivotCache cacheId="2" r:id="rId25"/>
    <pivotCache cacheId="10" r:id="rId26"/>
    <pivotCache cacheId="24" r:id="rId27"/>
  </pivotCaches>
</workbook>
</file>

<file path=xl/calcChain.xml><?xml version="1.0" encoding="utf-8"?>
<calcChain xmlns="http://schemas.openxmlformats.org/spreadsheetml/2006/main">
  <c r="T309" i="14" l="1"/>
  <c r="AE309" i="14"/>
  <c r="AF309" i="14" s="1"/>
  <c r="BH11" i="95" l="1"/>
  <c r="BG11" i="95"/>
  <c r="BF11" i="95"/>
  <c r="AJ25" i="66" l="1"/>
  <c r="AJ24" i="66"/>
  <c r="AJ23" i="66"/>
  <c r="AJ21" i="66"/>
  <c r="AJ19" i="66"/>
  <c r="AJ20" i="66"/>
  <c r="AJ17" i="66"/>
  <c r="AJ15" i="66"/>
  <c r="AJ14" i="66"/>
  <c r="AJ13" i="66"/>
  <c r="AJ12" i="66"/>
  <c r="AJ11" i="66"/>
  <c r="AJ10" i="66"/>
  <c r="AJ9" i="66"/>
  <c r="AJ8" i="66"/>
  <c r="AJ7" i="66"/>
  <c r="AJ6" i="66"/>
  <c r="AJ5" i="66"/>
  <c r="AJ4" i="66"/>
  <c r="AJ3" i="66"/>
  <c r="AJ16" i="66"/>
  <c r="AJ18" i="66"/>
  <c r="AJ22" i="66"/>
  <c r="C610" i="20"/>
  <c r="AC610" i="20"/>
  <c r="AD610" i="20"/>
  <c r="AE610" i="20"/>
  <c r="AF610" i="20"/>
  <c r="AG610" i="20"/>
  <c r="AH610" i="20"/>
  <c r="AI610" i="20"/>
  <c r="AJ610" i="20"/>
  <c r="AK610" i="20"/>
  <c r="AL610" i="20"/>
  <c r="AP610" i="20"/>
  <c r="AX610" i="20"/>
  <c r="C611" i="20"/>
  <c r="AC611" i="20"/>
  <c r="AD611" i="20"/>
  <c r="AE611" i="20"/>
  <c r="AF611" i="20"/>
  <c r="AG611" i="20"/>
  <c r="AH611" i="20"/>
  <c r="AI611" i="20"/>
  <c r="AJ611" i="20"/>
  <c r="AK611" i="20"/>
  <c r="AL611" i="20"/>
  <c r="AP611" i="20"/>
  <c r="AX611" i="20"/>
  <c r="C606" i="20" l="1"/>
  <c r="AC606" i="20"/>
  <c r="AD606" i="20"/>
  <c r="AE606" i="20"/>
  <c r="AF606" i="20"/>
  <c r="AG606" i="20"/>
  <c r="AH606" i="20"/>
  <c r="AI606" i="20"/>
  <c r="AJ606" i="20"/>
  <c r="AK606" i="20"/>
  <c r="AL606" i="20"/>
  <c r="AP606" i="20"/>
  <c r="AX606" i="20"/>
  <c r="C601" i="20" l="1"/>
  <c r="AC601" i="20"/>
  <c r="AD601" i="20"/>
  <c r="AE601" i="20"/>
  <c r="AF601" i="20"/>
  <c r="AG601" i="20"/>
  <c r="AH601" i="20"/>
  <c r="AI601" i="20"/>
  <c r="AJ601" i="20"/>
  <c r="AK601" i="20"/>
  <c r="AL601" i="20"/>
  <c r="AP601" i="20"/>
  <c r="AX601" i="20"/>
  <c r="C602" i="20"/>
  <c r="AC602" i="20"/>
  <c r="AD602" i="20"/>
  <c r="AE602" i="20"/>
  <c r="AF602" i="20"/>
  <c r="AG602" i="20"/>
  <c r="AH602" i="20"/>
  <c r="AI602" i="20"/>
  <c r="AJ602" i="20"/>
  <c r="AK602" i="20"/>
  <c r="AL602" i="20"/>
  <c r="AP602" i="20"/>
  <c r="AX602" i="20"/>
  <c r="C605" i="20" l="1"/>
  <c r="AC605" i="20"/>
  <c r="AD605" i="20"/>
  <c r="AE605" i="20"/>
  <c r="AF605" i="20"/>
  <c r="AG605" i="20"/>
  <c r="AH605" i="20"/>
  <c r="AI605" i="20"/>
  <c r="AJ605" i="20"/>
  <c r="AK605" i="20"/>
  <c r="AL605" i="20"/>
  <c r="AP605" i="20"/>
  <c r="AX605" i="20"/>
  <c r="C604" i="20"/>
  <c r="AC604" i="20"/>
  <c r="AD604" i="20"/>
  <c r="AE604" i="20"/>
  <c r="AF604" i="20"/>
  <c r="AG604" i="20"/>
  <c r="AH604" i="20"/>
  <c r="AI604" i="20"/>
  <c r="AJ604" i="20"/>
  <c r="AK604" i="20"/>
  <c r="AL604" i="20"/>
  <c r="AP604" i="20"/>
  <c r="AX604" i="20"/>
  <c r="C609" i="20"/>
  <c r="AC609" i="20"/>
  <c r="AD609" i="20"/>
  <c r="AE609" i="20"/>
  <c r="AF609" i="20"/>
  <c r="AG609" i="20"/>
  <c r="AH609" i="20"/>
  <c r="AI609" i="20"/>
  <c r="AJ609" i="20"/>
  <c r="AK609" i="20"/>
  <c r="AL609" i="20"/>
  <c r="AP609" i="20"/>
  <c r="AX609" i="20"/>
  <c r="C600" i="20"/>
  <c r="AC600" i="20"/>
  <c r="AD600" i="20"/>
  <c r="AE600" i="20"/>
  <c r="AF600" i="20"/>
  <c r="AG600" i="20"/>
  <c r="AH600" i="20"/>
  <c r="AI600" i="20"/>
  <c r="AJ600" i="20"/>
  <c r="AK600" i="20"/>
  <c r="AL600" i="20"/>
  <c r="AP600" i="20"/>
  <c r="AX600" i="20"/>
  <c r="C603" i="20" l="1"/>
  <c r="AC603" i="20"/>
  <c r="AD603" i="20"/>
  <c r="AE603" i="20"/>
  <c r="AF603" i="20"/>
  <c r="AG603" i="20"/>
  <c r="AH603" i="20"/>
  <c r="AI603" i="20"/>
  <c r="AJ603" i="20"/>
  <c r="AK603" i="20"/>
  <c r="AL603" i="20"/>
  <c r="AP603" i="20"/>
  <c r="AX603" i="20"/>
  <c r="C607" i="20" l="1"/>
  <c r="AC607" i="20"/>
  <c r="AD607" i="20"/>
  <c r="AE607" i="20"/>
  <c r="AF607" i="20"/>
  <c r="AG607" i="20"/>
  <c r="AH607" i="20"/>
  <c r="AI607" i="20"/>
  <c r="AJ607" i="20"/>
  <c r="AK607" i="20"/>
  <c r="AL607" i="20"/>
  <c r="AP607" i="20"/>
  <c r="AX607" i="20"/>
  <c r="C608" i="20"/>
  <c r="AC608" i="20"/>
  <c r="AD608" i="20"/>
  <c r="AE608" i="20"/>
  <c r="AF608" i="20"/>
  <c r="AG608" i="20"/>
  <c r="AH608" i="20"/>
  <c r="AI608" i="20"/>
  <c r="AJ608" i="20"/>
  <c r="AK608" i="20"/>
  <c r="AL608" i="20"/>
  <c r="AP608" i="20"/>
  <c r="AX608" i="20"/>
  <c r="C597" i="20" l="1"/>
  <c r="AC597" i="20"/>
  <c r="AD597" i="20"/>
  <c r="AE597" i="20"/>
  <c r="AF597" i="20"/>
  <c r="AG597" i="20"/>
  <c r="AH597" i="20"/>
  <c r="AI597" i="20"/>
  <c r="AJ597" i="20"/>
  <c r="AK597" i="20"/>
  <c r="AL597" i="20"/>
  <c r="AP597" i="20"/>
  <c r="AX597" i="20"/>
  <c r="C596" i="20"/>
  <c r="AC596" i="20"/>
  <c r="AD596" i="20"/>
  <c r="AE596" i="20"/>
  <c r="AF596" i="20"/>
  <c r="AG596" i="20"/>
  <c r="AH596" i="20"/>
  <c r="AI596" i="20"/>
  <c r="AJ596" i="20"/>
  <c r="AK596" i="20"/>
  <c r="AL596" i="20"/>
  <c r="AP596" i="20"/>
  <c r="AX596" i="20"/>
  <c r="C595" i="20"/>
  <c r="AC595" i="20"/>
  <c r="AD595" i="20"/>
  <c r="AE595" i="20"/>
  <c r="AF595" i="20"/>
  <c r="AG595" i="20"/>
  <c r="AH595" i="20"/>
  <c r="AI595" i="20"/>
  <c r="AJ595" i="20"/>
  <c r="AK595" i="20"/>
  <c r="AL595" i="20"/>
  <c r="AP595" i="20"/>
  <c r="AX595" i="20"/>
  <c r="C594" i="20"/>
  <c r="AC594" i="20"/>
  <c r="AD594" i="20"/>
  <c r="AE594" i="20"/>
  <c r="AF594" i="20"/>
  <c r="AG594" i="20"/>
  <c r="AH594" i="20"/>
  <c r="AI594" i="20"/>
  <c r="AJ594" i="20"/>
  <c r="AK594" i="20"/>
  <c r="AL594" i="20"/>
  <c r="AP594" i="20"/>
  <c r="AX594" i="20"/>
  <c r="C588" i="20"/>
  <c r="AC588" i="20"/>
  <c r="AD588" i="20"/>
  <c r="AE588" i="20"/>
  <c r="AF588" i="20"/>
  <c r="AG588" i="20"/>
  <c r="AH588" i="20"/>
  <c r="AI588" i="20"/>
  <c r="AJ588" i="20"/>
  <c r="AK588" i="20"/>
  <c r="AL588" i="20"/>
  <c r="AP588" i="20"/>
  <c r="AX588" i="20"/>
  <c r="C587" i="20"/>
  <c r="AC587" i="20"/>
  <c r="AD587" i="20"/>
  <c r="AE587" i="20"/>
  <c r="AF587" i="20"/>
  <c r="AG587" i="20"/>
  <c r="AH587" i="20"/>
  <c r="AI587" i="20"/>
  <c r="AJ587" i="20"/>
  <c r="AK587" i="20"/>
  <c r="AL587" i="20"/>
  <c r="AP587" i="20"/>
  <c r="AX587" i="20"/>
  <c r="C586" i="20"/>
  <c r="AC586" i="20"/>
  <c r="AD586" i="20"/>
  <c r="AE586" i="20"/>
  <c r="AF586" i="20"/>
  <c r="AG586" i="20"/>
  <c r="AH586" i="20"/>
  <c r="AI586" i="20"/>
  <c r="AJ586" i="20"/>
  <c r="AK586" i="20"/>
  <c r="AL586" i="20"/>
  <c r="AP586" i="20"/>
  <c r="AX586" i="20"/>
  <c r="C585" i="20"/>
  <c r="AC585" i="20"/>
  <c r="AD585" i="20"/>
  <c r="AE585" i="20"/>
  <c r="AF585" i="20"/>
  <c r="AG585" i="20"/>
  <c r="AH585" i="20"/>
  <c r="AI585" i="20"/>
  <c r="AJ585" i="20"/>
  <c r="AK585" i="20"/>
  <c r="AL585" i="20"/>
  <c r="AP585" i="20"/>
  <c r="AX585" i="20"/>
  <c r="C584" i="20"/>
  <c r="AC584" i="20"/>
  <c r="AD584" i="20"/>
  <c r="AE584" i="20"/>
  <c r="AF584" i="20"/>
  <c r="AG584" i="20"/>
  <c r="AH584" i="20"/>
  <c r="AI584" i="20"/>
  <c r="AJ584" i="20"/>
  <c r="AK584" i="20"/>
  <c r="AL584" i="20"/>
  <c r="AP584" i="20"/>
  <c r="AX584" i="20"/>
  <c r="C583" i="20"/>
  <c r="AC583" i="20"/>
  <c r="AD583" i="20"/>
  <c r="AE583" i="20"/>
  <c r="AF583" i="20"/>
  <c r="AG583" i="20"/>
  <c r="AH583" i="20"/>
  <c r="AI583" i="20"/>
  <c r="AJ583" i="20"/>
  <c r="AK583" i="20"/>
  <c r="AL583" i="20"/>
  <c r="AP583" i="20"/>
  <c r="AX583" i="20"/>
  <c r="C577" i="20"/>
  <c r="AC577" i="20"/>
  <c r="AD577" i="20"/>
  <c r="AE577" i="20"/>
  <c r="AF577" i="20"/>
  <c r="AG577" i="20"/>
  <c r="AH577" i="20"/>
  <c r="AI577" i="20"/>
  <c r="AJ577" i="20"/>
  <c r="AK577" i="20"/>
  <c r="AL577" i="20"/>
  <c r="AP577" i="20"/>
  <c r="AX577" i="20"/>
  <c r="C576" i="20"/>
  <c r="AC576" i="20"/>
  <c r="AD576" i="20"/>
  <c r="AE576" i="20"/>
  <c r="AF576" i="20"/>
  <c r="AG576" i="20"/>
  <c r="AH576" i="20"/>
  <c r="AI576" i="20"/>
  <c r="AJ576" i="20"/>
  <c r="AK576" i="20"/>
  <c r="AL576" i="20"/>
  <c r="AP576" i="20"/>
  <c r="AX576" i="20"/>
  <c r="C575" i="20"/>
  <c r="AC575" i="20"/>
  <c r="AD575" i="20"/>
  <c r="AE575" i="20"/>
  <c r="AF575" i="20"/>
  <c r="AG575" i="20"/>
  <c r="AH575" i="20"/>
  <c r="AI575" i="20"/>
  <c r="AJ575" i="20"/>
  <c r="AK575" i="20"/>
  <c r="AL575" i="20"/>
  <c r="AP575" i="20"/>
  <c r="AX575" i="20"/>
  <c r="C574" i="20"/>
  <c r="AC574" i="20"/>
  <c r="AD574" i="20"/>
  <c r="AE574" i="20"/>
  <c r="AF574" i="20"/>
  <c r="AG574" i="20"/>
  <c r="AH574" i="20"/>
  <c r="AI574" i="20"/>
  <c r="AJ574" i="20"/>
  <c r="AK574" i="20"/>
  <c r="AL574" i="20"/>
  <c r="AP574" i="20"/>
  <c r="AX574" i="20"/>
  <c r="C573" i="20"/>
  <c r="AC573" i="20"/>
  <c r="AD573" i="20"/>
  <c r="AE573" i="20"/>
  <c r="AF573" i="20"/>
  <c r="AG573" i="20"/>
  <c r="AH573" i="20"/>
  <c r="AI573" i="20"/>
  <c r="AJ573" i="20"/>
  <c r="AK573" i="20"/>
  <c r="AL573" i="20"/>
  <c r="AP573" i="20"/>
  <c r="AX573" i="20"/>
  <c r="C572" i="20"/>
  <c r="AC572" i="20"/>
  <c r="AD572" i="20"/>
  <c r="AE572" i="20"/>
  <c r="AF572" i="20"/>
  <c r="AG572" i="20"/>
  <c r="AH572" i="20"/>
  <c r="AI572" i="20"/>
  <c r="AJ572" i="20"/>
  <c r="AK572" i="20"/>
  <c r="AL572" i="20"/>
  <c r="AP572" i="20"/>
  <c r="AX572" i="20"/>
  <c r="C571" i="20"/>
  <c r="AC571" i="20"/>
  <c r="AD571" i="20"/>
  <c r="AE571" i="20"/>
  <c r="AF571" i="20"/>
  <c r="AG571" i="20"/>
  <c r="AH571" i="20"/>
  <c r="AI571" i="20"/>
  <c r="AJ571" i="20"/>
  <c r="AK571" i="20"/>
  <c r="AL571" i="20"/>
  <c r="AP571" i="20"/>
  <c r="AX571" i="20"/>
  <c r="C570" i="20"/>
  <c r="AC570" i="20"/>
  <c r="AD570" i="20"/>
  <c r="AE570" i="20"/>
  <c r="AF570" i="20"/>
  <c r="AG570" i="20"/>
  <c r="AH570" i="20"/>
  <c r="AI570" i="20"/>
  <c r="AJ570" i="20"/>
  <c r="AK570" i="20"/>
  <c r="AL570" i="20"/>
  <c r="AP570" i="20"/>
  <c r="AX570" i="20"/>
  <c r="C569" i="20"/>
  <c r="AC569" i="20"/>
  <c r="AD569" i="20"/>
  <c r="AE569" i="20"/>
  <c r="AF569" i="20"/>
  <c r="AG569" i="20"/>
  <c r="AH569" i="20"/>
  <c r="AI569" i="20"/>
  <c r="AJ569" i="20"/>
  <c r="AK569" i="20"/>
  <c r="AL569" i="20"/>
  <c r="AP569" i="20"/>
  <c r="AX569" i="20"/>
  <c r="C561" i="20"/>
  <c r="AC561" i="20"/>
  <c r="AD561" i="20"/>
  <c r="AE561" i="20"/>
  <c r="AF561" i="20"/>
  <c r="AG561" i="20"/>
  <c r="AH561" i="20"/>
  <c r="AI561" i="20"/>
  <c r="AJ561" i="20"/>
  <c r="AK561" i="20"/>
  <c r="AL561" i="20"/>
  <c r="AP561" i="20"/>
  <c r="AX561" i="20"/>
  <c r="C560" i="20"/>
  <c r="AC560" i="20"/>
  <c r="AD560" i="20"/>
  <c r="AE560" i="20"/>
  <c r="AF560" i="20"/>
  <c r="AG560" i="20"/>
  <c r="AH560" i="20"/>
  <c r="AI560" i="20"/>
  <c r="AJ560" i="20"/>
  <c r="AK560" i="20"/>
  <c r="AL560" i="20"/>
  <c r="AP560" i="20"/>
  <c r="AX560" i="20"/>
  <c r="I157" i="19" l="1"/>
  <c r="J157" i="19"/>
  <c r="K157" i="19"/>
  <c r="L157" i="19"/>
  <c r="M157" i="19"/>
  <c r="N157" i="19"/>
  <c r="O157" i="19"/>
  <c r="P157" i="19"/>
  <c r="Q157" i="19"/>
  <c r="R157" i="19"/>
  <c r="S157" i="19"/>
  <c r="T157" i="19"/>
  <c r="U157" i="19"/>
  <c r="V157" i="19"/>
  <c r="W157" i="19"/>
  <c r="AH157" i="19"/>
  <c r="AI157" i="19"/>
  <c r="AJ157" i="19"/>
  <c r="H157" i="19"/>
  <c r="C598" i="20" l="1"/>
  <c r="AC598" i="20"/>
  <c r="AD598" i="20"/>
  <c r="AE598" i="20"/>
  <c r="AF598" i="20"/>
  <c r="AG598" i="20"/>
  <c r="AH598" i="20"/>
  <c r="AI598" i="20"/>
  <c r="AJ598" i="20"/>
  <c r="AK598" i="20"/>
  <c r="AL598" i="20"/>
  <c r="AP598" i="20"/>
  <c r="AX598" i="20"/>
  <c r="C592" i="20"/>
  <c r="AC592" i="20"/>
  <c r="AD592" i="20"/>
  <c r="AE592" i="20"/>
  <c r="AF592" i="20"/>
  <c r="AG592" i="20"/>
  <c r="AH592" i="20"/>
  <c r="AI592" i="20"/>
  <c r="AJ592" i="20"/>
  <c r="AK592" i="20"/>
  <c r="AL592" i="20"/>
  <c r="AP592" i="20"/>
  <c r="AX592" i="20"/>
  <c r="C579" i="20"/>
  <c r="AC579" i="20"/>
  <c r="AD579" i="20"/>
  <c r="AE579" i="20"/>
  <c r="AF579" i="20"/>
  <c r="AG579" i="20"/>
  <c r="AH579" i="20"/>
  <c r="AI579" i="20"/>
  <c r="AJ579" i="20"/>
  <c r="AK579" i="20"/>
  <c r="AL579" i="20"/>
  <c r="AP579" i="20"/>
  <c r="AX579" i="20"/>
  <c r="BC11" i="95"/>
  <c r="BD11" i="95"/>
  <c r="BE11" i="95"/>
  <c r="C525" i="20" l="1"/>
  <c r="C554" i="20"/>
  <c r="C555" i="20"/>
  <c r="AX525" i="20"/>
  <c r="AX554" i="20"/>
  <c r="AX555" i="20"/>
  <c r="C556" i="20"/>
  <c r="C559" i="20"/>
  <c r="C562" i="20"/>
  <c r="AX556" i="20"/>
  <c r="AX559" i="20"/>
  <c r="AX562" i="20"/>
  <c r="C513" i="20"/>
  <c r="C557" i="20"/>
  <c r="C558" i="20"/>
  <c r="C514" i="20"/>
  <c r="C515" i="20"/>
  <c r="C523" i="20"/>
  <c r="C524" i="20"/>
  <c r="C565" i="20"/>
  <c r="C566" i="20"/>
  <c r="C567" i="20"/>
  <c r="C563" i="20"/>
  <c r="C564" i="20"/>
  <c r="C568" i="20"/>
  <c r="C578" i="20"/>
  <c r="C580" i="20"/>
  <c r="C581" i="20"/>
  <c r="C590" i="20"/>
  <c r="C593" i="20"/>
  <c r="C582" i="20"/>
  <c r="C589" i="20"/>
  <c r="C591" i="20"/>
  <c r="C599" i="20"/>
  <c r="AX513" i="20"/>
  <c r="AX557" i="20"/>
  <c r="AX558" i="20"/>
  <c r="AX514" i="20"/>
  <c r="AX515" i="20"/>
  <c r="AX523" i="20"/>
  <c r="AX524" i="20"/>
  <c r="AX565" i="20"/>
  <c r="AX566" i="20"/>
  <c r="AX567" i="20"/>
  <c r="AX563" i="20"/>
  <c r="AX564" i="20"/>
  <c r="AX568" i="20"/>
  <c r="AX578" i="20"/>
  <c r="AX580" i="20"/>
  <c r="AX581" i="20"/>
  <c r="AX590" i="20"/>
  <c r="AX593" i="20"/>
  <c r="AX582" i="20"/>
  <c r="AX589" i="20"/>
  <c r="AX591" i="20"/>
  <c r="AX599" i="20"/>
  <c r="AC599" i="20"/>
  <c r="AD599" i="20"/>
  <c r="AE599" i="20"/>
  <c r="AF599" i="20"/>
  <c r="AG599" i="20"/>
  <c r="AH599" i="20"/>
  <c r="AI599" i="20"/>
  <c r="AJ599" i="20"/>
  <c r="AK599" i="20"/>
  <c r="AL599" i="20"/>
  <c r="AP599" i="20"/>
  <c r="AC591" i="20"/>
  <c r="AD591" i="20"/>
  <c r="AE591" i="20"/>
  <c r="AF591" i="20"/>
  <c r="AG591" i="20"/>
  <c r="AH591" i="20"/>
  <c r="AI591" i="20"/>
  <c r="AJ591" i="20"/>
  <c r="AK591" i="20"/>
  <c r="AL591" i="20"/>
  <c r="AP591" i="20"/>
  <c r="AC589" i="20"/>
  <c r="AD589" i="20"/>
  <c r="AE589" i="20"/>
  <c r="AF589" i="20"/>
  <c r="AG589" i="20"/>
  <c r="AH589" i="20"/>
  <c r="AI589" i="20"/>
  <c r="AJ589" i="20"/>
  <c r="AK589" i="20"/>
  <c r="AL589" i="20"/>
  <c r="AP589" i="20"/>
  <c r="AC582" i="20"/>
  <c r="AD582" i="20"/>
  <c r="AE582" i="20"/>
  <c r="AF582" i="20"/>
  <c r="AG582" i="20"/>
  <c r="AH582" i="20"/>
  <c r="AI582" i="20"/>
  <c r="AJ582" i="20"/>
  <c r="AK582" i="20"/>
  <c r="AL582" i="20"/>
  <c r="AP582" i="20"/>
  <c r="AC593" i="20" l="1"/>
  <c r="AD593" i="20"/>
  <c r="AE593" i="20"/>
  <c r="AF593" i="20"/>
  <c r="AG593" i="20"/>
  <c r="AH593" i="20"/>
  <c r="AI593" i="20"/>
  <c r="AJ593" i="20"/>
  <c r="AK593" i="20"/>
  <c r="AL593" i="20"/>
  <c r="AP593" i="20"/>
  <c r="AC590" i="20"/>
  <c r="AD590" i="20"/>
  <c r="AE590" i="20"/>
  <c r="AF590" i="20"/>
  <c r="AG590" i="20"/>
  <c r="AH590" i="20"/>
  <c r="AI590" i="20"/>
  <c r="AJ590" i="20"/>
  <c r="AK590" i="20"/>
  <c r="AL590" i="20"/>
  <c r="AP590" i="20"/>
  <c r="AC581" i="20"/>
  <c r="AD581" i="20"/>
  <c r="AE581" i="20"/>
  <c r="AF581" i="20"/>
  <c r="AG581" i="20"/>
  <c r="AH581" i="20"/>
  <c r="AI581" i="20"/>
  <c r="AJ581" i="20"/>
  <c r="AK581" i="20"/>
  <c r="AL581" i="20"/>
  <c r="AP581" i="20"/>
  <c r="AC580" i="20"/>
  <c r="AD580" i="20"/>
  <c r="AE580" i="20"/>
  <c r="AF580" i="20"/>
  <c r="AG580" i="20"/>
  <c r="AH580" i="20"/>
  <c r="AI580" i="20"/>
  <c r="AJ580" i="20"/>
  <c r="AK580" i="20"/>
  <c r="AL580" i="20"/>
  <c r="AP580" i="20"/>
  <c r="T308" i="14" l="1"/>
  <c r="AC578" i="20" l="1"/>
  <c r="AD578" i="20"/>
  <c r="AE578" i="20"/>
  <c r="AF578" i="20"/>
  <c r="AG578" i="20"/>
  <c r="AH578" i="20"/>
  <c r="AI578" i="20"/>
  <c r="AJ578" i="20"/>
  <c r="AK578" i="20"/>
  <c r="AL578" i="20"/>
  <c r="AP578" i="20"/>
  <c r="AC568" i="20"/>
  <c r="AD568" i="20"/>
  <c r="AE568" i="20"/>
  <c r="AF568" i="20"/>
  <c r="AG568" i="20"/>
  <c r="AH568" i="20"/>
  <c r="AI568" i="20"/>
  <c r="AJ568" i="20"/>
  <c r="AK568" i="20"/>
  <c r="AL568" i="20"/>
  <c r="AP568" i="20"/>
  <c r="AC564" i="20"/>
  <c r="AD564" i="20"/>
  <c r="AE564" i="20"/>
  <c r="AF564" i="20"/>
  <c r="AG564" i="20"/>
  <c r="AH564" i="20"/>
  <c r="AI564" i="20"/>
  <c r="AJ564" i="20"/>
  <c r="AK564" i="20"/>
  <c r="AL564" i="20"/>
  <c r="AP564" i="20"/>
  <c r="AC563" i="20"/>
  <c r="AD563" i="20"/>
  <c r="AE563" i="20"/>
  <c r="AF563" i="20"/>
  <c r="AG563" i="20"/>
  <c r="AH563" i="20"/>
  <c r="AI563" i="20"/>
  <c r="AJ563" i="20"/>
  <c r="AK563" i="20"/>
  <c r="AL563" i="20"/>
  <c r="AP563" i="20"/>
  <c r="AC514" i="20"/>
  <c r="AC515" i="20"/>
  <c r="AC523" i="20"/>
  <c r="AC524" i="20"/>
  <c r="AC565" i="20"/>
  <c r="AC566" i="20"/>
  <c r="AC567" i="20"/>
  <c r="AD514" i="20"/>
  <c r="AD515" i="20"/>
  <c r="AD523" i="20"/>
  <c r="AD524" i="20"/>
  <c r="AD565" i="20"/>
  <c r="AD566" i="20"/>
  <c r="AD567" i="20"/>
  <c r="AE514" i="20"/>
  <c r="AE515" i="20"/>
  <c r="AE523" i="20"/>
  <c r="AE524" i="20"/>
  <c r="AE565" i="20"/>
  <c r="AE566" i="20"/>
  <c r="AE567" i="20"/>
  <c r="AF514" i="20"/>
  <c r="AF515" i="20"/>
  <c r="AF523" i="20"/>
  <c r="AF524" i="20"/>
  <c r="AF565" i="20"/>
  <c r="AF566" i="20"/>
  <c r="AF567" i="20"/>
  <c r="AG514" i="20"/>
  <c r="AG515" i="20"/>
  <c r="AG523" i="20"/>
  <c r="AG524" i="20"/>
  <c r="AG565" i="20"/>
  <c r="AG566" i="20"/>
  <c r="AG567" i="20"/>
  <c r="AH514" i="20"/>
  <c r="AH515" i="20"/>
  <c r="AH523" i="20"/>
  <c r="AH524" i="20"/>
  <c r="AH565" i="20"/>
  <c r="AH566" i="20"/>
  <c r="AH567" i="20"/>
  <c r="AI514" i="20"/>
  <c r="AI515" i="20"/>
  <c r="AI523" i="20"/>
  <c r="AI524" i="20"/>
  <c r="AI565" i="20"/>
  <c r="AI566" i="20"/>
  <c r="AI567" i="20"/>
  <c r="AJ514" i="20"/>
  <c r="AJ515" i="20"/>
  <c r="AJ523" i="20"/>
  <c r="AJ524" i="20"/>
  <c r="AJ565" i="20"/>
  <c r="AJ566" i="20"/>
  <c r="AJ567" i="20"/>
  <c r="AK514" i="20"/>
  <c r="AK515" i="20"/>
  <c r="AK523" i="20"/>
  <c r="AK524" i="20"/>
  <c r="AK565" i="20"/>
  <c r="AK566" i="20"/>
  <c r="AK567" i="20"/>
  <c r="AL514" i="20"/>
  <c r="AL515" i="20"/>
  <c r="AL523" i="20"/>
  <c r="AL524" i="20"/>
  <c r="AL565" i="20"/>
  <c r="AL566" i="20"/>
  <c r="AL567" i="20"/>
  <c r="AP514" i="20"/>
  <c r="AP515" i="20"/>
  <c r="AP523" i="20"/>
  <c r="AP524" i="20"/>
  <c r="AP565" i="20"/>
  <c r="AP566" i="20"/>
  <c r="AP567" i="20"/>
  <c r="AH161" i="19"/>
  <c r="AH142" i="19"/>
  <c r="AH107" i="19"/>
  <c r="AI107" i="19"/>
  <c r="AH103" i="19"/>
  <c r="AH90" i="19"/>
  <c r="AI90" i="19"/>
  <c r="AH87" i="19"/>
  <c r="AH78" i="19"/>
  <c r="G11" i="95"/>
  <c r="AC557" i="20"/>
  <c r="AC558" i="20"/>
  <c r="AD557" i="20"/>
  <c r="AD558" i="20"/>
  <c r="AE557" i="20"/>
  <c r="AE558" i="20"/>
  <c r="AF557" i="20"/>
  <c r="AF558" i="20"/>
  <c r="AG557" i="20"/>
  <c r="AG558" i="20"/>
  <c r="AH557" i="20"/>
  <c r="AH558" i="20"/>
  <c r="AI557" i="20"/>
  <c r="AI558" i="20"/>
  <c r="AJ557" i="20"/>
  <c r="AJ558" i="20"/>
  <c r="AK557" i="20"/>
  <c r="AK558" i="20"/>
  <c r="AL557" i="20"/>
  <c r="AL558" i="20"/>
  <c r="AP557" i="20"/>
  <c r="AP558" i="20"/>
  <c r="AC513" i="20"/>
  <c r="AD513" i="20"/>
  <c r="AE513" i="20"/>
  <c r="AF513" i="20"/>
  <c r="AG513" i="20"/>
  <c r="AH513" i="20"/>
  <c r="AI513" i="20"/>
  <c r="AJ513" i="20"/>
  <c r="AK513" i="20"/>
  <c r="AL513" i="20"/>
  <c r="AP513" i="20"/>
  <c r="C553" i="20"/>
  <c r="AC553" i="20"/>
  <c r="AD553" i="20"/>
  <c r="AE553" i="20"/>
  <c r="AF553" i="20"/>
  <c r="AG553" i="20"/>
  <c r="AH553" i="20"/>
  <c r="AI553" i="20"/>
  <c r="AJ553" i="20"/>
  <c r="AK553" i="20"/>
  <c r="AL553" i="20"/>
  <c r="AP553" i="20"/>
  <c r="AX553" i="20"/>
  <c r="C552" i="20"/>
  <c r="AC552" i="20"/>
  <c r="AD552" i="20"/>
  <c r="AE552" i="20"/>
  <c r="AF552" i="20"/>
  <c r="AG552" i="20"/>
  <c r="AH552" i="20"/>
  <c r="AI552" i="20"/>
  <c r="AJ552" i="20"/>
  <c r="AK552" i="20"/>
  <c r="AL552" i="20"/>
  <c r="AP552" i="20"/>
  <c r="AX552" i="20"/>
  <c r="C551" i="20"/>
  <c r="AC551" i="20"/>
  <c r="AD551" i="20"/>
  <c r="AE551" i="20"/>
  <c r="AF551" i="20"/>
  <c r="AG551" i="20"/>
  <c r="AH551" i="20"/>
  <c r="AI551" i="20"/>
  <c r="AJ551" i="20"/>
  <c r="AK551" i="20"/>
  <c r="AL551" i="20"/>
  <c r="AP551" i="20"/>
  <c r="AX551" i="20"/>
  <c r="C550" i="20"/>
  <c r="AC550" i="20"/>
  <c r="AD550" i="20"/>
  <c r="AE550" i="20"/>
  <c r="AF550" i="20"/>
  <c r="AG550" i="20"/>
  <c r="AH550" i="20"/>
  <c r="AI550" i="20"/>
  <c r="AJ550" i="20"/>
  <c r="AK550" i="20"/>
  <c r="AL550" i="20"/>
  <c r="AP550" i="20"/>
  <c r="AX550" i="20"/>
  <c r="C549" i="20"/>
  <c r="AC549" i="20"/>
  <c r="AD549" i="20"/>
  <c r="AE549" i="20"/>
  <c r="AF549" i="20"/>
  <c r="AG549" i="20"/>
  <c r="AH549" i="20"/>
  <c r="AI549" i="20"/>
  <c r="AJ549" i="20"/>
  <c r="AK549" i="20"/>
  <c r="AL549" i="20"/>
  <c r="AP549" i="20"/>
  <c r="AX549" i="20"/>
  <c r="C548" i="20"/>
  <c r="AC548" i="20"/>
  <c r="AD548" i="20"/>
  <c r="AE548" i="20"/>
  <c r="AF548" i="20"/>
  <c r="AG548" i="20"/>
  <c r="AH548" i="20"/>
  <c r="AI548" i="20"/>
  <c r="AJ548" i="20"/>
  <c r="AK548" i="20"/>
  <c r="AL548" i="20"/>
  <c r="AP548" i="20"/>
  <c r="AX548" i="20"/>
  <c r="C547" i="20"/>
  <c r="AC547" i="20"/>
  <c r="AD547" i="20"/>
  <c r="AE547" i="20"/>
  <c r="AF547" i="20"/>
  <c r="AG547" i="20"/>
  <c r="AH547" i="20"/>
  <c r="AI547" i="20"/>
  <c r="AJ547" i="20"/>
  <c r="AK547" i="20"/>
  <c r="AL547" i="20"/>
  <c r="AP547" i="20"/>
  <c r="AX547" i="20"/>
  <c r="C546" i="20"/>
  <c r="AC546" i="20"/>
  <c r="AD546" i="20"/>
  <c r="AE546" i="20"/>
  <c r="AF546" i="20"/>
  <c r="AG546" i="20"/>
  <c r="AH546" i="20"/>
  <c r="AI546" i="20"/>
  <c r="AJ546" i="20"/>
  <c r="AK546" i="20"/>
  <c r="AL546" i="20"/>
  <c r="AP546" i="20"/>
  <c r="AX546" i="20"/>
  <c r="C545" i="20"/>
  <c r="AC545" i="20"/>
  <c r="AD545" i="20"/>
  <c r="AE545" i="20"/>
  <c r="AF545" i="20"/>
  <c r="AG545" i="20"/>
  <c r="AH545" i="20"/>
  <c r="AI545" i="20"/>
  <c r="AJ545" i="20"/>
  <c r="AK545" i="20"/>
  <c r="AL545" i="20"/>
  <c r="AP545" i="20"/>
  <c r="AX545" i="20"/>
  <c r="C544" i="20"/>
  <c r="AC544" i="20"/>
  <c r="AD544" i="20"/>
  <c r="AE544" i="20"/>
  <c r="AF544" i="20"/>
  <c r="AG544" i="20"/>
  <c r="AH544" i="20"/>
  <c r="AI544" i="20"/>
  <c r="AJ544" i="20"/>
  <c r="AK544" i="20"/>
  <c r="AL544" i="20"/>
  <c r="AP544" i="20"/>
  <c r="AX544" i="20"/>
  <c r="C543" i="20"/>
  <c r="AC543" i="20"/>
  <c r="AD543" i="20"/>
  <c r="AE543" i="20"/>
  <c r="AF543" i="20"/>
  <c r="AG543" i="20"/>
  <c r="AH543" i="20"/>
  <c r="AI543" i="20"/>
  <c r="AJ543" i="20"/>
  <c r="AK543" i="20"/>
  <c r="AL543" i="20"/>
  <c r="AP543" i="20"/>
  <c r="AX543" i="20"/>
  <c r="C542" i="20"/>
  <c r="AC542" i="20"/>
  <c r="AD542" i="20"/>
  <c r="AE542" i="20"/>
  <c r="AF542" i="20"/>
  <c r="AG542" i="20"/>
  <c r="AH542" i="20"/>
  <c r="AI542" i="20"/>
  <c r="AJ542" i="20"/>
  <c r="AK542" i="20"/>
  <c r="AL542" i="20"/>
  <c r="AP542" i="20"/>
  <c r="AX542" i="20"/>
  <c r="C541" i="20"/>
  <c r="AC541" i="20"/>
  <c r="AD541" i="20"/>
  <c r="AE541" i="20"/>
  <c r="AF541" i="20"/>
  <c r="AG541" i="20"/>
  <c r="AH541" i="20"/>
  <c r="AI541" i="20"/>
  <c r="AJ541" i="20"/>
  <c r="AK541" i="20"/>
  <c r="AL541" i="20"/>
  <c r="AP541" i="20"/>
  <c r="AX541" i="20"/>
  <c r="C540" i="20"/>
  <c r="AC540" i="20"/>
  <c r="AD540" i="20"/>
  <c r="AE540" i="20"/>
  <c r="AF540" i="20"/>
  <c r="AG540" i="20"/>
  <c r="AH540" i="20"/>
  <c r="AI540" i="20"/>
  <c r="AJ540" i="20"/>
  <c r="AK540" i="20"/>
  <c r="AL540" i="20"/>
  <c r="AP540" i="20"/>
  <c r="AX540" i="20"/>
  <c r="C539" i="20"/>
  <c r="AC539" i="20"/>
  <c r="AD539" i="20"/>
  <c r="AE539" i="20"/>
  <c r="AF539" i="20"/>
  <c r="AG539" i="20"/>
  <c r="AH539" i="20"/>
  <c r="AI539" i="20"/>
  <c r="AJ539" i="20"/>
  <c r="AK539" i="20"/>
  <c r="AL539" i="20"/>
  <c r="AP539" i="20"/>
  <c r="AX539" i="20"/>
  <c r="C538" i="20"/>
  <c r="AC538" i="20"/>
  <c r="AD538" i="20"/>
  <c r="AE538" i="20"/>
  <c r="AF538" i="20"/>
  <c r="AG538" i="20"/>
  <c r="AH538" i="20"/>
  <c r="AI538" i="20"/>
  <c r="AJ538" i="20"/>
  <c r="AK538" i="20"/>
  <c r="AL538" i="20"/>
  <c r="AP538" i="20"/>
  <c r="AX538" i="20"/>
  <c r="C537" i="20"/>
  <c r="AC537" i="20"/>
  <c r="AD537" i="20"/>
  <c r="AE537" i="20"/>
  <c r="AF537" i="20"/>
  <c r="AG537" i="20"/>
  <c r="AH537" i="20"/>
  <c r="AI537" i="20"/>
  <c r="AJ537" i="20"/>
  <c r="AK537" i="20"/>
  <c r="AL537" i="20"/>
  <c r="AP537" i="20"/>
  <c r="AX537" i="20"/>
  <c r="C536" i="20"/>
  <c r="AC536" i="20"/>
  <c r="AD536" i="20"/>
  <c r="AE536" i="20"/>
  <c r="AF536" i="20"/>
  <c r="AG536" i="20"/>
  <c r="AH536" i="20"/>
  <c r="AI536" i="20"/>
  <c r="AJ536" i="20"/>
  <c r="AK536" i="20"/>
  <c r="AL536" i="20"/>
  <c r="AP536" i="20"/>
  <c r="AX536" i="20"/>
  <c r="C535" i="20"/>
  <c r="AC535" i="20"/>
  <c r="AD535" i="20"/>
  <c r="AE535" i="20"/>
  <c r="AF535" i="20"/>
  <c r="AG535" i="20"/>
  <c r="AH535" i="20"/>
  <c r="AI535" i="20"/>
  <c r="AJ535" i="20"/>
  <c r="AK535" i="20"/>
  <c r="AL535" i="20"/>
  <c r="AP535" i="20"/>
  <c r="AX535" i="20"/>
  <c r="C534" i="20"/>
  <c r="AC534" i="20"/>
  <c r="AD534" i="20"/>
  <c r="AE534" i="20"/>
  <c r="AF534" i="20"/>
  <c r="AG534" i="20"/>
  <c r="AH534" i="20"/>
  <c r="AI534" i="20"/>
  <c r="AJ534" i="20"/>
  <c r="AK534" i="20"/>
  <c r="AL534" i="20"/>
  <c r="AP534" i="20"/>
  <c r="AX534" i="20"/>
  <c r="C533" i="20"/>
  <c r="AC533" i="20"/>
  <c r="AD533" i="20"/>
  <c r="AE533" i="20"/>
  <c r="AF533" i="20"/>
  <c r="AG533" i="20"/>
  <c r="AH533" i="20"/>
  <c r="AI533" i="20"/>
  <c r="AJ533" i="20"/>
  <c r="AK533" i="20"/>
  <c r="AL533" i="20"/>
  <c r="AP533" i="20"/>
  <c r="AX533" i="20"/>
  <c r="C532" i="20"/>
  <c r="AC532" i="20"/>
  <c r="AD532" i="20"/>
  <c r="AE532" i="20"/>
  <c r="AF532" i="20"/>
  <c r="AG532" i="20"/>
  <c r="AH532" i="20"/>
  <c r="AI532" i="20"/>
  <c r="AJ532" i="20"/>
  <c r="AK532" i="20"/>
  <c r="AL532" i="20"/>
  <c r="AP532" i="20"/>
  <c r="AX532" i="20"/>
  <c r="C531" i="20"/>
  <c r="AC531" i="20"/>
  <c r="AD531" i="20"/>
  <c r="AE531" i="20"/>
  <c r="AF531" i="20"/>
  <c r="AG531" i="20"/>
  <c r="AH531" i="20"/>
  <c r="AI531" i="20"/>
  <c r="AJ531" i="20"/>
  <c r="AK531" i="20"/>
  <c r="AL531" i="20"/>
  <c r="AP531" i="20"/>
  <c r="AX531" i="20"/>
  <c r="C530" i="20"/>
  <c r="AC530" i="20"/>
  <c r="AD530" i="20"/>
  <c r="AE530" i="20"/>
  <c r="AF530" i="20"/>
  <c r="AG530" i="20"/>
  <c r="AH530" i="20"/>
  <c r="AI530" i="20"/>
  <c r="AJ530" i="20"/>
  <c r="AK530" i="20"/>
  <c r="AL530" i="20"/>
  <c r="AP530" i="20"/>
  <c r="AX530" i="20"/>
  <c r="C529" i="20"/>
  <c r="AC529" i="20"/>
  <c r="AD529" i="20"/>
  <c r="AE529" i="20"/>
  <c r="AF529" i="20"/>
  <c r="AG529" i="20"/>
  <c r="AH529" i="20"/>
  <c r="AI529" i="20"/>
  <c r="AJ529" i="20"/>
  <c r="AK529" i="20"/>
  <c r="AL529" i="20"/>
  <c r="AP529" i="20"/>
  <c r="AX529" i="20"/>
  <c r="C528" i="20"/>
  <c r="AC528" i="20"/>
  <c r="AD528" i="20"/>
  <c r="AE528" i="20"/>
  <c r="AF528" i="20"/>
  <c r="AG528" i="20"/>
  <c r="AH528" i="20"/>
  <c r="AI528" i="20"/>
  <c r="AJ528" i="20"/>
  <c r="AK528" i="20"/>
  <c r="AL528" i="20"/>
  <c r="AP528" i="20"/>
  <c r="AX528" i="20"/>
  <c r="C527" i="20"/>
  <c r="AC527" i="20"/>
  <c r="AD527" i="20"/>
  <c r="AE527" i="20"/>
  <c r="AF527" i="20"/>
  <c r="AG527" i="20"/>
  <c r="AH527" i="20"/>
  <c r="AI527" i="20"/>
  <c r="AJ527" i="20"/>
  <c r="AK527" i="20"/>
  <c r="AL527" i="20"/>
  <c r="AP527" i="20"/>
  <c r="AX527" i="20"/>
  <c r="C526" i="20"/>
  <c r="AC526" i="20"/>
  <c r="AD526" i="20"/>
  <c r="AE526" i="20"/>
  <c r="AF526" i="20"/>
  <c r="AG526" i="20"/>
  <c r="AH526" i="20"/>
  <c r="AI526" i="20"/>
  <c r="AJ526" i="20"/>
  <c r="AK526" i="20"/>
  <c r="AL526" i="20"/>
  <c r="AP526" i="20"/>
  <c r="AX526" i="20"/>
  <c r="AC556" i="20"/>
  <c r="AC559" i="20"/>
  <c r="AC562" i="20"/>
  <c r="AD556" i="20"/>
  <c r="AD559" i="20"/>
  <c r="AD562" i="20"/>
  <c r="AE556" i="20"/>
  <c r="AE559" i="20"/>
  <c r="AE562" i="20"/>
  <c r="AF556" i="20"/>
  <c r="AF559" i="20"/>
  <c r="AF562" i="20"/>
  <c r="AG556" i="20"/>
  <c r="AG559" i="20"/>
  <c r="AG562" i="20"/>
  <c r="AH556" i="20"/>
  <c r="AH559" i="20"/>
  <c r="AH562" i="20"/>
  <c r="AI556" i="20"/>
  <c r="AI559" i="20"/>
  <c r="AI562" i="20"/>
  <c r="AJ556" i="20"/>
  <c r="AJ559" i="20"/>
  <c r="AJ562" i="20"/>
  <c r="AK556" i="20"/>
  <c r="AK559" i="20"/>
  <c r="AK562" i="20"/>
  <c r="AL556" i="20"/>
  <c r="AL559" i="20"/>
  <c r="AL562" i="20"/>
  <c r="AP556" i="20"/>
  <c r="AP559" i="20"/>
  <c r="AP562" i="20"/>
  <c r="C516" i="20"/>
  <c r="C517" i="20"/>
  <c r="C518" i="20"/>
  <c r="C519" i="20"/>
  <c r="C520" i="20"/>
  <c r="C521" i="20"/>
  <c r="C522" i="20"/>
  <c r="AC516" i="20"/>
  <c r="AC517" i="20"/>
  <c r="AC518" i="20"/>
  <c r="AC519" i="20"/>
  <c r="AC520" i="20"/>
  <c r="AC521" i="20"/>
  <c r="AC522" i="20"/>
  <c r="AD516" i="20"/>
  <c r="AD517" i="20"/>
  <c r="AD518" i="20"/>
  <c r="AD519" i="20"/>
  <c r="AD520" i="20"/>
  <c r="AD521" i="20"/>
  <c r="AD522" i="20"/>
  <c r="AE516" i="20"/>
  <c r="AE517" i="20"/>
  <c r="AE518" i="20"/>
  <c r="AE519" i="20"/>
  <c r="AE520" i="20"/>
  <c r="AE521" i="20"/>
  <c r="AE522" i="20"/>
  <c r="AF516" i="20"/>
  <c r="AF517" i="20"/>
  <c r="AF518" i="20"/>
  <c r="AF519" i="20"/>
  <c r="AF520" i="20"/>
  <c r="AF521" i="20"/>
  <c r="AF522" i="20"/>
  <c r="AG516" i="20"/>
  <c r="AG517" i="20"/>
  <c r="AG518" i="20"/>
  <c r="AG519" i="20"/>
  <c r="AG520" i="20"/>
  <c r="AG521" i="20"/>
  <c r="AG522" i="20"/>
  <c r="AH516" i="20"/>
  <c r="AH517" i="20"/>
  <c r="AH518" i="20"/>
  <c r="AH519" i="20"/>
  <c r="AH520" i="20"/>
  <c r="AH521" i="20"/>
  <c r="AH522" i="20"/>
  <c r="AI516" i="20"/>
  <c r="AI517" i="20"/>
  <c r="AI518" i="20"/>
  <c r="AI519" i="20"/>
  <c r="AI520" i="20"/>
  <c r="AI521" i="20"/>
  <c r="AI522" i="20"/>
  <c r="AJ516" i="20"/>
  <c r="AJ517" i="20"/>
  <c r="AJ518" i="20"/>
  <c r="AJ519" i="20"/>
  <c r="AJ520" i="20"/>
  <c r="AJ521" i="20"/>
  <c r="AJ522" i="20"/>
  <c r="AK516" i="20"/>
  <c r="AK517" i="20"/>
  <c r="AK518" i="20"/>
  <c r="AK519" i="20"/>
  <c r="AK520" i="20"/>
  <c r="AK521" i="20"/>
  <c r="AK522" i="20"/>
  <c r="AL516" i="20"/>
  <c r="AL517" i="20"/>
  <c r="AL518" i="20"/>
  <c r="AL519" i="20"/>
  <c r="AL520" i="20"/>
  <c r="AL521" i="20"/>
  <c r="AL522" i="20"/>
  <c r="AP516" i="20"/>
  <c r="AP517" i="20"/>
  <c r="AP518" i="20"/>
  <c r="AP519" i="20"/>
  <c r="AP520" i="20"/>
  <c r="AP521" i="20"/>
  <c r="AP522" i="20"/>
  <c r="AX516" i="20"/>
  <c r="AX517" i="20"/>
  <c r="AX518" i="20"/>
  <c r="AX519" i="20"/>
  <c r="AX520" i="20"/>
  <c r="AX521" i="20"/>
  <c r="AX522" i="20"/>
  <c r="AC555" i="20"/>
  <c r="AD555" i="20"/>
  <c r="AE555" i="20"/>
  <c r="AF555" i="20"/>
  <c r="AG555" i="20"/>
  <c r="AH555" i="20"/>
  <c r="AI555" i="20"/>
  <c r="AJ555" i="20"/>
  <c r="AK555" i="20"/>
  <c r="AL555" i="20"/>
  <c r="AP555" i="20"/>
  <c r="AC525" i="20"/>
  <c r="AC554" i="20"/>
  <c r="AD525" i="20"/>
  <c r="AD554" i="20"/>
  <c r="AE525" i="20"/>
  <c r="AE554" i="20"/>
  <c r="AF525" i="20"/>
  <c r="AF554" i="20"/>
  <c r="AG525" i="20"/>
  <c r="AG554" i="20"/>
  <c r="AH525" i="20"/>
  <c r="AH554" i="20"/>
  <c r="AI525" i="20"/>
  <c r="AI554" i="20"/>
  <c r="AJ525" i="20"/>
  <c r="AJ554" i="20"/>
  <c r="AK525" i="20"/>
  <c r="AK554" i="20"/>
  <c r="AL525" i="20"/>
  <c r="AL554" i="20"/>
  <c r="AP525" i="20"/>
  <c r="AP554" i="20"/>
  <c r="H14" i="19"/>
  <c r="I14" i="19"/>
  <c r="J14" i="19"/>
  <c r="K14" i="19"/>
  <c r="L14" i="19"/>
  <c r="M14" i="19"/>
  <c r="AH48" i="19"/>
  <c r="AB6" i="19"/>
  <c r="AG6" i="19" s="1"/>
  <c r="AB7" i="19"/>
  <c r="AG7" i="19" s="1"/>
  <c r="AB8" i="19"/>
  <c r="AG8" i="19" s="1"/>
  <c r="AB9" i="19"/>
  <c r="AG9" i="19" s="1"/>
  <c r="AB10" i="19"/>
  <c r="AG10" i="19" s="1"/>
  <c r="AB11" i="19"/>
  <c r="AG11" i="19" s="1"/>
  <c r="AB12" i="19"/>
  <c r="AG12" i="19" s="1"/>
  <c r="AB13" i="19"/>
  <c r="AG13" i="19" s="1"/>
  <c r="AB15" i="19"/>
  <c r="AG15" i="19" s="1"/>
  <c r="AB16" i="19"/>
  <c r="AG16" i="19" s="1"/>
  <c r="AB17" i="19"/>
  <c r="AG17" i="19" s="1"/>
  <c r="AB18" i="19"/>
  <c r="AG18" i="19" s="1"/>
  <c r="AB19" i="19"/>
  <c r="AG19" i="19" s="1"/>
  <c r="AB21" i="19"/>
  <c r="AG21" i="19" s="1"/>
  <c r="AB22" i="19"/>
  <c r="AG22" i="19" s="1"/>
  <c r="AB23" i="19"/>
  <c r="AG23" i="19" s="1"/>
  <c r="AB24" i="19"/>
  <c r="AG24" i="19" s="1"/>
  <c r="AB25" i="19"/>
  <c r="AG25" i="19" s="1"/>
  <c r="AB26" i="19"/>
  <c r="AG26" i="19" s="1"/>
  <c r="AB27" i="19"/>
  <c r="AG27" i="19" s="1"/>
  <c r="AB28" i="19"/>
  <c r="AG28" i="19" s="1"/>
  <c r="AB29" i="19"/>
  <c r="AG29" i="19" s="1"/>
  <c r="AB30" i="19"/>
  <c r="AG30" i="19" s="1"/>
  <c r="AB31" i="19"/>
  <c r="AG31" i="19" s="1"/>
  <c r="AB32" i="19"/>
  <c r="AG32" i="19" s="1"/>
  <c r="AB33" i="19"/>
  <c r="AG33" i="19" s="1"/>
  <c r="AB34" i="19"/>
  <c r="AG34" i="19" s="1"/>
  <c r="AB35" i="19"/>
  <c r="AG35" i="19" s="1"/>
  <c r="AB36" i="19"/>
  <c r="AG36" i="19" s="1"/>
  <c r="AB37" i="19"/>
  <c r="AG37" i="19" s="1"/>
  <c r="AB38" i="19"/>
  <c r="AG38" i="19" s="1"/>
  <c r="AB39" i="19"/>
  <c r="AG39" i="19" s="1"/>
  <c r="AB40" i="19"/>
  <c r="AG40" i="19" s="1"/>
  <c r="AB41" i="19"/>
  <c r="AG41" i="19" s="1"/>
  <c r="AB42" i="19"/>
  <c r="AG42" i="19" s="1"/>
  <c r="AB43" i="19"/>
  <c r="AG43" i="19" s="1"/>
  <c r="AB45" i="19"/>
  <c r="AB46" i="19" s="1"/>
  <c r="AB47" i="19"/>
  <c r="AB48" i="19" s="1"/>
  <c r="AB49" i="19"/>
  <c r="AG49" i="19" s="1"/>
  <c r="AB50" i="19"/>
  <c r="AG50" i="19" s="1"/>
  <c r="AB51" i="19"/>
  <c r="AG51" i="19" s="1"/>
  <c r="AB52" i="19"/>
  <c r="AG52" i="19" s="1"/>
  <c r="AB53" i="19"/>
  <c r="AG53" i="19" s="1"/>
  <c r="AB54" i="19"/>
  <c r="AG54" i="19" s="1"/>
  <c r="AB55" i="19"/>
  <c r="AG55" i="19" s="1"/>
  <c r="AB56" i="19"/>
  <c r="AG56" i="19" s="1"/>
  <c r="AB57" i="19"/>
  <c r="AG57" i="19" s="1"/>
  <c r="AB58" i="19"/>
  <c r="AG58" i="19" s="1"/>
  <c r="AB59" i="19"/>
  <c r="AG59" i="19" s="1"/>
  <c r="AB60" i="19"/>
  <c r="AG60" i="19" s="1"/>
  <c r="AB61" i="19"/>
  <c r="AG61" i="19" s="1"/>
  <c r="AB62" i="19"/>
  <c r="AG62" i="19" s="1"/>
  <c r="AB63" i="19"/>
  <c r="AG63" i="19" s="1"/>
  <c r="AB64" i="19"/>
  <c r="AG64" i="19" s="1"/>
  <c r="AB66" i="19"/>
  <c r="AG66" i="19" s="1"/>
  <c r="AB67" i="19"/>
  <c r="AG67" i="19" s="1"/>
  <c r="AB68" i="19"/>
  <c r="AG68" i="19" s="1"/>
  <c r="AB69" i="19"/>
  <c r="AG69" i="19" s="1"/>
  <c r="AB70" i="19"/>
  <c r="AG70" i="19" s="1"/>
  <c r="AB71" i="19"/>
  <c r="AG71" i="19" s="1"/>
  <c r="AB72" i="19"/>
  <c r="AG72" i="19" s="1"/>
  <c r="AB73" i="19"/>
  <c r="AG73" i="19" s="1"/>
  <c r="AB74" i="19"/>
  <c r="AG74" i="19" s="1"/>
  <c r="AB76" i="19"/>
  <c r="AG76" i="19" s="1"/>
  <c r="AB77" i="19"/>
  <c r="AG77" i="19" s="1"/>
  <c r="AB79" i="19"/>
  <c r="AG79" i="19" s="1"/>
  <c r="AB80" i="19"/>
  <c r="AG80" i="19" s="1"/>
  <c r="AB81" i="19"/>
  <c r="AG81" i="19" s="1"/>
  <c r="AB82" i="19"/>
  <c r="AG82" i="19" s="1"/>
  <c r="AB83" i="19"/>
  <c r="AG83" i="19" s="1"/>
  <c r="AB84" i="19"/>
  <c r="AG84" i="19" s="1"/>
  <c r="AB85" i="19"/>
  <c r="AG85" i="19" s="1"/>
  <c r="AB86" i="19"/>
  <c r="AG86" i="19" s="1"/>
  <c r="AB88" i="19"/>
  <c r="AB89" i="19"/>
  <c r="AG89" i="19" s="1"/>
  <c r="AB91" i="19"/>
  <c r="AG91" i="19" s="1"/>
  <c r="AB92" i="19"/>
  <c r="AG92" i="19" s="1"/>
  <c r="AB93" i="19"/>
  <c r="AG93" i="19" s="1"/>
  <c r="AB94" i="19"/>
  <c r="AG94" i="19" s="1"/>
  <c r="AB95" i="19"/>
  <c r="AG95" i="19" s="1"/>
  <c r="AB96" i="19"/>
  <c r="AG96" i="19" s="1"/>
  <c r="AB97" i="19"/>
  <c r="AG97" i="19" s="1"/>
  <c r="AB98" i="19"/>
  <c r="AG98" i="19" s="1"/>
  <c r="AB99" i="19"/>
  <c r="AG99" i="19" s="1"/>
  <c r="AB100" i="19"/>
  <c r="AG100" i="19" s="1"/>
  <c r="AB101" i="19"/>
  <c r="AG101" i="19" s="1"/>
  <c r="AB102" i="19"/>
  <c r="AG102" i="19" s="1"/>
  <c r="AB104" i="19"/>
  <c r="AG104" i="19" s="1"/>
  <c r="AB105" i="19"/>
  <c r="AG105" i="19" s="1"/>
  <c r="AB106" i="19"/>
  <c r="AG106" i="19" s="1"/>
  <c r="AB108" i="19"/>
  <c r="AG108" i="19" s="1"/>
  <c r="AB109" i="19"/>
  <c r="AG109" i="19" s="1"/>
  <c r="AB110" i="19"/>
  <c r="AG110" i="19" s="1"/>
  <c r="AB111" i="19"/>
  <c r="AG111" i="19" s="1"/>
  <c r="AB112" i="19"/>
  <c r="AG112" i="19" s="1"/>
  <c r="AB113" i="19"/>
  <c r="AG113" i="19" s="1"/>
  <c r="AB114" i="19"/>
  <c r="AG114" i="19" s="1"/>
  <c r="AB115" i="19"/>
  <c r="AG115" i="19" s="1"/>
  <c r="AB116" i="19"/>
  <c r="AG116" i="19" s="1"/>
  <c r="AB117" i="19"/>
  <c r="AG117" i="19" s="1"/>
  <c r="AB118" i="19"/>
  <c r="AG118" i="19" s="1"/>
  <c r="AB119" i="19"/>
  <c r="AG119" i="19" s="1"/>
  <c r="AB120" i="19"/>
  <c r="AG120" i="19" s="1"/>
  <c r="AB121" i="19"/>
  <c r="AG121" i="19" s="1"/>
  <c r="AB122" i="19"/>
  <c r="AG122" i="19" s="1"/>
  <c r="AB123" i="19"/>
  <c r="AG123" i="19" s="1"/>
  <c r="AB124" i="19"/>
  <c r="AG124" i="19" s="1"/>
  <c r="AB125" i="19"/>
  <c r="AG125" i="19" s="1"/>
  <c r="AB126" i="19"/>
  <c r="AG126" i="19" s="1"/>
  <c r="AB127" i="19"/>
  <c r="AG127" i="19" s="1"/>
  <c r="AB128" i="19"/>
  <c r="AG128" i="19" s="1"/>
  <c r="AB129" i="19"/>
  <c r="AG129" i="19" s="1"/>
  <c r="AB130" i="19"/>
  <c r="AG130" i="19" s="1"/>
  <c r="AB131" i="19"/>
  <c r="AG131" i="19" s="1"/>
  <c r="AB132" i="19"/>
  <c r="AG132" i="19" s="1"/>
  <c r="AB133" i="19"/>
  <c r="AG133" i="19" s="1"/>
  <c r="AB134" i="19"/>
  <c r="AG134" i="19" s="1"/>
  <c r="AB136" i="19"/>
  <c r="AG136" i="19" s="1"/>
  <c r="AB137" i="19"/>
  <c r="AG137" i="19" s="1"/>
  <c r="AB138" i="19"/>
  <c r="AG138" i="19" s="1"/>
  <c r="AB139" i="19"/>
  <c r="AG139" i="19" s="1"/>
  <c r="AB140" i="19"/>
  <c r="AG140" i="19" s="1"/>
  <c r="AB141" i="19"/>
  <c r="AG141" i="19" s="1"/>
  <c r="AB143" i="19"/>
  <c r="AG143" i="19" s="1"/>
  <c r="AB144" i="19"/>
  <c r="AG144" i="19" s="1"/>
  <c r="AB145" i="19"/>
  <c r="AB146" i="19"/>
  <c r="AG146" i="19" s="1"/>
  <c r="AB148" i="19"/>
  <c r="AB149" i="19"/>
  <c r="AG149" i="19" s="1"/>
  <c r="AB151" i="19"/>
  <c r="AG151" i="19" s="1"/>
  <c r="AB152" i="19"/>
  <c r="AG152" i="19" s="1"/>
  <c r="AB154" i="19"/>
  <c r="AB155" i="19"/>
  <c r="AG155" i="19" s="1"/>
  <c r="AB158" i="19"/>
  <c r="AG158" i="19" s="1"/>
  <c r="AB159" i="19"/>
  <c r="AG159" i="19" s="1"/>
  <c r="AB160" i="19"/>
  <c r="AG160" i="19" s="1"/>
  <c r="AB162" i="19"/>
  <c r="AG162" i="19" s="1"/>
  <c r="AB163" i="19"/>
  <c r="AG163" i="19" s="1"/>
  <c r="AB164" i="19"/>
  <c r="AG164" i="19" s="1"/>
  <c r="AB165" i="19"/>
  <c r="AG165" i="19" s="1"/>
  <c r="AB166" i="19"/>
  <c r="AG166" i="19" s="1"/>
  <c r="AB167" i="19"/>
  <c r="AG167" i="19" s="1"/>
  <c r="AB168" i="19"/>
  <c r="AG168" i="19" s="1"/>
  <c r="AB169" i="19"/>
  <c r="AG169" i="19" s="1"/>
  <c r="AB170" i="19"/>
  <c r="AG170" i="19" s="1"/>
  <c r="AB171" i="19"/>
  <c r="AG171" i="19" s="1"/>
  <c r="AB172" i="19"/>
  <c r="AG172" i="19" s="1"/>
  <c r="AB173" i="19"/>
  <c r="AG173" i="19" s="1"/>
  <c r="AB174" i="19"/>
  <c r="AG174" i="19" s="1"/>
  <c r="AB175" i="19"/>
  <c r="AG175" i="19" s="1"/>
  <c r="AB176" i="19"/>
  <c r="AG176" i="19" s="1"/>
  <c r="AB177" i="19"/>
  <c r="AG177" i="19" s="1"/>
  <c r="AB178" i="19"/>
  <c r="AG178" i="19" s="1"/>
  <c r="AB179" i="19"/>
  <c r="AG179" i="19" s="1"/>
  <c r="AB180" i="19"/>
  <c r="AG180" i="19" s="1"/>
  <c r="AB181" i="19"/>
  <c r="AG181" i="19" s="1"/>
  <c r="AB182" i="19"/>
  <c r="AG182" i="19" s="1"/>
  <c r="AA6" i="19"/>
  <c r="AF6" i="19" s="1"/>
  <c r="AA7" i="19"/>
  <c r="AF7" i="19" s="1"/>
  <c r="AA8" i="19"/>
  <c r="AF8" i="19" s="1"/>
  <c r="AA9" i="19"/>
  <c r="AF9" i="19" s="1"/>
  <c r="AA10" i="19"/>
  <c r="AF10" i="19" s="1"/>
  <c r="AA11" i="19"/>
  <c r="AF11" i="19" s="1"/>
  <c r="AA12" i="19"/>
  <c r="AF12" i="19" s="1"/>
  <c r="AA13" i="19"/>
  <c r="AF13" i="19" s="1"/>
  <c r="AA15" i="19"/>
  <c r="AF15" i="19" s="1"/>
  <c r="AA16" i="19"/>
  <c r="AF16" i="19" s="1"/>
  <c r="AA17" i="19"/>
  <c r="AF17" i="19" s="1"/>
  <c r="AA18" i="19"/>
  <c r="AF18" i="19" s="1"/>
  <c r="AA19" i="19"/>
  <c r="AF19" i="19" s="1"/>
  <c r="AA21" i="19"/>
  <c r="AF21" i="19" s="1"/>
  <c r="AA22" i="19"/>
  <c r="AF22" i="19" s="1"/>
  <c r="AA23" i="19"/>
  <c r="AF23" i="19" s="1"/>
  <c r="AA24" i="19"/>
  <c r="AF24" i="19" s="1"/>
  <c r="AA25" i="19"/>
  <c r="AF25" i="19" s="1"/>
  <c r="AA26" i="19"/>
  <c r="AF26" i="19" s="1"/>
  <c r="AA27" i="19"/>
  <c r="AF27" i="19" s="1"/>
  <c r="AA28" i="19"/>
  <c r="AF28" i="19" s="1"/>
  <c r="AA29" i="19"/>
  <c r="AF29" i="19" s="1"/>
  <c r="AA30" i="19"/>
  <c r="AF30" i="19" s="1"/>
  <c r="AA31" i="19"/>
  <c r="AF31" i="19" s="1"/>
  <c r="AA32" i="19"/>
  <c r="AF32" i="19" s="1"/>
  <c r="AA33" i="19"/>
  <c r="AF33" i="19" s="1"/>
  <c r="AA34" i="19"/>
  <c r="AF34" i="19" s="1"/>
  <c r="AA35" i="19"/>
  <c r="AF35" i="19" s="1"/>
  <c r="AA36" i="19"/>
  <c r="AF36" i="19" s="1"/>
  <c r="AA37" i="19"/>
  <c r="AF37" i="19" s="1"/>
  <c r="AA38" i="19"/>
  <c r="AF38" i="19" s="1"/>
  <c r="AA39" i="19"/>
  <c r="AF39" i="19" s="1"/>
  <c r="AA40" i="19"/>
  <c r="AF40" i="19" s="1"/>
  <c r="AA41" i="19"/>
  <c r="AF41" i="19" s="1"/>
  <c r="AA42" i="19"/>
  <c r="AF42" i="19" s="1"/>
  <c r="AA43" i="19"/>
  <c r="AF43" i="19" s="1"/>
  <c r="AA45" i="19"/>
  <c r="AA46" i="19" s="1"/>
  <c r="AA47" i="19"/>
  <c r="AA49" i="19"/>
  <c r="AF49" i="19" s="1"/>
  <c r="AA50" i="19"/>
  <c r="AF50" i="19" s="1"/>
  <c r="AA51" i="19"/>
  <c r="AF51" i="19" s="1"/>
  <c r="AA52" i="19"/>
  <c r="AF52" i="19" s="1"/>
  <c r="AA53" i="19"/>
  <c r="AF53" i="19" s="1"/>
  <c r="AA54" i="19"/>
  <c r="AF54" i="19" s="1"/>
  <c r="AA55" i="19"/>
  <c r="AF55" i="19" s="1"/>
  <c r="AA56" i="19"/>
  <c r="AF56" i="19" s="1"/>
  <c r="AA57" i="19"/>
  <c r="AF57" i="19" s="1"/>
  <c r="AA58" i="19"/>
  <c r="AF58" i="19" s="1"/>
  <c r="AA59" i="19"/>
  <c r="AF59" i="19" s="1"/>
  <c r="AA60" i="19"/>
  <c r="AF60" i="19" s="1"/>
  <c r="AA61" i="19"/>
  <c r="AF61" i="19" s="1"/>
  <c r="AA62" i="19"/>
  <c r="AF62" i="19" s="1"/>
  <c r="AA63" i="19"/>
  <c r="AF63" i="19" s="1"/>
  <c r="AA64" i="19"/>
  <c r="AF64" i="19" s="1"/>
  <c r="AA66" i="19"/>
  <c r="AF66" i="19" s="1"/>
  <c r="AA67" i="19"/>
  <c r="AF67" i="19" s="1"/>
  <c r="AA68" i="19"/>
  <c r="AF68" i="19" s="1"/>
  <c r="AA69" i="19"/>
  <c r="AF69" i="19" s="1"/>
  <c r="AA70" i="19"/>
  <c r="AF70" i="19" s="1"/>
  <c r="AA71" i="19"/>
  <c r="AF71" i="19" s="1"/>
  <c r="AA72" i="19"/>
  <c r="AF72" i="19" s="1"/>
  <c r="AA73" i="19"/>
  <c r="AF73" i="19" s="1"/>
  <c r="AA74" i="19"/>
  <c r="AF74" i="19" s="1"/>
  <c r="AA76" i="19"/>
  <c r="AF76" i="19" s="1"/>
  <c r="AA77" i="19"/>
  <c r="AF77" i="19" s="1"/>
  <c r="AA79" i="19"/>
  <c r="AA80" i="19"/>
  <c r="AF80" i="19" s="1"/>
  <c r="AA81" i="19"/>
  <c r="AF81" i="19" s="1"/>
  <c r="AA82" i="19"/>
  <c r="AF82" i="19" s="1"/>
  <c r="AA83" i="19"/>
  <c r="AF83" i="19" s="1"/>
  <c r="AA84" i="19"/>
  <c r="AF84" i="19" s="1"/>
  <c r="AA85" i="19"/>
  <c r="AF85" i="19" s="1"/>
  <c r="AA86" i="19"/>
  <c r="AF86" i="19" s="1"/>
  <c r="AA88" i="19"/>
  <c r="AF88" i="19" s="1"/>
  <c r="AA89" i="19"/>
  <c r="AF89" i="19" s="1"/>
  <c r="AA91" i="19"/>
  <c r="AF91" i="19" s="1"/>
  <c r="AA92" i="19"/>
  <c r="AF92" i="19" s="1"/>
  <c r="AA93" i="19"/>
  <c r="AF93" i="19" s="1"/>
  <c r="AA94" i="19"/>
  <c r="AF94" i="19" s="1"/>
  <c r="AA95" i="19"/>
  <c r="AF95" i="19" s="1"/>
  <c r="AA96" i="19"/>
  <c r="AF96" i="19" s="1"/>
  <c r="AA97" i="19"/>
  <c r="AF97" i="19" s="1"/>
  <c r="AA98" i="19"/>
  <c r="AF98" i="19" s="1"/>
  <c r="AA99" i="19"/>
  <c r="AF99" i="19" s="1"/>
  <c r="AA100" i="19"/>
  <c r="AF100" i="19" s="1"/>
  <c r="AA101" i="19"/>
  <c r="AF101" i="19" s="1"/>
  <c r="AA102" i="19"/>
  <c r="AF102" i="19" s="1"/>
  <c r="AA104" i="19"/>
  <c r="AF104" i="19" s="1"/>
  <c r="AA105" i="19"/>
  <c r="AF105" i="19" s="1"/>
  <c r="AA106" i="19"/>
  <c r="AF106" i="19" s="1"/>
  <c r="AA108" i="19"/>
  <c r="AF108" i="19" s="1"/>
  <c r="AA109" i="19"/>
  <c r="AF109" i="19" s="1"/>
  <c r="AA110" i="19"/>
  <c r="AF110" i="19" s="1"/>
  <c r="AA111" i="19"/>
  <c r="AF111" i="19" s="1"/>
  <c r="AA112" i="19"/>
  <c r="AF112" i="19" s="1"/>
  <c r="AA113" i="19"/>
  <c r="AF113" i="19" s="1"/>
  <c r="AA114" i="19"/>
  <c r="AF114" i="19" s="1"/>
  <c r="AA115" i="19"/>
  <c r="AF115" i="19" s="1"/>
  <c r="AA116" i="19"/>
  <c r="AF116" i="19" s="1"/>
  <c r="AA117" i="19"/>
  <c r="AF117" i="19" s="1"/>
  <c r="AA118" i="19"/>
  <c r="AF118" i="19" s="1"/>
  <c r="AA119" i="19"/>
  <c r="AF119" i="19" s="1"/>
  <c r="AA120" i="19"/>
  <c r="AF120" i="19" s="1"/>
  <c r="AA121" i="19"/>
  <c r="AF121" i="19" s="1"/>
  <c r="AA122" i="19"/>
  <c r="AF122" i="19" s="1"/>
  <c r="AA123" i="19"/>
  <c r="AF123" i="19" s="1"/>
  <c r="AA124" i="19"/>
  <c r="AF124" i="19" s="1"/>
  <c r="AA125" i="19"/>
  <c r="AF125" i="19" s="1"/>
  <c r="AA126" i="19"/>
  <c r="AF126" i="19" s="1"/>
  <c r="AA127" i="19"/>
  <c r="AF127" i="19" s="1"/>
  <c r="AA128" i="19"/>
  <c r="AF128" i="19" s="1"/>
  <c r="AA129" i="19"/>
  <c r="AF129" i="19" s="1"/>
  <c r="AA130" i="19"/>
  <c r="AF130" i="19" s="1"/>
  <c r="AA131" i="19"/>
  <c r="AF131" i="19" s="1"/>
  <c r="AA132" i="19"/>
  <c r="AF132" i="19" s="1"/>
  <c r="AA133" i="19"/>
  <c r="AF133" i="19" s="1"/>
  <c r="AA134" i="19"/>
  <c r="AF134" i="19" s="1"/>
  <c r="AA136" i="19"/>
  <c r="AF136" i="19" s="1"/>
  <c r="AA137" i="19"/>
  <c r="AF137" i="19" s="1"/>
  <c r="AA138" i="19"/>
  <c r="AF138" i="19" s="1"/>
  <c r="AA139" i="19"/>
  <c r="AF139" i="19" s="1"/>
  <c r="AA140" i="19"/>
  <c r="AF140" i="19" s="1"/>
  <c r="AA141" i="19"/>
  <c r="AF141" i="19" s="1"/>
  <c r="AA143" i="19"/>
  <c r="AF143" i="19" s="1"/>
  <c r="AA144" i="19"/>
  <c r="AF144" i="19" s="1"/>
  <c r="AA145" i="19"/>
  <c r="AF145" i="19" s="1"/>
  <c r="AA146" i="19"/>
  <c r="AF146" i="19" s="1"/>
  <c r="AA148" i="19"/>
  <c r="AF148" i="19" s="1"/>
  <c r="AA149" i="19"/>
  <c r="AF149" i="19" s="1"/>
  <c r="AA151" i="19"/>
  <c r="AF151" i="19" s="1"/>
  <c r="AA152" i="19"/>
  <c r="AF152" i="19" s="1"/>
  <c r="AA154" i="19"/>
  <c r="AA155" i="19"/>
  <c r="AF155" i="19" s="1"/>
  <c r="AA158" i="19"/>
  <c r="AF158" i="19" s="1"/>
  <c r="AA159" i="19"/>
  <c r="AA160" i="19"/>
  <c r="AF160" i="19" s="1"/>
  <c r="AA162" i="19"/>
  <c r="AF162" i="19" s="1"/>
  <c r="AA163" i="19"/>
  <c r="AF163" i="19" s="1"/>
  <c r="AA164" i="19"/>
  <c r="AF164" i="19" s="1"/>
  <c r="AA165" i="19"/>
  <c r="AF165" i="19" s="1"/>
  <c r="AA166" i="19"/>
  <c r="AF166" i="19" s="1"/>
  <c r="AA167" i="19"/>
  <c r="AF167" i="19" s="1"/>
  <c r="AA168" i="19"/>
  <c r="AF168" i="19" s="1"/>
  <c r="AA169" i="19"/>
  <c r="AF169" i="19" s="1"/>
  <c r="AA170" i="19"/>
  <c r="AF170" i="19" s="1"/>
  <c r="AA171" i="19"/>
  <c r="AF171" i="19" s="1"/>
  <c r="AA172" i="19"/>
  <c r="AF172" i="19" s="1"/>
  <c r="AA173" i="19"/>
  <c r="AF173" i="19" s="1"/>
  <c r="AA174" i="19"/>
  <c r="AF174" i="19" s="1"/>
  <c r="AA175" i="19"/>
  <c r="AF175" i="19" s="1"/>
  <c r="AA176" i="19"/>
  <c r="AF176" i="19" s="1"/>
  <c r="AA177" i="19"/>
  <c r="AF177" i="19" s="1"/>
  <c r="AA178" i="19"/>
  <c r="AF178" i="19" s="1"/>
  <c r="AA179" i="19"/>
  <c r="AF179" i="19" s="1"/>
  <c r="AA180" i="19"/>
  <c r="AF180" i="19" s="1"/>
  <c r="AA181" i="19"/>
  <c r="AF181" i="19" s="1"/>
  <c r="AA182" i="19"/>
  <c r="AF182" i="19" s="1"/>
  <c r="Z6" i="19"/>
  <c r="AE6" i="19" s="1"/>
  <c r="Z7" i="19"/>
  <c r="AE7" i="19" s="1"/>
  <c r="Z8" i="19"/>
  <c r="AE8" i="19" s="1"/>
  <c r="Z9" i="19"/>
  <c r="AE9" i="19" s="1"/>
  <c r="Z10" i="19"/>
  <c r="AE10" i="19" s="1"/>
  <c r="Z11" i="19"/>
  <c r="AE11" i="19" s="1"/>
  <c r="Z12" i="19"/>
  <c r="AE12" i="19" s="1"/>
  <c r="Z13" i="19"/>
  <c r="AE13" i="19" s="1"/>
  <c r="Z15" i="19"/>
  <c r="AE15" i="19" s="1"/>
  <c r="Z16" i="19"/>
  <c r="AE16" i="19" s="1"/>
  <c r="Z17" i="19"/>
  <c r="AE17" i="19" s="1"/>
  <c r="Z18" i="19"/>
  <c r="AE18" i="19" s="1"/>
  <c r="Z19" i="19"/>
  <c r="AE19" i="19" s="1"/>
  <c r="Z21" i="19"/>
  <c r="AE21" i="19" s="1"/>
  <c r="Z22" i="19"/>
  <c r="AE22" i="19" s="1"/>
  <c r="Z23" i="19"/>
  <c r="AE23" i="19" s="1"/>
  <c r="Z24" i="19"/>
  <c r="AE24" i="19" s="1"/>
  <c r="Z25" i="19"/>
  <c r="AE25" i="19" s="1"/>
  <c r="Z26" i="19"/>
  <c r="AE26" i="19" s="1"/>
  <c r="Z27" i="19"/>
  <c r="AE27" i="19" s="1"/>
  <c r="Z28" i="19"/>
  <c r="AE28" i="19" s="1"/>
  <c r="Z29" i="19"/>
  <c r="AE29" i="19" s="1"/>
  <c r="Z30" i="19"/>
  <c r="AE30" i="19" s="1"/>
  <c r="Z31" i="19"/>
  <c r="AE31" i="19" s="1"/>
  <c r="Z32" i="19"/>
  <c r="AE32" i="19" s="1"/>
  <c r="Z33" i="19"/>
  <c r="AE33" i="19" s="1"/>
  <c r="Z34" i="19"/>
  <c r="AE34" i="19" s="1"/>
  <c r="Z35" i="19"/>
  <c r="AE35" i="19" s="1"/>
  <c r="Z36" i="19"/>
  <c r="AE36" i="19" s="1"/>
  <c r="Z37" i="19"/>
  <c r="AE37" i="19" s="1"/>
  <c r="Z38" i="19"/>
  <c r="AE38" i="19" s="1"/>
  <c r="Z39" i="19"/>
  <c r="AE39" i="19" s="1"/>
  <c r="Z40" i="19"/>
  <c r="AE40" i="19" s="1"/>
  <c r="Z41" i="19"/>
  <c r="AE41" i="19" s="1"/>
  <c r="Z42" i="19"/>
  <c r="AE42" i="19" s="1"/>
  <c r="Z43" i="19"/>
  <c r="AE43" i="19" s="1"/>
  <c r="Z45" i="19"/>
  <c r="AE45" i="19" s="1"/>
  <c r="AE46" i="19" s="1"/>
  <c r="Z47" i="19"/>
  <c r="Z48" i="19" s="1"/>
  <c r="Z49" i="19"/>
  <c r="AE49" i="19" s="1"/>
  <c r="Z50" i="19"/>
  <c r="Z51" i="19"/>
  <c r="AE51" i="19" s="1"/>
  <c r="Z52" i="19"/>
  <c r="AE52" i="19" s="1"/>
  <c r="Z53" i="19"/>
  <c r="AE53" i="19" s="1"/>
  <c r="Z54" i="19"/>
  <c r="AE54" i="19" s="1"/>
  <c r="Z55" i="19"/>
  <c r="AE55" i="19" s="1"/>
  <c r="Z56" i="19"/>
  <c r="AE56" i="19" s="1"/>
  <c r="Z57" i="19"/>
  <c r="AE57" i="19" s="1"/>
  <c r="Z58" i="19"/>
  <c r="AE58" i="19" s="1"/>
  <c r="Z59" i="19"/>
  <c r="AE59" i="19" s="1"/>
  <c r="Z60" i="19"/>
  <c r="AE60" i="19" s="1"/>
  <c r="Z61" i="19"/>
  <c r="AE61" i="19" s="1"/>
  <c r="Z62" i="19"/>
  <c r="AE62" i="19" s="1"/>
  <c r="Z63" i="19"/>
  <c r="AE63" i="19" s="1"/>
  <c r="Z64" i="19"/>
  <c r="AE64" i="19" s="1"/>
  <c r="Z66" i="19"/>
  <c r="AE66" i="19" s="1"/>
  <c r="Z67" i="19"/>
  <c r="AE67" i="19" s="1"/>
  <c r="Z68" i="19"/>
  <c r="AE68" i="19" s="1"/>
  <c r="Z69" i="19"/>
  <c r="AE69" i="19" s="1"/>
  <c r="Z70" i="19"/>
  <c r="AE70" i="19" s="1"/>
  <c r="Z71" i="19"/>
  <c r="AE71" i="19" s="1"/>
  <c r="Z72" i="19"/>
  <c r="AE72" i="19" s="1"/>
  <c r="Z73" i="19"/>
  <c r="AE73" i="19" s="1"/>
  <c r="Z74" i="19"/>
  <c r="AE74" i="19" s="1"/>
  <c r="Z76" i="19"/>
  <c r="AE76" i="19" s="1"/>
  <c r="Z77" i="19"/>
  <c r="AE77" i="19" s="1"/>
  <c r="Z79" i="19"/>
  <c r="AE79" i="19" s="1"/>
  <c r="Z80" i="19"/>
  <c r="AE80" i="19" s="1"/>
  <c r="Z81" i="19"/>
  <c r="AE81" i="19" s="1"/>
  <c r="Z82" i="19"/>
  <c r="AE82" i="19" s="1"/>
  <c r="Z83" i="19"/>
  <c r="AE83" i="19" s="1"/>
  <c r="Z84" i="19"/>
  <c r="AE84" i="19" s="1"/>
  <c r="Z85" i="19"/>
  <c r="AE85" i="19" s="1"/>
  <c r="Z86" i="19"/>
  <c r="AE86" i="19" s="1"/>
  <c r="Z88" i="19"/>
  <c r="AE88" i="19" s="1"/>
  <c r="Z89" i="19"/>
  <c r="Z91" i="19"/>
  <c r="AE91" i="19" s="1"/>
  <c r="Z92" i="19"/>
  <c r="Z93" i="19"/>
  <c r="AE93" i="19" s="1"/>
  <c r="Z94" i="19"/>
  <c r="AE94" i="19" s="1"/>
  <c r="Z95" i="19"/>
  <c r="AE95" i="19" s="1"/>
  <c r="Z96" i="19"/>
  <c r="AE96" i="19" s="1"/>
  <c r="Z97" i="19"/>
  <c r="AE97" i="19" s="1"/>
  <c r="Z98" i="19"/>
  <c r="AE98" i="19" s="1"/>
  <c r="Z99" i="19"/>
  <c r="AE99" i="19" s="1"/>
  <c r="Z100" i="19"/>
  <c r="AE100" i="19" s="1"/>
  <c r="Z101" i="19"/>
  <c r="AE101" i="19" s="1"/>
  <c r="Z102" i="19"/>
  <c r="AE102" i="19" s="1"/>
  <c r="Z104" i="19"/>
  <c r="AE104" i="19" s="1"/>
  <c r="Z105" i="19"/>
  <c r="AE105" i="19" s="1"/>
  <c r="Z106" i="19"/>
  <c r="AE106" i="19" s="1"/>
  <c r="Z108" i="19"/>
  <c r="Z109" i="19"/>
  <c r="AE109" i="19" s="1"/>
  <c r="Z110" i="19"/>
  <c r="AE110" i="19" s="1"/>
  <c r="Z111" i="19"/>
  <c r="AE111" i="19" s="1"/>
  <c r="Z112" i="19"/>
  <c r="AE112" i="19" s="1"/>
  <c r="Z113" i="19"/>
  <c r="AE113" i="19" s="1"/>
  <c r="Z114" i="19"/>
  <c r="AE114" i="19" s="1"/>
  <c r="Z115" i="19"/>
  <c r="AE115" i="19" s="1"/>
  <c r="Z116" i="19"/>
  <c r="AE116" i="19" s="1"/>
  <c r="Z117" i="19"/>
  <c r="AE117" i="19" s="1"/>
  <c r="Z118" i="19"/>
  <c r="AE118" i="19" s="1"/>
  <c r="Z119" i="19"/>
  <c r="AE119" i="19" s="1"/>
  <c r="Z120" i="19"/>
  <c r="AE120" i="19" s="1"/>
  <c r="Z121" i="19"/>
  <c r="AE121" i="19" s="1"/>
  <c r="Z122" i="19"/>
  <c r="AE122" i="19" s="1"/>
  <c r="Z123" i="19"/>
  <c r="AE123" i="19" s="1"/>
  <c r="Z124" i="19"/>
  <c r="AE124" i="19" s="1"/>
  <c r="Z125" i="19"/>
  <c r="AE125" i="19" s="1"/>
  <c r="Z126" i="19"/>
  <c r="AE126" i="19" s="1"/>
  <c r="Z127" i="19"/>
  <c r="AE127" i="19" s="1"/>
  <c r="Z128" i="19"/>
  <c r="AE128" i="19" s="1"/>
  <c r="Z129" i="19"/>
  <c r="AE129" i="19" s="1"/>
  <c r="Z130" i="19"/>
  <c r="AE130" i="19" s="1"/>
  <c r="Z131" i="19"/>
  <c r="AE131" i="19" s="1"/>
  <c r="Z132" i="19"/>
  <c r="AE132" i="19" s="1"/>
  <c r="Z133" i="19"/>
  <c r="AE133" i="19" s="1"/>
  <c r="Z134" i="19"/>
  <c r="AE134" i="19" s="1"/>
  <c r="Z136" i="19"/>
  <c r="AE136" i="19" s="1"/>
  <c r="Z137" i="19"/>
  <c r="AE137" i="19" s="1"/>
  <c r="Z138" i="19"/>
  <c r="AE138" i="19" s="1"/>
  <c r="Z139" i="19"/>
  <c r="AE139" i="19" s="1"/>
  <c r="Z140" i="19"/>
  <c r="AE140" i="19" s="1"/>
  <c r="Z141" i="19"/>
  <c r="AE141" i="19" s="1"/>
  <c r="Z143" i="19"/>
  <c r="AE143" i="19" s="1"/>
  <c r="Z144" i="19"/>
  <c r="AE144" i="19" s="1"/>
  <c r="Z145" i="19"/>
  <c r="AE145" i="19" s="1"/>
  <c r="Z146" i="19"/>
  <c r="AE146" i="19" s="1"/>
  <c r="Z148" i="19"/>
  <c r="AE148" i="19" s="1"/>
  <c r="Z149" i="19"/>
  <c r="AE149" i="19" s="1"/>
  <c r="Z151" i="19"/>
  <c r="AE151" i="19" s="1"/>
  <c r="Z152" i="19"/>
  <c r="AE152" i="19" s="1"/>
  <c r="Z154" i="19"/>
  <c r="Z155" i="19"/>
  <c r="Z158" i="19"/>
  <c r="AE158" i="19" s="1"/>
  <c r="Z159" i="19"/>
  <c r="Z160" i="19"/>
  <c r="AE160" i="19" s="1"/>
  <c r="Z162" i="19"/>
  <c r="Z163" i="19"/>
  <c r="AE163" i="19" s="1"/>
  <c r="Z164" i="19"/>
  <c r="AE164" i="19" s="1"/>
  <c r="Z165" i="19"/>
  <c r="AE165" i="19" s="1"/>
  <c r="Z166" i="19"/>
  <c r="AE166" i="19" s="1"/>
  <c r="Z167" i="19"/>
  <c r="AE167" i="19" s="1"/>
  <c r="Z168" i="19"/>
  <c r="AE168" i="19" s="1"/>
  <c r="Z169" i="19"/>
  <c r="AE169" i="19" s="1"/>
  <c r="Z170" i="19"/>
  <c r="AE170" i="19" s="1"/>
  <c r="Z171" i="19"/>
  <c r="AE171" i="19" s="1"/>
  <c r="Z172" i="19"/>
  <c r="AE172" i="19" s="1"/>
  <c r="Z173" i="19"/>
  <c r="AE173" i="19" s="1"/>
  <c r="Z174" i="19"/>
  <c r="AE174" i="19" s="1"/>
  <c r="Z175" i="19"/>
  <c r="AE175" i="19" s="1"/>
  <c r="Z176" i="19"/>
  <c r="AE176" i="19" s="1"/>
  <c r="Z177" i="19"/>
  <c r="AE177" i="19" s="1"/>
  <c r="Z178" i="19"/>
  <c r="AE178" i="19" s="1"/>
  <c r="Z179" i="19"/>
  <c r="AE179" i="19" s="1"/>
  <c r="Z180" i="19"/>
  <c r="AE180" i="19" s="1"/>
  <c r="Z181" i="19"/>
  <c r="AE181" i="19" s="1"/>
  <c r="Z182" i="19"/>
  <c r="AE182" i="19" s="1"/>
  <c r="X6" i="19"/>
  <c r="AC6" i="19" s="1"/>
  <c r="X7" i="19"/>
  <c r="AC7" i="19" s="1"/>
  <c r="X8" i="19"/>
  <c r="AC8" i="19" s="1"/>
  <c r="X9" i="19"/>
  <c r="AC9" i="19" s="1"/>
  <c r="X10" i="19"/>
  <c r="AC10" i="19" s="1"/>
  <c r="X11" i="19"/>
  <c r="AC11" i="19" s="1"/>
  <c r="X12" i="19"/>
  <c r="AC12" i="19" s="1"/>
  <c r="X13" i="19"/>
  <c r="AC13" i="19" s="1"/>
  <c r="X15" i="19"/>
  <c r="AC15" i="19" s="1"/>
  <c r="X16" i="19"/>
  <c r="AC16" i="19" s="1"/>
  <c r="X17" i="19"/>
  <c r="AC17" i="19" s="1"/>
  <c r="X18" i="19"/>
  <c r="AC18" i="19" s="1"/>
  <c r="X19" i="19"/>
  <c r="AC19" i="19" s="1"/>
  <c r="X21" i="19"/>
  <c r="AC21" i="19" s="1"/>
  <c r="X22" i="19"/>
  <c r="AC22" i="19" s="1"/>
  <c r="X23" i="19"/>
  <c r="AC23" i="19" s="1"/>
  <c r="X24" i="19"/>
  <c r="AC24" i="19" s="1"/>
  <c r="X25" i="19"/>
  <c r="AC25" i="19" s="1"/>
  <c r="X26" i="19"/>
  <c r="AC26" i="19" s="1"/>
  <c r="X27" i="19"/>
  <c r="AC27" i="19" s="1"/>
  <c r="X28" i="19"/>
  <c r="AC28" i="19" s="1"/>
  <c r="X29" i="19"/>
  <c r="AC29" i="19" s="1"/>
  <c r="X30" i="19"/>
  <c r="AC30" i="19" s="1"/>
  <c r="X31" i="19"/>
  <c r="AC31" i="19" s="1"/>
  <c r="X32" i="19"/>
  <c r="AC32" i="19" s="1"/>
  <c r="X33" i="19"/>
  <c r="AC33" i="19" s="1"/>
  <c r="X34" i="19"/>
  <c r="AC34" i="19" s="1"/>
  <c r="X35" i="19"/>
  <c r="AC35" i="19" s="1"/>
  <c r="X36" i="19"/>
  <c r="AC36" i="19" s="1"/>
  <c r="X37" i="19"/>
  <c r="AC37" i="19" s="1"/>
  <c r="X38" i="19"/>
  <c r="AC38" i="19" s="1"/>
  <c r="X39" i="19"/>
  <c r="AC39" i="19" s="1"/>
  <c r="X40" i="19"/>
  <c r="AC40" i="19" s="1"/>
  <c r="X41" i="19"/>
  <c r="AC41" i="19" s="1"/>
  <c r="X42" i="19"/>
  <c r="AC42" i="19" s="1"/>
  <c r="X43" i="19"/>
  <c r="AC43" i="19" s="1"/>
  <c r="X45" i="19"/>
  <c r="AC45" i="19" s="1"/>
  <c r="AC46" i="19" s="1"/>
  <c r="X47" i="19"/>
  <c r="X49" i="19"/>
  <c r="AC49" i="19" s="1"/>
  <c r="X50" i="19"/>
  <c r="AC50" i="19" s="1"/>
  <c r="X51" i="19"/>
  <c r="AC51" i="19" s="1"/>
  <c r="X52" i="19"/>
  <c r="AC52" i="19" s="1"/>
  <c r="X53" i="19"/>
  <c r="AC53" i="19" s="1"/>
  <c r="X54" i="19"/>
  <c r="AC54" i="19" s="1"/>
  <c r="X55" i="19"/>
  <c r="AC55" i="19" s="1"/>
  <c r="X56" i="19"/>
  <c r="AC56" i="19" s="1"/>
  <c r="X57" i="19"/>
  <c r="AC57" i="19" s="1"/>
  <c r="X58" i="19"/>
  <c r="AC58" i="19" s="1"/>
  <c r="X59" i="19"/>
  <c r="AC59" i="19" s="1"/>
  <c r="X60" i="19"/>
  <c r="AC60" i="19" s="1"/>
  <c r="X61" i="19"/>
  <c r="AC61" i="19" s="1"/>
  <c r="X62" i="19"/>
  <c r="AC62" i="19" s="1"/>
  <c r="X63" i="19"/>
  <c r="AC63" i="19" s="1"/>
  <c r="X64" i="19"/>
  <c r="AC64" i="19" s="1"/>
  <c r="X66" i="19"/>
  <c r="AC66" i="19" s="1"/>
  <c r="X67" i="19"/>
  <c r="AC67" i="19" s="1"/>
  <c r="X68" i="19"/>
  <c r="AC68" i="19" s="1"/>
  <c r="X69" i="19"/>
  <c r="AC69" i="19" s="1"/>
  <c r="X70" i="19"/>
  <c r="AC70" i="19" s="1"/>
  <c r="X71" i="19"/>
  <c r="AC71" i="19" s="1"/>
  <c r="X72" i="19"/>
  <c r="AC72" i="19" s="1"/>
  <c r="X73" i="19"/>
  <c r="AC73" i="19" s="1"/>
  <c r="X74" i="19"/>
  <c r="AC74" i="19" s="1"/>
  <c r="X76" i="19"/>
  <c r="AC76" i="19" s="1"/>
  <c r="X77" i="19"/>
  <c r="AC77" i="19" s="1"/>
  <c r="X79" i="19"/>
  <c r="AC79" i="19" s="1"/>
  <c r="X80" i="19"/>
  <c r="AC80" i="19" s="1"/>
  <c r="X81" i="19"/>
  <c r="AC81" i="19" s="1"/>
  <c r="X82" i="19"/>
  <c r="AC82" i="19" s="1"/>
  <c r="X83" i="19"/>
  <c r="AC83" i="19" s="1"/>
  <c r="X84" i="19"/>
  <c r="AC84" i="19" s="1"/>
  <c r="X85" i="19"/>
  <c r="AC85" i="19" s="1"/>
  <c r="X86" i="19"/>
  <c r="AC86" i="19" s="1"/>
  <c r="X88" i="19"/>
  <c r="AC88" i="19" s="1"/>
  <c r="X89" i="19"/>
  <c r="AC89" i="19" s="1"/>
  <c r="X91" i="19"/>
  <c r="AC91" i="19" s="1"/>
  <c r="X92" i="19"/>
  <c r="AC92" i="19" s="1"/>
  <c r="X93" i="19"/>
  <c r="AC93" i="19" s="1"/>
  <c r="X94" i="19"/>
  <c r="AC94" i="19" s="1"/>
  <c r="X95" i="19"/>
  <c r="AC95" i="19" s="1"/>
  <c r="X96" i="19"/>
  <c r="AC96" i="19" s="1"/>
  <c r="X97" i="19"/>
  <c r="AC97" i="19" s="1"/>
  <c r="X98" i="19"/>
  <c r="AC98" i="19" s="1"/>
  <c r="X99" i="19"/>
  <c r="AC99" i="19" s="1"/>
  <c r="X100" i="19"/>
  <c r="AC100" i="19" s="1"/>
  <c r="X101" i="19"/>
  <c r="AC101" i="19" s="1"/>
  <c r="X102" i="19"/>
  <c r="AC102" i="19" s="1"/>
  <c r="X104" i="19"/>
  <c r="AC104" i="19" s="1"/>
  <c r="X105" i="19"/>
  <c r="AC105" i="19" s="1"/>
  <c r="X106" i="19"/>
  <c r="AC106" i="19" s="1"/>
  <c r="X108" i="19"/>
  <c r="AC108" i="19" s="1"/>
  <c r="X109" i="19"/>
  <c r="AC109" i="19" s="1"/>
  <c r="X110" i="19"/>
  <c r="AC110" i="19" s="1"/>
  <c r="X111" i="19"/>
  <c r="AC111" i="19" s="1"/>
  <c r="X112" i="19"/>
  <c r="AC112" i="19" s="1"/>
  <c r="X113" i="19"/>
  <c r="AC113" i="19" s="1"/>
  <c r="X114" i="19"/>
  <c r="AC114" i="19" s="1"/>
  <c r="X115" i="19"/>
  <c r="AC115" i="19" s="1"/>
  <c r="X116" i="19"/>
  <c r="AC116" i="19" s="1"/>
  <c r="X117" i="19"/>
  <c r="AC117" i="19" s="1"/>
  <c r="X118" i="19"/>
  <c r="AC118" i="19" s="1"/>
  <c r="X119" i="19"/>
  <c r="AC119" i="19" s="1"/>
  <c r="X120" i="19"/>
  <c r="AC120" i="19" s="1"/>
  <c r="X121" i="19"/>
  <c r="AC121" i="19" s="1"/>
  <c r="X122" i="19"/>
  <c r="AC122" i="19" s="1"/>
  <c r="X123" i="19"/>
  <c r="AC123" i="19" s="1"/>
  <c r="X124" i="19"/>
  <c r="AC124" i="19" s="1"/>
  <c r="X125" i="19"/>
  <c r="AC125" i="19" s="1"/>
  <c r="X126" i="19"/>
  <c r="AC126" i="19" s="1"/>
  <c r="X127" i="19"/>
  <c r="AC127" i="19" s="1"/>
  <c r="X128" i="19"/>
  <c r="AC128" i="19" s="1"/>
  <c r="X129" i="19"/>
  <c r="AC129" i="19" s="1"/>
  <c r="X130" i="19"/>
  <c r="AC130" i="19" s="1"/>
  <c r="X131" i="19"/>
  <c r="AC131" i="19" s="1"/>
  <c r="X132" i="19"/>
  <c r="AC132" i="19" s="1"/>
  <c r="X133" i="19"/>
  <c r="AC133" i="19" s="1"/>
  <c r="X134" i="19"/>
  <c r="AC134" i="19" s="1"/>
  <c r="X136" i="19"/>
  <c r="AC136" i="19" s="1"/>
  <c r="X137" i="19"/>
  <c r="AC137" i="19" s="1"/>
  <c r="X138" i="19"/>
  <c r="AC138" i="19" s="1"/>
  <c r="X139" i="19"/>
  <c r="AC139" i="19" s="1"/>
  <c r="X140" i="19"/>
  <c r="AC140" i="19" s="1"/>
  <c r="X141" i="19"/>
  <c r="AC141" i="19" s="1"/>
  <c r="X143" i="19"/>
  <c r="AC143" i="19" s="1"/>
  <c r="X144" i="19"/>
  <c r="X145" i="19"/>
  <c r="AC145" i="19" s="1"/>
  <c r="X146" i="19"/>
  <c r="AC146" i="19" s="1"/>
  <c r="X148" i="19"/>
  <c r="AC148" i="19" s="1"/>
  <c r="X149" i="19"/>
  <c r="AC149" i="19" s="1"/>
  <c r="X151" i="19"/>
  <c r="AC151" i="19" s="1"/>
  <c r="X152" i="19"/>
  <c r="AC152" i="19" s="1"/>
  <c r="X154" i="19"/>
  <c r="X155" i="19"/>
  <c r="AC155" i="19" s="1"/>
  <c r="X158" i="19"/>
  <c r="AC158" i="19" s="1"/>
  <c r="X159" i="19"/>
  <c r="AC159" i="19" s="1"/>
  <c r="X160" i="19"/>
  <c r="AC160" i="19" s="1"/>
  <c r="X162" i="19"/>
  <c r="AC162" i="19" s="1"/>
  <c r="X163" i="19"/>
  <c r="AC163" i="19" s="1"/>
  <c r="X164" i="19"/>
  <c r="AC164" i="19" s="1"/>
  <c r="X165" i="19"/>
  <c r="AC165" i="19" s="1"/>
  <c r="X166" i="19"/>
  <c r="AC166" i="19" s="1"/>
  <c r="X167" i="19"/>
  <c r="AC167" i="19" s="1"/>
  <c r="X168" i="19"/>
  <c r="AC168" i="19" s="1"/>
  <c r="X169" i="19"/>
  <c r="AC169" i="19" s="1"/>
  <c r="X170" i="19"/>
  <c r="AC170" i="19" s="1"/>
  <c r="X171" i="19"/>
  <c r="AC171" i="19" s="1"/>
  <c r="X172" i="19"/>
  <c r="AC172" i="19" s="1"/>
  <c r="X173" i="19"/>
  <c r="AC173" i="19" s="1"/>
  <c r="X174" i="19"/>
  <c r="AC174" i="19" s="1"/>
  <c r="X175" i="19"/>
  <c r="AC175" i="19" s="1"/>
  <c r="X176" i="19"/>
  <c r="AC176" i="19" s="1"/>
  <c r="X177" i="19"/>
  <c r="AC177" i="19" s="1"/>
  <c r="X178" i="19"/>
  <c r="AC178" i="19" s="1"/>
  <c r="X179" i="19"/>
  <c r="AC179" i="19" s="1"/>
  <c r="X180" i="19"/>
  <c r="AC180" i="19" s="1"/>
  <c r="X181" i="19"/>
  <c r="AC181" i="19" s="1"/>
  <c r="X182" i="19"/>
  <c r="AC182" i="19" s="1"/>
  <c r="Y6" i="19"/>
  <c r="AD6" i="19" s="1"/>
  <c r="Y7" i="19"/>
  <c r="AD7" i="19" s="1"/>
  <c r="Y8" i="19"/>
  <c r="AD8" i="19" s="1"/>
  <c r="Y9" i="19"/>
  <c r="AD9" i="19" s="1"/>
  <c r="Y10" i="19"/>
  <c r="AD10" i="19" s="1"/>
  <c r="Y11" i="19"/>
  <c r="AD11" i="19" s="1"/>
  <c r="Y12" i="19"/>
  <c r="AD12" i="19" s="1"/>
  <c r="Y13" i="19"/>
  <c r="AD13" i="19" s="1"/>
  <c r="Y15" i="19"/>
  <c r="AD15" i="19" s="1"/>
  <c r="Y16" i="19"/>
  <c r="AD16" i="19" s="1"/>
  <c r="Y17" i="19"/>
  <c r="AD17" i="19" s="1"/>
  <c r="Y18" i="19"/>
  <c r="AD18" i="19" s="1"/>
  <c r="Y19" i="19"/>
  <c r="AD19" i="19" s="1"/>
  <c r="Y21" i="19"/>
  <c r="AD21" i="19" s="1"/>
  <c r="Y22" i="19"/>
  <c r="AD22" i="19" s="1"/>
  <c r="Y23" i="19"/>
  <c r="AD23" i="19" s="1"/>
  <c r="Y24" i="19"/>
  <c r="AD24" i="19" s="1"/>
  <c r="Y25" i="19"/>
  <c r="AD25" i="19" s="1"/>
  <c r="Y26" i="19"/>
  <c r="AD26" i="19" s="1"/>
  <c r="Y27" i="19"/>
  <c r="AD27" i="19" s="1"/>
  <c r="Y28" i="19"/>
  <c r="AD28" i="19" s="1"/>
  <c r="Y29" i="19"/>
  <c r="AD29" i="19" s="1"/>
  <c r="Y30" i="19"/>
  <c r="AD30" i="19" s="1"/>
  <c r="Y31" i="19"/>
  <c r="AD31" i="19" s="1"/>
  <c r="Y32" i="19"/>
  <c r="AD32" i="19" s="1"/>
  <c r="Y33" i="19"/>
  <c r="AD33" i="19" s="1"/>
  <c r="Y34" i="19"/>
  <c r="AD34" i="19" s="1"/>
  <c r="Y35" i="19"/>
  <c r="AD35" i="19" s="1"/>
  <c r="Y36" i="19"/>
  <c r="AD36" i="19" s="1"/>
  <c r="Y37" i="19"/>
  <c r="AD37" i="19" s="1"/>
  <c r="Y38" i="19"/>
  <c r="AD38" i="19" s="1"/>
  <c r="Y39" i="19"/>
  <c r="AD39" i="19" s="1"/>
  <c r="Y40" i="19"/>
  <c r="AD40" i="19" s="1"/>
  <c r="Y41" i="19"/>
  <c r="AD41" i="19" s="1"/>
  <c r="Y42" i="19"/>
  <c r="AD42" i="19" s="1"/>
  <c r="Y43" i="19"/>
  <c r="AD43" i="19" s="1"/>
  <c r="Y45" i="19"/>
  <c r="Y46" i="19" s="1"/>
  <c r="Y47" i="19"/>
  <c r="AD47" i="19" s="1"/>
  <c r="AD48" i="19" s="1"/>
  <c r="Y49" i="19"/>
  <c r="AD49" i="19" s="1"/>
  <c r="Y50" i="19"/>
  <c r="AD50" i="19" s="1"/>
  <c r="Y51" i="19"/>
  <c r="AD51" i="19" s="1"/>
  <c r="Y52" i="19"/>
  <c r="AD52" i="19" s="1"/>
  <c r="Y53" i="19"/>
  <c r="AD53" i="19" s="1"/>
  <c r="Y54" i="19"/>
  <c r="AD54" i="19" s="1"/>
  <c r="Y55" i="19"/>
  <c r="AD55" i="19" s="1"/>
  <c r="Y56" i="19"/>
  <c r="AD56" i="19" s="1"/>
  <c r="Y57" i="19"/>
  <c r="AD57" i="19" s="1"/>
  <c r="Y58" i="19"/>
  <c r="AD58" i="19" s="1"/>
  <c r="Y59" i="19"/>
  <c r="AD59" i="19" s="1"/>
  <c r="Y60" i="19"/>
  <c r="AD60" i="19" s="1"/>
  <c r="Y61" i="19"/>
  <c r="AD61" i="19" s="1"/>
  <c r="Y62" i="19"/>
  <c r="AD62" i="19" s="1"/>
  <c r="Y63" i="19"/>
  <c r="AD63" i="19" s="1"/>
  <c r="Y64" i="19"/>
  <c r="AD64" i="19" s="1"/>
  <c r="Y66" i="19"/>
  <c r="AD66" i="19" s="1"/>
  <c r="Y67" i="19"/>
  <c r="AD67" i="19" s="1"/>
  <c r="Y68" i="19"/>
  <c r="AD68" i="19" s="1"/>
  <c r="Y69" i="19"/>
  <c r="AD69" i="19" s="1"/>
  <c r="Y70" i="19"/>
  <c r="AD70" i="19" s="1"/>
  <c r="Y71" i="19"/>
  <c r="AD71" i="19" s="1"/>
  <c r="Y72" i="19"/>
  <c r="AD72" i="19" s="1"/>
  <c r="Y73" i="19"/>
  <c r="AD73" i="19" s="1"/>
  <c r="Y74" i="19"/>
  <c r="AD74" i="19" s="1"/>
  <c r="Y76" i="19"/>
  <c r="AD76" i="19" s="1"/>
  <c r="Y77" i="19"/>
  <c r="AD77" i="19" s="1"/>
  <c r="Y79" i="19"/>
  <c r="AD79" i="19" s="1"/>
  <c r="Y80" i="19"/>
  <c r="AD80" i="19" s="1"/>
  <c r="Y81" i="19"/>
  <c r="AD81" i="19" s="1"/>
  <c r="Y82" i="19"/>
  <c r="AD82" i="19" s="1"/>
  <c r="Y83" i="19"/>
  <c r="AD83" i="19" s="1"/>
  <c r="Y84" i="19"/>
  <c r="AD84" i="19" s="1"/>
  <c r="Y85" i="19"/>
  <c r="AD85" i="19" s="1"/>
  <c r="Y86" i="19"/>
  <c r="AD86" i="19" s="1"/>
  <c r="Y88" i="19"/>
  <c r="AD88" i="19" s="1"/>
  <c r="Y89" i="19"/>
  <c r="AD89" i="19" s="1"/>
  <c r="Y91" i="19"/>
  <c r="AD91" i="19" s="1"/>
  <c r="Y92" i="19"/>
  <c r="AD92" i="19" s="1"/>
  <c r="Y93" i="19"/>
  <c r="AD93" i="19" s="1"/>
  <c r="Y94" i="19"/>
  <c r="AD94" i="19" s="1"/>
  <c r="Y95" i="19"/>
  <c r="AD95" i="19" s="1"/>
  <c r="Y96" i="19"/>
  <c r="AD96" i="19" s="1"/>
  <c r="Y97" i="19"/>
  <c r="AD97" i="19" s="1"/>
  <c r="Y98" i="19"/>
  <c r="AD98" i="19" s="1"/>
  <c r="Y99" i="19"/>
  <c r="AD99" i="19" s="1"/>
  <c r="Y100" i="19"/>
  <c r="AD100" i="19" s="1"/>
  <c r="Y101" i="19"/>
  <c r="AD101" i="19" s="1"/>
  <c r="Y102" i="19"/>
  <c r="AD102" i="19" s="1"/>
  <c r="Y104" i="19"/>
  <c r="AD104" i="19" s="1"/>
  <c r="Y105" i="19"/>
  <c r="Y106" i="19"/>
  <c r="AD106" i="19" s="1"/>
  <c r="Y108" i="19"/>
  <c r="AD108" i="19" s="1"/>
  <c r="Y109" i="19"/>
  <c r="AD109" i="19" s="1"/>
  <c r="Y110" i="19"/>
  <c r="AD110" i="19" s="1"/>
  <c r="Y111" i="19"/>
  <c r="AD111" i="19" s="1"/>
  <c r="Y112" i="19"/>
  <c r="AD112" i="19" s="1"/>
  <c r="Y113" i="19"/>
  <c r="AD113" i="19" s="1"/>
  <c r="Y114" i="19"/>
  <c r="AD114" i="19" s="1"/>
  <c r="Y115" i="19"/>
  <c r="AD115" i="19" s="1"/>
  <c r="Y116" i="19"/>
  <c r="AD116" i="19" s="1"/>
  <c r="Y117" i="19"/>
  <c r="AD117" i="19" s="1"/>
  <c r="Y118" i="19"/>
  <c r="AD118" i="19" s="1"/>
  <c r="Y119" i="19"/>
  <c r="AD119" i="19" s="1"/>
  <c r="Y120" i="19"/>
  <c r="AD120" i="19" s="1"/>
  <c r="Y121" i="19"/>
  <c r="AD121" i="19" s="1"/>
  <c r="Y122" i="19"/>
  <c r="AD122" i="19" s="1"/>
  <c r="Y123" i="19"/>
  <c r="AD123" i="19" s="1"/>
  <c r="Y124" i="19"/>
  <c r="AD124" i="19" s="1"/>
  <c r="Y125" i="19"/>
  <c r="AD125" i="19" s="1"/>
  <c r="Y126" i="19"/>
  <c r="AD126" i="19" s="1"/>
  <c r="Y127" i="19"/>
  <c r="AD127" i="19" s="1"/>
  <c r="Y128" i="19"/>
  <c r="AD128" i="19" s="1"/>
  <c r="Y129" i="19"/>
  <c r="AD129" i="19" s="1"/>
  <c r="Y130" i="19"/>
  <c r="AD130" i="19" s="1"/>
  <c r="Y131" i="19"/>
  <c r="AD131" i="19" s="1"/>
  <c r="Y132" i="19"/>
  <c r="AD132" i="19" s="1"/>
  <c r="Y133" i="19"/>
  <c r="AD133" i="19" s="1"/>
  <c r="Y134" i="19"/>
  <c r="AD134" i="19" s="1"/>
  <c r="Y136" i="19"/>
  <c r="AD136" i="19" s="1"/>
  <c r="Y137" i="19"/>
  <c r="AD137" i="19" s="1"/>
  <c r="Y138" i="19"/>
  <c r="AD138" i="19" s="1"/>
  <c r="Y139" i="19"/>
  <c r="AD139" i="19" s="1"/>
  <c r="Y140" i="19"/>
  <c r="AD140" i="19" s="1"/>
  <c r="Y141" i="19"/>
  <c r="AD141" i="19" s="1"/>
  <c r="Y143" i="19"/>
  <c r="AD143" i="19" s="1"/>
  <c r="Y144" i="19"/>
  <c r="AD144" i="19" s="1"/>
  <c r="Y145" i="19"/>
  <c r="AD145" i="19" s="1"/>
  <c r="Y146" i="19"/>
  <c r="AD146" i="19" s="1"/>
  <c r="Y148" i="19"/>
  <c r="AD148" i="19" s="1"/>
  <c r="Y149" i="19"/>
  <c r="AD149" i="19" s="1"/>
  <c r="Y151" i="19"/>
  <c r="AD151" i="19" s="1"/>
  <c r="Y152" i="19"/>
  <c r="AD152" i="19" s="1"/>
  <c r="Y154" i="19"/>
  <c r="Y155" i="19"/>
  <c r="AD155" i="19" s="1"/>
  <c r="Y158" i="19"/>
  <c r="AD158" i="19" s="1"/>
  <c r="Y159" i="19"/>
  <c r="AD159" i="19" s="1"/>
  <c r="Y160" i="19"/>
  <c r="AD160" i="19" s="1"/>
  <c r="Y162" i="19"/>
  <c r="AD162" i="19" s="1"/>
  <c r="Y163" i="19"/>
  <c r="AD163" i="19" s="1"/>
  <c r="Y164" i="19"/>
  <c r="AD164" i="19" s="1"/>
  <c r="Y165" i="19"/>
  <c r="AD165" i="19" s="1"/>
  <c r="Y166" i="19"/>
  <c r="AD166" i="19" s="1"/>
  <c r="Y167" i="19"/>
  <c r="AD167" i="19" s="1"/>
  <c r="Y168" i="19"/>
  <c r="AD168" i="19" s="1"/>
  <c r="Y169" i="19"/>
  <c r="AD169" i="19" s="1"/>
  <c r="Y170" i="19"/>
  <c r="AD170" i="19" s="1"/>
  <c r="Y171" i="19"/>
  <c r="AD171" i="19" s="1"/>
  <c r="Y172" i="19"/>
  <c r="AD172" i="19" s="1"/>
  <c r="Y173" i="19"/>
  <c r="AD173" i="19" s="1"/>
  <c r="Y174" i="19"/>
  <c r="AD174" i="19" s="1"/>
  <c r="Y175" i="19"/>
  <c r="AD175" i="19" s="1"/>
  <c r="Y176" i="19"/>
  <c r="AD176" i="19" s="1"/>
  <c r="Y177" i="19"/>
  <c r="AD177" i="19" s="1"/>
  <c r="Y178" i="19"/>
  <c r="AD178" i="19" s="1"/>
  <c r="Y179" i="19"/>
  <c r="AD179" i="19" s="1"/>
  <c r="Y180" i="19"/>
  <c r="AD180" i="19" s="1"/>
  <c r="Y181" i="19"/>
  <c r="AD181" i="19" s="1"/>
  <c r="Y182" i="19"/>
  <c r="AD182" i="19" s="1"/>
  <c r="AB5" i="19"/>
  <c r="AG5" i="19" s="1"/>
  <c r="AA5" i="19"/>
  <c r="AF5" i="19" s="1"/>
  <c r="Z5" i="19"/>
  <c r="AE5" i="19" s="1"/>
  <c r="Y5" i="19"/>
  <c r="AD5" i="19" s="1"/>
  <c r="X5" i="19"/>
  <c r="AC5" i="19" s="1"/>
  <c r="I183" i="19"/>
  <c r="J183" i="19"/>
  <c r="K183" i="19"/>
  <c r="L183" i="19"/>
  <c r="M183" i="19"/>
  <c r="N183" i="19"/>
  <c r="O183" i="19"/>
  <c r="P183" i="19"/>
  <c r="Q183" i="19"/>
  <c r="R183" i="19"/>
  <c r="S183" i="19"/>
  <c r="T183" i="19"/>
  <c r="U183" i="19"/>
  <c r="V183" i="19"/>
  <c r="W183" i="19"/>
  <c r="AH183" i="19"/>
  <c r="AI183" i="19"/>
  <c r="H183" i="19"/>
  <c r="I161" i="19"/>
  <c r="J161" i="19"/>
  <c r="K161" i="19"/>
  <c r="L161" i="19"/>
  <c r="M161" i="19"/>
  <c r="N161" i="19"/>
  <c r="O161" i="19"/>
  <c r="P161" i="19"/>
  <c r="Q161" i="19"/>
  <c r="R161" i="19"/>
  <c r="S161" i="19"/>
  <c r="T161" i="19"/>
  <c r="U161" i="19"/>
  <c r="V161" i="19"/>
  <c r="W161" i="19"/>
  <c r="AI161" i="19"/>
  <c r="H161" i="19"/>
  <c r="I150" i="19"/>
  <c r="J150" i="19"/>
  <c r="K150" i="19"/>
  <c r="L150" i="19"/>
  <c r="M150" i="19"/>
  <c r="N150" i="19"/>
  <c r="O150" i="19"/>
  <c r="P150" i="19"/>
  <c r="Q150" i="19"/>
  <c r="R150" i="19"/>
  <c r="S150" i="19"/>
  <c r="T150" i="19"/>
  <c r="U150" i="19"/>
  <c r="V150" i="19"/>
  <c r="W150" i="19"/>
  <c r="AH150" i="19"/>
  <c r="AI150" i="19"/>
  <c r="H150" i="19"/>
  <c r="I147" i="19"/>
  <c r="J147" i="19"/>
  <c r="K147" i="19"/>
  <c r="L147" i="19"/>
  <c r="M147" i="19"/>
  <c r="N147" i="19"/>
  <c r="O147" i="19"/>
  <c r="P147" i="19"/>
  <c r="Q147" i="19"/>
  <c r="R147" i="19"/>
  <c r="S147" i="19"/>
  <c r="T147" i="19"/>
  <c r="U147" i="19"/>
  <c r="V147" i="19"/>
  <c r="W147" i="19"/>
  <c r="AH147" i="19"/>
  <c r="AI147" i="19"/>
  <c r="H147" i="19"/>
  <c r="I142" i="19"/>
  <c r="J142" i="19"/>
  <c r="K142" i="19"/>
  <c r="L142" i="19"/>
  <c r="M142" i="19"/>
  <c r="N142" i="19"/>
  <c r="O142" i="19"/>
  <c r="P142" i="19"/>
  <c r="Q142" i="19"/>
  <c r="R142" i="19"/>
  <c r="S142" i="19"/>
  <c r="T142" i="19"/>
  <c r="U142" i="19"/>
  <c r="V142" i="19"/>
  <c r="W142" i="19"/>
  <c r="AI142" i="19"/>
  <c r="H142" i="19"/>
  <c r="I135" i="19"/>
  <c r="J135" i="19"/>
  <c r="K135" i="19"/>
  <c r="L135" i="19"/>
  <c r="M135" i="19"/>
  <c r="N135" i="19"/>
  <c r="O135" i="19"/>
  <c r="P135" i="19"/>
  <c r="Q135" i="19"/>
  <c r="R135" i="19"/>
  <c r="S135" i="19"/>
  <c r="T135" i="19"/>
  <c r="U135" i="19"/>
  <c r="V135" i="19"/>
  <c r="W135" i="19"/>
  <c r="AH135" i="19"/>
  <c r="AI135" i="19"/>
  <c r="H135" i="19"/>
  <c r="I107" i="19"/>
  <c r="J107" i="19"/>
  <c r="K107" i="19"/>
  <c r="L107" i="19"/>
  <c r="M107" i="19"/>
  <c r="N107" i="19"/>
  <c r="O107" i="19"/>
  <c r="P107" i="19"/>
  <c r="Q107" i="19"/>
  <c r="R107" i="19"/>
  <c r="S107" i="19"/>
  <c r="T107" i="19"/>
  <c r="U107" i="19"/>
  <c r="V107" i="19"/>
  <c r="W107" i="19"/>
  <c r="H107" i="19"/>
  <c r="I103" i="19"/>
  <c r="J103" i="19"/>
  <c r="K103" i="19"/>
  <c r="L103" i="19"/>
  <c r="M103" i="19"/>
  <c r="N103" i="19"/>
  <c r="O103" i="19"/>
  <c r="P103" i="19"/>
  <c r="Q103" i="19"/>
  <c r="R103" i="19"/>
  <c r="S103" i="19"/>
  <c r="T103" i="19"/>
  <c r="U103" i="19"/>
  <c r="V103" i="19"/>
  <c r="W103" i="19"/>
  <c r="AI103" i="19"/>
  <c r="H103" i="19"/>
  <c r="I90" i="19"/>
  <c r="J90" i="19"/>
  <c r="K90" i="19"/>
  <c r="L90" i="19"/>
  <c r="M90" i="19"/>
  <c r="N90" i="19"/>
  <c r="O90" i="19"/>
  <c r="P90" i="19"/>
  <c r="Q90" i="19"/>
  <c r="R90" i="19"/>
  <c r="S90" i="19"/>
  <c r="T90" i="19"/>
  <c r="U90" i="19"/>
  <c r="V90" i="19"/>
  <c r="W90" i="19"/>
  <c r="H90" i="19"/>
  <c r="I87" i="19"/>
  <c r="J87" i="19"/>
  <c r="K87" i="19"/>
  <c r="L87" i="19"/>
  <c r="M87" i="19"/>
  <c r="N87" i="19"/>
  <c r="O87" i="19"/>
  <c r="P87" i="19"/>
  <c r="Q87" i="19"/>
  <c r="R87" i="19"/>
  <c r="S87" i="19"/>
  <c r="T87" i="19"/>
  <c r="U87" i="19"/>
  <c r="V87" i="19"/>
  <c r="W87" i="19"/>
  <c r="AI87" i="19"/>
  <c r="H87" i="19"/>
  <c r="I78" i="19"/>
  <c r="J78" i="19"/>
  <c r="K78" i="19"/>
  <c r="L78" i="19"/>
  <c r="M78" i="19"/>
  <c r="N78" i="19"/>
  <c r="O78" i="19"/>
  <c r="P78" i="19"/>
  <c r="Q78" i="19"/>
  <c r="R78" i="19"/>
  <c r="S78" i="19"/>
  <c r="T78" i="19"/>
  <c r="U78" i="19"/>
  <c r="V78" i="19"/>
  <c r="W78" i="19"/>
  <c r="AI78" i="19"/>
  <c r="H78" i="19"/>
  <c r="I75" i="19"/>
  <c r="J75" i="19"/>
  <c r="K75" i="19"/>
  <c r="L75" i="19"/>
  <c r="M75" i="19"/>
  <c r="N75" i="19"/>
  <c r="O75" i="19"/>
  <c r="P75" i="19"/>
  <c r="Q75" i="19"/>
  <c r="R75" i="19"/>
  <c r="S75" i="19"/>
  <c r="T75" i="19"/>
  <c r="U75" i="19"/>
  <c r="V75" i="19"/>
  <c r="W75" i="19"/>
  <c r="AH75" i="19"/>
  <c r="AI75" i="19"/>
  <c r="H75" i="19"/>
  <c r="I65" i="19"/>
  <c r="J65" i="19"/>
  <c r="K65" i="19"/>
  <c r="L65" i="19"/>
  <c r="M65" i="19"/>
  <c r="N65" i="19"/>
  <c r="O65" i="19"/>
  <c r="P65" i="19"/>
  <c r="Q65" i="19"/>
  <c r="R65" i="19"/>
  <c r="S65" i="19"/>
  <c r="T65" i="19"/>
  <c r="U65" i="19"/>
  <c r="V65" i="19"/>
  <c r="W65" i="19"/>
  <c r="AH65" i="19"/>
  <c r="AI65" i="19"/>
  <c r="H65" i="19"/>
  <c r="I48" i="19"/>
  <c r="J48" i="19"/>
  <c r="K48" i="19"/>
  <c r="L48" i="19"/>
  <c r="M48" i="19"/>
  <c r="N48" i="19"/>
  <c r="O48" i="19"/>
  <c r="P48" i="19"/>
  <c r="Q48" i="19"/>
  <c r="R48" i="19"/>
  <c r="S48" i="19"/>
  <c r="T48" i="19"/>
  <c r="U48" i="19"/>
  <c r="V48" i="19"/>
  <c r="W48" i="19"/>
  <c r="AI48" i="19"/>
  <c r="H48" i="19"/>
  <c r="I46" i="19"/>
  <c r="J46" i="19"/>
  <c r="K46" i="19"/>
  <c r="L46" i="19"/>
  <c r="M46" i="19"/>
  <c r="N46" i="19"/>
  <c r="O46" i="19"/>
  <c r="P46" i="19"/>
  <c r="Q46" i="19"/>
  <c r="R46" i="19"/>
  <c r="S46" i="19"/>
  <c r="T46" i="19"/>
  <c r="U46" i="19"/>
  <c r="V46" i="19"/>
  <c r="W46" i="19"/>
  <c r="AH46" i="19"/>
  <c r="AI46" i="19"/>
  <c r="H46" i="19"/>
  <c r="I44" i="19"/>
  <c r="J44" i="19"/>
  <c r="K44" i="19"/>
  <c r="L44" i="19"/>
  <c r="M44" i="19"/>
  <c r="N44" i="19"/>
  <c r="O44" i="19"/>
  <c r="P44" i="19"/>
  <c r="Q44" i="19"/>
  <c r="R44" i="19"/>
  <c r="S44" i="19"/>
  <c r="T44" i="19"/>
  <c r="U44" i="19"/>
  <c r="V44" i="19"/>
  <c r="W44" i="19"/>
  <c r="AH44" i="19"/>
  <c r="AI44" i="19"/>
  <c r="H44" i="19"/>
  <c r="I20" i="19"/>
  <c r="J20" i="19"/>
  <c r="K20" i="19"/>
  <c r="L20" i="19"/>
  <c r="M20" i="19"/>
  <c r="N20" i="19"/>
  <c r="O20" i="19"/>
  <c r="P20" i="19"/>
  <c r="Q20" i="19"/>
  <c r="R20" i="19"/>
  <c r="S20" i="19"/>
  <c r="T20" i="19"/>
  <c r="U20" i="19"/>
  <c r="V20" i="19"/>
  <c r="W20" i="19"/>
  <c r="AH20" i="19"/>
  <c r="AI20" i="19"/>
  <c r="H20" i="19"/>
  <c r="N14" i="19"/>
  <c r="O14" i="19"/>
  <c r="P14" i="19"/>
  <c r="Q14" i="19"/>
  <c r="R14" i="19"/>
  <c r="S14" i="19"/>
  <c r="T14" i="19"/>
  <c r="U14" i="19"/>
  <c r="V14" i="19"/>
  <c r="W14" i="19"/>
  <c r="AH14" i="19"/>
  <c r="AI14" i="19"/>
  <c r="C504" i="20"/>
  <c r="C505" i="20"/>
  <c r="C506" i="20"/>
  <c r="C507" i="20"/>
  <c r="C508" i="20"/>
  <c r="C509" i="20"/>
  <c r="C510" i="20"/>
  <c r="C511" i="20"/>
  <c r="C512" i="20"/>
  <c r="AC504" i="20"/>
  <c r="AC505" i="20"/>
  <c r="AC506" i="20"/>
  <c r="AC507" i="20"/>
  <c r="AC508" i="20"/>
  <c r="AC509" i="20"/>
  <c r="AC510" i="20"/>
  <c r="AC511" i="20"/>
  <c r="AC512" i="20"/>
  <c r="AD504" i="20"/>
  <c r="AD505" i="20"/>
  <c r="AD506" i="20"/>
  <c r="AD507" i="20"/>
  <c r="AD508" i="20"/>
  <c r="AD509" i="20"/>
  <c r="AD510" i="20"/>
  <c r="AD511" i="20"/>
  <c r="AD512" i="20"/>
  <c r="AE504" i="20"/>
  <c r="AE505" i="20"/>
  <c r="AE506" i="20"/>
  <c r="AE507" i="20"/>
  <c r="AE508" i="20"/>
  <c r="AE509" i="20"/>
  <c r="AE510" i="20"/>
  <c r="AE511" i="20"/>
  <c r="AE512" i="20"/>
  <c r="AF504" i="20"/>
  <c r="AF505" i="20"/>
  <c r="AF506" i="20"/>
  <c r="AF507" i="20"/>
  <c r="AF508" i="20"/>
  <c r="AF509" i="20"/>
  <c r="AF510" i="20"/>
  <c r="AF511" i="20"/>
  <c r="AF512" i="20"/>
  <c r="AG504" i="20"/>
  <c r="AG505" i="20"/>
  <c r="AG506" i="20"/>
  <c r="AG507" i="20"/>
  <c r="AG508" i="20"/>
  <c r="AG509" i="20"/>
  <c r="AG510" i="20"/>
  <c r="AG511" i="20"/>
  <c r="AG512" i="20"/>
  <c r="AH504" i="20"/>
  <c r="AH505" i="20"/>
  <c r="AH506" i="20"/>
  <c r="AH507" i="20"/>
  <c r="AH508" i="20"/>
  <c r="AH509" i="20"/>
  <c r="AH510" i="20"/>
  <c r="AH511" i="20"/>
  <c r="AH512" i="20"/>
  <c r="AI504" i="20"/>
  <c r="AI505" i="20"/>
  <c r="AI506" i="20"/>
  <c r="AI507" i="20"/>
  <c r="AI508" i="20"/>
  <c r="AI509" i="20"/>
  <c r="AI510" i="20"/>
  <c r="AI511" i="20"/>
  <c r="AI512" i="20"/>
  <c r="AJ504" i="20"/>
  <c r="AJ505" i="20"/>
  <c r="AJ506" i="20"/>
  <c r="AJ507" i="20"/>
  <c r="AJ508" i="20"/>
  <c r="AJ509" i="20"/>
  <c r="AJ510" i="20"/>
  <c r="AJ511" i="20"/>
  <c r="AJ512" i="20"/>
  <c r="AK504" i="20"/>
  <c r="AK505" i="20"/>
  <c r="AK506" i="20"/>
  <c r="AK507" i="20"/>
  <c r="AK508" i="20"/>
  <c r="AK509" i="20"/>
  <c r="AK510" i="20"/>
  <c r="AK511" i="20"/>
  <c r="AK512" i="20"/>
  <c r="AL504" i="20"/>
  <c r="AL505" i="20"/>
  <c r="AL506" i="20"/>
  <c r="AL507" i="20"/>
  <c r="AL508" i="20"/>
  <c r="AL509" i="20"/>
  <c r="AL510" i="20"/>
  <c r="AL511" i="20"/>
  <c r="AL512" i="20"/>
  <c r="AP504" i="20"/>
  <c r="AP505" i="20"/>
  <c r="AP506" i="20"/>
  <c r="AP507" i="20"/>
  <c r="AP508" i="20"/>
  <c r="AP509" i="20"/>
  <c r="AP510" i="20"/>
  <c r="AP511" i="20"/>
  <c r="AP512" i="20"/>
  <c r="AX504" i="20"/>
  <c r="AX505" i="20"/>
  <c r="AX506" i="20"/>
  <c r="AX507" i="20"/>
  <c r="AX508" i="20"/>
  <c r="AX509" i="20"/>
  <c r="AX510" i="20"/>
  <c r="AX511" i="20"/>
  <c r="AX512" i="20"/>
  <c r="C503" i="20"/>
  <c r="AC503" i="20"/>
  <c r="AD503" i="20"/>
  <c r="AE503" i="20"/>
  <c r="AF503" i="20"/>
  <c r="AG503" i="20"/>
  <c r="AH503" i="20"/>
  <c r="AI503" i="20"/>
  <c r="AJ503" i="20"/>
  <c r="AK503" i="20"/>
  <c r="AL503" i="20"/>
  <c r="AP503" i="20"/>
  <c r="AX503" i="20"/>
  <c r="C499" i="20"/>
  <c r="C500" i="20"/>
  <c r="C501" i="20"/>
  <c r="C502" i="20"/>
  <c r="AC499" i="20"/>
  <c r="AC500" i="20"/>
  <c r="AC501" i="20"/>
  <c r="AC502" i="20"/>
  <c r="AD499" i="20"/>
  <c r="AD500" i="20"/>
  <c r="AD501" i="20"/>
  <c r="AD502" i="20"/>
  <c r="AE499" i="20"/>
  <c r="AE500" i="20"/>
  <c r="AE501" i="20"/>
  <c r="AE502" i="20"/>
  <c r="AF499" i="20"/>
  <c r="AF500" i="20"/>
  <c r="AF501" i="20"/>
  <c r="AF502" i="20"/>
  <c r="AG499" i="20"/>
  <c r="AG500" i="20"/>
  <c r="AG501" i="20"/>
  <c r="AG502" i="20"/>
  <c r="AH499" i="20"/>
  <c r="AH500" i="20"/>
  <c r="AH501" i="20"/>
  <c r="AH502" i="20"/>
  <c r="AI499" i="20"/>
  <c r="AI500" i="20"/>
  <c r="AI501" i="20"/>
  <c r="AI502" i="20"/>
  <c r="AJ499" i="20"/>
  <c r="AJ500" i="20"/>
  <c r="AJ501" i="20"/>
  <c r="AJ502" i="20"/>
  <c r="AK499" i="20"/>
  <c r="AK500" i="20"/>
  <c r="AK501" i="20"/>
  <c r="AK502" i="20"/>
  <c r="AL499" i="20"/>
  <c r="AL500" i="20"/>
  <c r="AL501" i="20"/>
  <c r="AL502" i="20"/>
  <c r="AP499" i="20"/>
  <c r="AP500" i="20"/>
  <c r="AP501" i="20"/>
  <c r="AP502" i="20"/>
  <c r="AX499" i="20"/>
  <c r="AX500" i="20"/>
  <c r="AX501" i="20"/>
  <c r="AX502" i="20"/>
  <c r="C494" i="20"/>
  <c r="C495" i="20"/>
  <c r="C496" i="20"/>
  <c r="C497" i="20"/>
  <c r="C498" i="20"/>
  <c r="AC494" i="20"/>
  <c r="AC495" i="20"/>
  <c r="AC496" i="20"/>
  <c r="AC497" i="20"/>
  <c r="AC498" i="20"/>
  <c r="AD494" i="20"/>
  <c r="AD495" i="20"/>
  <c r="AD496" i="20"/>
  <c r="AD497" i="20"/>
  <c r="AD498" i="20"/>
  <c r="AE494" i="20"/>
  <c r="AE495" i="20"/>
  <c r="AE496" i="20"/>
  <c r="AE497" i="20"/>
  <c r="AE498" i="20"/>
  <c r="AF494" i="20"/>
  <c r="AF495" i="20"/>
  <c r="AF496" i="20"/>
  <c r="AF497" i="20"/>
  <c r="AF498" i="20"/>
  <c r="AG494" i="20"/>
  <c r="AG495" i="20"/>
  <c r="AG496" i="20"/>
  <c r="AG497" i="20"/>
  <c r="AG498" i="20"/>
  <c r="AH494" i="20"/>
  <c r="AH495" i="20"/>
  <c r="AH496" i="20"/>
  <c r="AH497" i="20"/>
  <c r="AH498" i="20"/>
  <c r="AI494" i="20"/>
  <c r="AI495" i="20"/>
  <c r="AI496" i="20"/>
  <c r="AI497" i="20"/>
  <c r="AI498" i="20"/>
  <c r="AJ494" i="20"/>
  <c r="AJ495" i="20"/>
  <c r="AJ496" i="20"/>
  <c r="AJ497" i="20"/>
  <c r="AJ498" i="20"/>
  <c r="AK494" i="20"/>
  <c r="AK495" i="20"/>
  <c r="AK496" i="20"/>
  <c r="AK497" i="20"/>
  <c r="AK498" i="20"/>
  <c r="AL494" i="20"/>
  <c r="AL495" i="20"/>
  <c r="AL496" i="20"/>
  <c r="AL497" i="20"/>
  <c r="AL498" i="20"/>
  <c r="AP494" i="20"/>
  <c r="AP495" i="20"/>
  <c r="AP496" i="20"/>
  <c r="AP497" i="20"/>
  <c r="AP498" i="20"/>
  <c r="AX494" i="20"/>
  <c r="AX495" i="20"/>
  <c r="AX496" i="20"/>
  <c r="AX497" i="20"/>
  <c r="AX498" i="20"/>
  <c r="C491" i="20"/>
  <c r="C492" i="20"/>
  <c r="C493" i="20"/>
  <c r="AC491" i="20"/>
  <c r="AC492" i="20"/>
  <c r="AC493" i="20"/>
  <c r="AD491" i="20"/>
  <c r="AD492" i="20"/>
  <c r="AD493" i="20"/>
  <c r="AE491" i="20"/>
  <c r="AE492" i="20"/>
  <c r="AE493" i="20"/>
  <c r="AF491" i="20"/>
  <c r="AF492" i="20"/>
  <c r="AF493" i="20"/>
  <c r="AG491" i="20"/>
  <c r="AG492" i="20"/>
  <c r="AG493" i="20"/>
  <c r="AH491" i="20"/>
  <c r="AH492" i="20"/>
  <c r="AH493" i="20"/>
  <c r="AI491" i="20"/>
  <c r="AI492" i="20"/>
  <c r="AI493" i="20"/>
  <c r="AJ491" i="20"/>
  <c r="AJ492" i="20"/>
  <c r="AJ493" i="20"/>
  <c r="AK491" i="20"/>
  <c r="AK492" i="20"/>
  <c r="AK493" i="20"/>
  <c r="AL491" i="20"/>
  <c r="AL492" i="20"/>
  <c r="AL493" i="20"/>
  <c r="AP491" i="20"/>
  <c r="AP492" i="20"/>
  <c r="AP493" i="20"/>
  <c r="AX491" i="20"/>
  <c r="AX492" i="20"/>
  <c r="AX493" i="20"/>
  <c r="C490" i="20"/>
  <c r="AC490" i="20"/>
  <c r="AD490" i="20"/>
  <c r="AE490" i="20"/>
  <c r="AF490" i="20"/>
  <c r="AG490" i="20"/>
  <c r="AH490" i="20"/>
  <c r="AI490" i="20"/>
  <c r="AJ490" i="20"/>
  <c r="AK490" i="20"/>
  <c r="AL490" i="20"/>
  <c r="AP490" i="20"/>
  <c r="AX490" i="20"/>
  <c r="C489" i="20"/>
  <c r="AC489" i="20"/>
  <c r="AD489" i="20"/>
  <c r="AE489" i="20"/>
  <c r="AF489" i="20"/>
  <c r="AG489" i="20"/>
  <c r="AH489" i="20"/>
  <c r="AI489" i="20"/>
  <c r="AJ489" i="20"/>
  <c r="AK489" i="20"/>
  <c r="AL489" i="20"/>
  <c r="AP489" i="20"/>
  <c r="AX489" i="20"/>
  <c r="C480" i="20"/>
  <c r="C481" i="20"/>
  <c r="C482" i="20"/>
  <c r="C483" i="20"/>
  <c r="C484" i="20"/>
  <c r="C485" i="20"/>
  <c r="C486" i="20"/>
  <c r="C487" i="20"/>
  <c r="C488" i="20"/>
  <c r="AC480" i="20"/>
  <c r="AC481" i="20"/>
  <c r="AC482" i="20"/>
  <c r="AC483" i="20"/>
  <c r="AC484" i="20"/>
  <c r="AC485" i="20"/>
  <c r="AC486" i="20"/>
  <c r="AC487" i="20"/>
  <c r="AC488" i="20"/>
  <c r="AD480" i="20"/>
  <c r="AD481" i="20"/>
  <c r="AD482" i="20"/>
  <c r="AD483" i="20"/>
  <c r="AD484" i="20"/>
  <c r="AD485" i="20"/>
  <c r="AD486" i="20"/>
  <c r="AD487" i="20"/>
  <c r="AD488" i="20"/>
  <c r="AE480" i="20"/>
  <c r="AE481" i="20"/>
  <c r="AE482" i="20"/>
  <c r="AE483" i="20"/>
  <c r="AE484" i="20"/>
  <c r="AE485" i="20"/>
  <c r="AE486" i="20"/>
  <c r="AE487" i="20"/>
  <c r="AE488" i="20"/>
  <c r="AF480" i="20"/>
  <c r="AF481" i="20"/>
  <c r="AF482" i="20"/>
  <c r="AF483" i="20"/>
  <c r="AF484" i="20"/>
  <c r="AF485" i="20"/>
  <c r="AF486" i="20"/>
  <c r="AF487" i="20"/>
  <c r="AF488" i="20"/>
  <c r="AG480" i="20"/>
  <c r="AG481" i="20"/>
  <c r="AG482" i="20"/>
  <c r="AG483" i="20"/>
  <c r="AG484" i="20"/>
  <c r="AG485" i="20"/>
  <c r="AG486" i="20"/>
  <c r="AG487" i="20"/>
  <c r="AG488" i="20"/>
  <c r="AH480" i="20"/>
  <c r="AH481" i="20"/>
  <c r="AH482" i="20"/>
  <c r="AH483" i="20"/>
  <c r="AH484" i="20"/>
  <c r="AH485" i="20"/>
  <c r="AH486" i="20"/>
  <c r="AH487" i="20"/>
  <c r="AH488" i="20"/>
  <c r="AI480" i="20"/>
  <c r="AI481" i="20"/>
  <c r="AI482" i="20"/>
  <c r="AI483" i="20"/>
  <c r="AI484" i="20"/>
  <c r="AI485" i="20"/>
  <c r="AI486" i="20"/>
  <c r="AI487" i="20"/>
  <c r="AI488" i="20"/>
  <c r="AJ480" i="20"/>
  <c r="AJ481" i="20"/>
  <c r="AJ482" i="20"/>
  <c r="AJ483" i="20"/>
  <c r="AJ484" i="20"/>
  <c r="AJ485" i="20"/>
  <c r="AJ486" i="20"/>
  <c r="AJ487" i="20"/>
  <c r="AJ488" i="20"/>
  <c r="AK480" i="20"/>
  <c r="AK481" i="20"/>
  <c r="AK482" i="20"/>
  <c r="AK483" i="20"/>
  <c r="AK484" i="20"/>
  <c r="AK485" i="20"/>
  <c r="AK486" i="20"/>
  <c r="AK487" i="20"/>
  <c r="AK488" i="20"/>
  <c r="AL480" i="20"/>
  <c r="AL481" i="20"/>
  <c r="AL482" i="20"/>
  <c r="AL483" i="20"/>
  <c r="AL484" i="20"/>
  <c r="AL485" i="20"/>
  <c r="AL486" i="20"/>
  <c r="AL487" i="20"/>
  <c r="AL488" i="20"/>
  <c r="AP480" i="20"/>
  <c r="AP481" i="20"/>
  <c r="AP482" i="20"/>
  <c r="AP483" i="20"/>
  <c r="AP484" i="20"/>
  <c r="AP485" i="20"/>
  <c r="AP486" i="20"/>
  <c r="AP487" i="20"/>
  <c r="AP488" i="20"/>
  <c r="AX480" i="20"/>
  <c r="AX481" i="20"/>
  <c r="AX482" i="20"/>
  <c r="AX483" i="20"/>
  <c r="AX484" i="20"/>
  <c r="AX485" i="20"/>
  <c r="AX486" i="20"/>
  <c r="AX487" i="20"/>
  <c r="AX488" i="20"/>
  <c r="C478" i="20"/>
  <c r="C479" i="20"/>
  <c r="AC478" i="20"/>
  <c r="AC479" i="20"/>
  <c r="AD478" i="20"/>
  <c r="AD479" i="20"/>
  <c r="AE478" i="20"/>
  <c r="AE479" i="20"/>
  <c r="AF478" i="20"/>
  <c r="AF479" i="20"/>
  <c r="AG478" i="20"/>
  <c r="AG479" i="20"/>
  <c r="AH478" i="20"/>
  <c r="AH479" i="20"/>
  <c r="AI478" i="20"/>
  <c r="AI479" i="20"/>
  <c r="AJ478" i="20"/>
  <c r="AJ479" i="20"/>
  <c r="AK478" i="20"/>
  <c r="AK479" i="20"/>
  <c r="AL478" i="20"/>
  <c r="AL479" i="20"/>
  <c r="AP478" i="20"/>
  <c r="AP479" i="20"/>
  <c r="AX478" i="20"/>
  <c r="AX479" i="20"/>
  <c r="C472" i="20"/>
  <c r="C473" i="20"/>
  <c r="C474" i="20"/>
  <c r="C475" i="20"/>
  <c r="C476" i="20"/>
  <c r="C477" i="20"/>
  <c r="AC472" i="20"/>
  <c r="AC473" i="20"/>
  <c r="AC474" i="20"/>
  <c r="AC475" i="20"/>
  <c r="AC476" i="20"/>
  <c r="AC477" i="20"/>
  <c r="AD472" i="20"/>
  <c r="AD473" i="20"/>
  <c r="AD474" i="20"/>
  <c r="AD475" i="20"/>
  <c r="AD476" i="20"/>
  <c r="AD477" i="20"/>
  <c r="AE472" i="20"/>
  <c r="AE473" i="20"/>
  <c r="AE474" i="20"/>
  <c r="AE475" i="20"/>
  <c r="AE476" i="20"/>
  <c r="AE477" i="20"/>
  <c r="AF472" i="20"/>
  <c r="AF473" i="20"/>
  <c r="AF474" i="20"/>
  <c r="AF475" i="20"/>
  <c r="AF476" i="20"/>
  <c r="AF477" i="20"/>
  <c r="AG472" i="20"/>
  <c r="AG473" i="20"/>
  <c r="AG474" i="20"/>
  <c r="AG475" i="20"/>
  <c r="AG476" i="20"/>
  <c r="AG477" i="20"/>
  <c r="AH472" i="20"/>
  <c r="AH473" i="20"/>
  <c r="AH474" i="20"/>
  <c r="AH475" i="20"/>
  <c r="AH476" i="20"/>
  <c r="AH477" i="20"/>
  <c r="AI472" i="20"/>
  <c r="AI473" i="20"/>
  <c r="AI474" i="20"/>
  <c r="AI475" i="20"/>
  <c r="AI476" i="20"/>
  <c r="AI477" i="20"/>
  <c r="AJ472" i="20"/>
  <c r="AJ473" i="20"/>
  <c r="AJ474" i="20"/>
  <c r="AJ475" i="20"/>
  <c r="AJ476" i="20"/>
  <c r="AJ477" i="20"/>
  <c r="AK472" i="20"/>
  <c r="AK473" i="20"/>
  <c r="AK474" i="20"/>
  <c r="AK475" i="20"/>
  <c r="AK476" i="20"/>
  <c r="AK477" i="20"/>
  <c r="AL472" i="20"/>
  <c r="AL473" i="20"/>
  <c r="AL474" i="20"/>
  <c r="AL475" i="20"/>
  <c r="AL476" i="20"/>
  <c r="AL477" i="20"/>
  <c r="AP472" i="20"/>
  <c r="AP473" i="20"/>
  <c r="AP474" i="20"/>
  <c r="AP475" i="20"/>
  <c r="AP476" i="20"/>
  <c r="AP477" i="20"/>
  <c r="AX472" i="20"/>
  <c r="AX473" i="20"/>
  <c r="AX474" i="20"/>
  <c r="AX475" i="20"/>
  <c r="AX476" i="20"/>
  <c r="AX477" i="20"/>
  <c r="C471" i="20"/>
  <c r="AC471" i="20"/>
  <c r="AD471" i="20"/>
  <c r="AE471" i="20"/>
  <c r="AF471" i="20"/>
  <c r="AG471" i="20"/>
  <c r="AH471" i="20"/>
  <c r="AI471" i="20"/>
  <c r="AJ471" i="20"/>
  <c r="AK471" i="20"/>
  <c r="AL471" i="20"/>
  <c r="AP471" i="20"/>
  <c r="AX471" i="20"/>
  <c r="C466" i="20"/>
  <c r="C467" i="20"/>
  <c r="C468" i="20"/>
  <c r="C469" i="20"/>
  <c r="C470" i="20"/>
  <c r="AC466" i="20"/>
  <c r="AC467" i="20"/>
  <c r="AC468" i="20"/>
  <c r="AC469" i="20"/>
  <c r="AC470" i="20"/>
  <c r="AD466" i="20"/>
  <c r="AD467" i="20"/>
  <c r="AD468" i="20"/>
  <c r="AD469" i="20"/>
  <c r="AD470" i="20"/>
  <c r="AE466" i="20"/>
  <c r="AE467" i="20"/>
  <c r="AE468" i="20"/>
  <c r="AE469" i="20"/>
  <c r="AE470" i="20"/>
  <c r="AF466" i="20"/>
  <c r="AF467" i="20"/>
  <c r="AF468" i="20"/>
  <c r="AF469" i="20"/>
  <c r="AF470" i="20"/>
  <c r="AG466" i="20"/>
  <c r="AG467" i="20"/>
  <c r="AG468" i="20"/>
  <c r="AG469" i="20"/>
  <c r="AG470" i="20"/>
  <c r="AH466" i="20"/>
  <c r="AH467" i="20"/>
  <c r="AH468" i="20"/>
  <c r="AH469" i="20"/>
  <c r="AH470" i="20"/>
  <c r="AI466" i="20"/>
  <c r="AI467" i="20"/>
  <c r="AI468" i="20"/>
  <c r="AI469" i="20"/>
  <c r="AI470" i="20"/>
  <c r="AJ466" i="20"/>
  <c r="AJ467" i="20"/>
  <c r="AJ468" i="20"/>
  <c r="AJ469" i="20"/>
  <c r="AJ470" i="20"/>
  <c r="AK466" i="20"/>
  <c r="AK467" i="20"/>
  <c r="AK468" i="20"/>
  <c r="AK469" i="20"/>
  <c r="AK470" i="20"/>
  <c r="AL466" i="20"/>
  <c r="AL467" i="20"/>
  <c r="AL468" i="20"/>
  <c r="AL469" i="20"/>
  <c r="AL470" i="20"/>
  <c r="AP466" i="20"/>
  <c r="AP467" i="20"/>
  <c r="AP468" i="20"/>
  <c r="AP469" i="20"/>
  <c r="AP470" i="20"/>
  <c r="AX466" i="20"/>
  <c r="AX467" i="20"/>
  <c r="AX468" i="20"/>
  <c r="AX469" i="20"/>
  <c r="AX470" i="20"/>
  <c r="C465" i="20"/>
  <c r="AC465" i="20"/>
  <c r="AD465" i="20"/>
  <c r="AE465" i="20"/>
  <c r="AF465" i="20"/>
  <c r="AG465" i="20"/>
  <c r="AH465" i="20"/>
  <c r="AI465" i="20"/>
  <c r="AJ465" i="20"/>
  <c r="AK465" i="20"/>
  <c r="AL465" i="20"/>
  <c r="AP465" i="20"/>
  <c r="AX465" i="20"/>
  <c r="C464" i="20"/>
  <c r="AC464" i="20"/>
  <c r="AD464" i="20"/>
  <c r="AE464" i="20"/>
  <c r="AF464" i="20"/>
  <c r="AG464" i="20"/>
  <c r="AH464" i="20"/>
  <c r="AI464" i="20"/>
  <c r="AJ464" i="20"/>
  <c r="AK464" i="20"/>
  <c r="AL464" i="20"/>
  <c r="AP464" i="20"/>
  <c r="AX464" i="20"/>
  <c r="BW11" i="95"/>
  <c r="BV11" i="95"/>
  <c r="BU11" i="95"/>
  <c r="C453" i="20"/>
  <c r="AC453" i="20"/>
  <c r="AD453" i="20"/>
  <c r="AE453" i="20"/>
  <c r="AF453" i="20"/>
  <c r="AG453" i="20"/>
  <c r="AH453" i="20"/>
  <c r="AI453" i="20"/>
  <c r="AJ453" i="20"/>
  <c r="AK453" i="20"/>
  <c r="AL453" i="20"/>
  <c r="AP453" i="20"/>
  <c r="AX453" i="20"/>
  <c r="AC448" i="20"/>
  <c r="AC449" i="20"/>
  <c r="AC450" i="20"/>
  <c r="AC451" i="20"/>
  <c r="AC452" i="20"/>
  <c r="AC454" i="20"/>
  <c r="AC455" i="20"/>
  <c r="AC456" i="20"/>
  <c r="AC457" i="20"/>
  <c r="AC458" i="20"/>
  <c r="AC459" i="20"/>
  <c r="AC460" i="20"/>
  <c r="AC461" i="20"/>
  <c r="AC462" i="20"/>
  <c r="AC463" i="20"/>
  <c r="AD448" i="20"/>
  <c r="AD449" i="20"/>
  <c r="AD450" i="20"/>
  <c r="AD451" i="20"/>
  <c r="AD452" i="20"/>
  <c r="AD454" i="20"/>
  <c r="AD455" i="20"/>
  <c r="AD456" i="20"/>
  <c r="AD457" i="20"/>
  <c r="AD458" i="20"/>
  <c r="AD459" i="20"/>
  <c r="AD460" i="20"/>
  <c r="AD461" i="20"/>
  <c r="AD462" i="20"/>
  <c r="AD463" i="20"/>
  <c r="AE448" i="20"/>
  <c r="AE449" i="20"/>
  <c r="AE450" i="20"/>
  <c r="AE451" i="20"/>
  <c r="AE452" i="20"/>
  <c r="AE454" i="20"/>
  <c r="AE455" i="20"/>
  <c r="AE456" i="20"/>
  <c r="AE457" i="20"/>
  <c r="AE458" i="20"/>
  <c r="AE459" i="20"/>
  <c r="AE460" i="20"/>
  <c r="AE461" i="20"/>
  <c r="AE462" i="20"/>
  <c r="AE463" i="20"/>
  <c r="AF448" i="20"/>
  <c r="AF449" i="20"/>
  <c r="AF450" i="20"/>
  <c r="AF451" i="20"/>
  <c r="AF452" i="20"/>
  <c r="AF454" i="20"/>
  <c r="AF455" i="20"/>
  <c r="AF456" i="20"/>
  <c r="AF457" i="20"/>
  <c r="AF458" i="20"/>
  <c r="AF459" i="20"/>
  <c r="AF460" i="20"/>
  <c r="AF461" i="20"/>
  <c r="AF462" i="20"/>
  <c r="AF463" i="20"/>
  <c r="AG448" i="20"/>
  <c r="AG449" i="20"/>
  <c r="AG450" i="20"/>
  <c r="AG451" i="20"/>
  <c r="AG452" i="20"/>
  <c r="AG454" i="20"/>
  <c r="AG455" i="20"/>
  <c r="AG456" i="20"/>
  <c r="AG457" i="20"/>
  <c r="AG458" i="20"/>
  <c r="AG459" i="20"/>
  <c r="AG460" i="20"/>
  <c r="AG461" i="20"/>
  <c r="AG462" i="20"/>
  <c r="AG463" i="20"/>
  <c r="AH448" i="20"/>
  <c r="AH449" i="20"/>
  <c r="AH450" i="20"/>
  <c r="AH451" i="20"/>
  <c r="AH452" i="20"/>
  <c r="AH454" i="20"/>
  <c r="AH455" i="20"/>
  <c r="AH456" i="20"/>
  <c r="AH457" i="20"/>
  <c r="AH458" i="20"/>
  <c r="AH459" i="20"/>
  <c r="AH460" i="20"/>
  <c r="AH461" i="20"/>
  <c r="AH462" i="20"/>
  <c r="AH463" i="20"/>
  <c r="AI448" i="20"/>
  <c r="AI449" i="20"/>
  <c r="AI450" i="20"/>
  <c r="AI451" i="20"/>
  <c r="AI452" i="20"/>
  <c r="AI454" i="20"/>
  <c r="AI455" i="20"/>
  <c r="AI456" i="20"/>
  <c r="AI457" i="20"/>
  <c r="AI458" i="20"/>
  <c r="AI459" i="20"/>
  <c r="AI460" i="20"/>
  <c r="AI461" i="20"/>
  <c r="AI462" i="20"/>
  <c r="AI463" i="20"/>
  <c r="AJ448" i="20"/>
  <c r="AJ449" i="20"/>
  <c r="AJ450" i="20"/>
  <c r="AJ451" i="20"/>
  <c r="AJ452" i="20"/>
  <c r="AJ454" i="20"/>
  <c r="AJ455" i="20"/>
  <c r="AJ456" i="20"/>
  <c r="AJ457" i="20"/>
  <c r="AJ458" i="20"/>
  <c r="AJ459" i="20"/>
  <c r="AJ460" i="20"/>
  <c r="AJ461" i="20"/>
  <c r="AJ462" i="20"/>
  <c r="AJ463" i="20"/>
  <c r="AK448" i="20"/>
  <c r="AK449" i="20"/>
  <c r="AK450" i="20"/>
  <c r="AK451" i="20"/>
  <c r="AK452" i="20"/>
  <c r="AK454" i="20"/>
  <c r="AK455" i="20"/>
  <c r="AK456" i="20"/>
  <c r="AK457" i="20"/>
  <c r="AK458" i="20"/>
  <c r="AK459" i="20"/>
  <c r="AK460" i="20"/>
  <c r="AK461" i="20"/>
  <c r="AK462" i="20"/>
  <c r="AK463" i="20"/>
  <c r="AL448" i="20"/>
  <c r="AL449" i="20"/>
  <c r="AL450" i="20"/>
  <c r="AL451" i="20"/>
  <c r="AL452" i="20"/>
  <c r="AL454" i="20"/>
  <c r="AL455" i="20"/>
  <c r="AL456" i="20"/>
  <c r="AL457" i="20"/>
  <c r="AL458" i="20"/>
  <c r="AL459" i="20"/>
  <c r="AL460" i="20"/>
  <c r="AL461" i="20"/>
  <c r="AL462" i="20"/>
  <c r="AL463" i="20"/>
  <c r="AP448" i="20"/>
  <c r="AP449" i="20"/>
  <c r="AP450" i="20"/>
  <c r="AP451" i="20"/>
  <c r="AP452" i="20"/>
  <c r="AP454" i="20"/>
  <c r="AP455" i="20"/>
  <c r="AP456" i="20"/>
  <c r="AP457" i="20"/>
  <c r="AP458" i="20"/>
  <c r="AP459" i="20"/>
  <c r="AP460" i="20"/>
  <c r="AP461" i="20"/>
  <c r="AP462" i="20"/>
  <c r="AP463" i="20"/>
  <c r="AX448" i="20"/>
  <c r="AX449" i="20"/>
  <c r="AX450" i="20"/>
  <c r="AX451" i="20"/>
  <c r="AX452" i="20"/>
  <c r="AX454" i="20"/>
  <c r="AX455" i="20"/>
  <c r="AX456" i="20"/>
  <c r="AX457" i="20"/>
  <c r="AX458" i="20"/>
  <c r="AX459" i="20"/>
  <c r="AX460" i="20"/>
  <c r="AX461" i="20"/>
  <c r="AX462" i="20"/>
  <c r="AX463" i="20"/>
  <c r="C448" i="20"/>
  <c r="C449" i="20"/>
  <c r="C450" i="20"/>
  <c r="C451" i="20"/>
  <c r="C452" i="20"/>
  <c r="C454" i="20"/>
  <c r="C455" i="20"/>
  <c r="C456" i="20"/>
  <c r="C457" i="20"/>
  <c r="C458" i="20"/>
  <c r="C459" i="20"/>
  <c r="C460" i="20"/>
  <c r="C461" i="20"/>
  <c r="C462" i="20"/>
  <c r="C463" i="20"/>
  <c r="C446" i="20"/>
  <c r="C447" i="20"/>
  <c r="AC446" i="20"/>
  <c r="AC447" i="20"/>
  <c r="AD446" i="20"/>
  <c r="AD447" i="20"/>
  <c r="AE446" i="20"/>
  <c r="AE447" i="20"/>
  <c r="AF446" i="20"/>
  <c r="AF447" i="20"/>
  <c r="AG446" i="20"/>
  <c r="AG447" i="20"/>
  <c r="AH446" i="20"/>
  <c r="AH447" i="20"/>
  <c r="AI446" i="20"/>
  <c r="AI447" i="20"/>
  <c r="AJ446" i="20"/>
  <c r="AJ447" i="20"/>
  <c r="AK446" i="20"/>
  <c r="AK447" i="20"/>
  <c r="AL446" i="20"/>
  <c r="AL447" i="20"/>
  <c r="AP446" i="20"/>
  <c r="AP447" i="20"/>
  <c r="AX446" i="20"/>
  <c r="AX447" i="20"/>
  <c r="C429" i="20"/>
  <c r="C430" i="20"/>
  <c r="C431" i="20"/>
  <c r="C432" i="20"/>
  <c r="C433" i="20"/>
  <c r="C434" i="20"/>
  <c r="C435" i="20"/>
  <c r="C436" i="20"/>
  <c r="C437" i="20"/>
  <c r="C438" i="20"/>
  <c r="C439" i="20"/>
  <c r="C440" i="20"/>
  <c r="C441" i="20"/>
  <c r="C442" i="20"/>
  <c r="C443" i="20"/>
  <c r="C444" i="20"/>
  <c r="C445" i="20"/>
  <c r="AC429" i="20"/>
  <c r="AC430" i="20"/>
  <c r="AC431" i="20"/>
  <c r="AC432" i="20"/>
  <c r="AC433" i="20"/>
  <c r="AC434" i="20"/>
  <c r="AC435" i="20"/>
  <c r="AC436" i="20"/>
  <c r="AC437" i="20"/>
  <c r="AC438" i="20"/>
  <c r="AC439" i="20"/>
  <c r="AC440" i="20"/>
  <c r="AC441" i="20"/>
  <c r="AC442" i="20"/>
  <c r="AC443" i="20"/>
  <c r="AC444" i="20"/>
  <c r="AC445" i="20"/>
  <c r="AD429" i="20"/>
  <c r="AD430" i="20"/>
  <c r="AD431" i="20"/>
  <c r="AD432" i="20"/>
  <c r="AD433" i="20"/>
  <c r="AD434" i="20"/>
  <c r="AD435" i="20"/>
  <c r="AD436" i="20"/>
  <c r="AD437" i="20"/>
  <c r="AD438" i="20"/>
  <c r="AD439" i="20"/>
  <c r="AD440" i="20"/>
  <c r="AD441" i="20"/>
  <c r="AD442" i="20"/>
  <c r="AD443" i="20"/>
  <c r="AD444" i="20"/>
  <c r="AD445" i="20"/>
  <c r="AE429" i="20"/>
  <c r="AE430" i="20"/>
  <c r="AE431" i="20"/>
  <c r="AE432" i="20"/>
  <c r="AE433" i="20"/>
  <c r="AE434" i="20"/>
  <c r="AE435" i="20"/>
  <c r="AE436" i="20"/>
  <c r="AE437" i="20"/>
  <c r="AE438" i="20"/>
  <c r="AE439" i="20"/>
  <c r="AE440" i="20"/>
  <c r="AE441" i="20"/>
  <c r="AE442" i="20"/>
  <c r="AE443" i="20"/>
  <c r="AE444" i="20"/>
  <c r="AE445" i="20"/>
  <c r="AF429" i="20"/>
  <c r="AF430" i="20"/>
  <c r="AF431" i="20"/>
  <c r="AF432" i="20"/>
  <c r="AF433" i="20"/>
  <c r="AF434" i="20"/>
  <c r="AF435" i="20"/>
  <c r="AF436" i="20"/>
  <c r="AF437" i="20"/>
  <c r="AF438" i="20"/>
  <c r="AF439" i="20"/>
  <c r="AF440" i="20"/>
  <c r="AF441" i="20"/>
  <c r="AF442" i="20"/>
  <c r="AF443" i="20"/>
  <c r="AF444" i="20"/>
  <c r="AF445" i="20"/>
  <c r="AG429" i="20"/>
  <c r="AG430" i="20"/>
  <c r="AG431" i="20"/>
  <c r="AG432" i="20"/>
  <c r="AG433" i="20"/>
  <c r="AG434" i="20"/>
  <c r="AG435" i="20"/>
  <c r="AG436" i="20"/>
  <c r="AG437" i="20"/>
  <c r="AG438" i="20"/>
  <c r="AG439" i="20"/>
  <c r="AG440" i="20"/>
  <c r="AG441" i="20"/>
  <c r="AG442" i="20"/>
  <c r="AG443" i="20"/>
  <c r="AG444" i="20"/>
  <c r="AG445" i="20"/>
  <c r="AH429" i="20"/>
  <c r="AH430" i="20"/>
  <c r="AH431" i="20"/>
  <c r="AH432" i="20"/>
  <c r="AH433" i="20"/>
  <c r="AH434" i="20"/>
  <c r="AH435" i="20"/>
  <c r="AH436" i="20"/>
  <c r="AH437" i="20"/>
  <c r="AH438" i="20"/>
  <c r="AH439" i="20"/>
  <c r="AH440" i="20"/>
  <c r="AH441" i="20"/>
  <c r="AH442" i="20"/>
  <c r="AH443" i="20"/>
  <c r="AH444" i="20"/>
  <c r="AH445" i="20"/>
  <c r="AI429" i="20"/>
  <c r="AI430" i="20"/>
  <c r="AI431" i="20"/>
  <c r="AI432" i="20"/>
  <c r="AI433" i="20"/>
  <c r="AI434" i="20"/>
  <c r="AI435" i="20"/>
  <c r="AI436" i="20"/>
  <c r="AI437" i="20"/>
  <c r="AI438" i="20"/>
  <c r="AI439" i="20"/>
  <c r="AI440" i="20"/>
  <c r="AI441" i="20"/>
  <c r="AI442" i="20"/>
  <c r="AI443" i="20"/>
  <c r="AI444" i="20"/>
  <c r="AI445" i="20"/>
  <c r="AJ429" i="20"/>
  <c r="AJ430" i="20"/>
  <c r="AJ431" i="20"/>
  <c r="AJ432" i="20"/>
  <c r="AJ433" i="20"/>
  <c r="AJ434" i="20"/>
  <c r="AJ435" i="20"/>
  <c r="AJ436" i="20"/>
  <c r="AJ437" i="20"/>
  <c r="AJ438" i="20"/>
  <c r="AJ439" i="20"/>
  <c r="AJ440" i="20"/>
  <c r="AJ441" i="20"/>
  <c r="AJ442" i="20"/>
  <c r="AJ443" i="20"/>
  <c r="AJ444" i="20"/>
  <c r="AJ445" i="20"/>
  <c r="AK429" i="20"/>
  <c r="AK430" i="20"/>
  <c r="AK431" i="20"/>
  <c r="AK432" i="20"/>
  <c r="AK433" i="20"/>
  <c r="AK434" i="20"/>
  <c r="AK435" i="20"/>
  <c r="AK436" i="20"/>
  <c r="AK437" i="20"/>
  <c r="AK438" i="20"/>
  <c r="AK439" i="20"/>
  <c r="AK440" i="20"/>
  <c r="AK441" i="20"/>
  <c r="AK442" i="20"/>
  <c r="AK443" i="20"/>
  <c r="AK444" i="20"/>
  <c r="AK445" i="20"/>
  <c r="AL429" i="20"/>
  <c r="AL430" i="20"/>
  <c r="AL431" i="20"/>
  <c r="AL432" i="20"/>
  <c r="AL433" i="20"/>
  <c r="AL434" i="20"/>
  <c r="AL435" i="20"/>
  <c r="AL436" i="20"/>
  <c r="AL437" i="20"/>
  <c r="AL438" i="20"/>
  <c r="AL439" i="20"/>
  <c r="AL440" i="20"/>
  <c r="AL441" i="20"/>
  <c r="AL442" i="20"/>
  <c r="AL443" i="20"/>
  <c r="AL444" i="20"/>
  <c r="AL445" i="20"/>
  <c r="AP429" i="20"/>
  <c r="AP430" i="20"/>
  <c r="AP431" i="20"/>
  <c r="AP432" i="20"/>
  <c r="AP433" i="20"/>
  <c r="AP434" i="20"/>
  <c r="AP435" i="20"/>
  <c r="AP436" i="20"/>
  <c r="AP437" i="20"/>
  <c r="AP438" i="20"/>
  <c r="AP439" i="20"/>
  <c r="AP440" i="20"/>
  <c r="AP441" i="20"/>
  <c r="AP442" i="20"/>
  <c r="AP443" i="20"/>
  <c r="AP444" i="20"/>
  <c r="AP445" i="20"/>
  <c r="AX429" i="20"/>
  <c r="AX430" i="20"/>
  <c r="AX431" i="20"/>
  <c r="AX432" i="20"/>
  <c r="AX433" i="20"/>
  <c r="AX434" i="20"/>
  <c r="AX435" i="20"/>
  <c r="AX436" i="20"/>
  <c r="AX437" i="20"/>
  <c r="AX438" i="20"/>
  <c r="AX439" i="20"/>
  <c r="AX440" i="20"/>
  <c r="AX441" i="20"/>
  <c r="AX442" i="20"/>
  <c r="AX443" i="20"/>
  <c r="AX444" i="20"/>
  <c r="AX445" i="20"/>
  <c r="C392" i="20"/>
  <c r="C393" i="20"/>
  <c r="C394" i="20"/>
  <c r="C395" i="20"/>
  <c r="C396" i="20"/>
  <c r="C397" i="20"/>
  <c r="C398" i="20"/>
  <c r="C399" i="20"/>
  <c r="C400" i="20"/>
  <c r="C401" i="20"/>
  <c r="C402" i="20"/>
  <c r="C403" i="20"/>
  <c r="C404" i="20"/>
  <c r="C405" i="20"/>
  <c r="C406" i="20"/>
  <c r="C407" i="20"/>
  <c r="C408" i="20"/>
  <c r="C409" i="20"/>
  <c r="C410" i="20"/>
  <c r="C411" i="20"/>
  <c r="C412" i="20"/>
  <c r="C413" i="20"/>
  <c r="C414" i="20"/>
  <c r="C415" i="20"/>
  <c r="C416" i="20"/>
  <c r="C417" i="20"/>
  <c r="C418" i="20"/>
  <c r="C419" i="20"/>
  <c r="C420" i="20"/>
  <c r="C421" i="20"/>
  <c r="C422" i="20"/>
  <c r="C423" i="20"/>
  <c r="C424" i="20"/>
  <c r="C425" i="20"/>
  <c r="C426" i="20"/>
  <c r="C427" i="20"/>
  <c r="C428" i="20"/>
  <c r="AC392" i="20"/>
  <c r="AC393" i="20"/>
  <c r="AC394" i="20"/>
  <c r="AC395" i="20"/>
  <c r="AC396" i="20"/>
  <c r="AC397" i="20"/>
  <c r="AC398" i="20"/>
  <c r="AC399" i="20"/>
  <c r="AC400" i="20"/>
  <c r="AC401" i="20"/>
  <c r="AC402" i="20"/>
  <c r="AC403" i="20"/>
  <c r="AC404" i="20"/>
  <c r="AC405" i="20"/>
  <c r="AC406" i="20"/>
  <c r="AC407" i="20"/>
  <c r="AC408" i="20"/>
  <c r="AC409" i="20"/>
  <c r="AC410" i="20"/>
  <c r="AC411" i="20"/>
  <c r="AC412" i="20"/>
  <c r="AC413" i="20"/>
  <c r="AC414" i="20"/>
  <c r="AC415" i="20"/>
  <c r="AC416" i="20"/>
  <c r="AC417" i="20"/>
  <c r="AC418" i="20"/>
  <c r="AC419" i="20"/>
  <c r="AC420" i="20"/>
  <c r="AC421" i="20"/>
  <c r="AC422" i="20"/>
  <c r="AC423" i="20"/>
  <c r="AC424" i="20"/>
  <c r="AC425" i="20"/>
  <c r="AC426" i="20"/>
  <c r="AC427" i="20"/>
  <c r="AC428"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E392" i="20"/>
  <c r="AE393" i="20"/>
  <c r="AE394" i="20"/>
  <c r="AE395" i="20"/>
  <c r="AE396" i="20"/>
  <c r="AE397" i="20"/>
  <c r="AE398" i="20"/>
  <c r="AE399" i="20"/>
  <c r="AE400" i="20"/>
  <c r="AE401" i="20"/>
  <c r="AE402" i="20"/>
  <c r="AE403" i="20"/>
  <c r="AE404" i="20"/>
  <c r="AE405" i="20"/>
  <c r="AE406" i="20"/>
  <c r="AE407" i="20"/>
  <c r="AE408" i="20"/>
  <c r="AE409" i="20"/>
  <c r="AE410" i="20"/>
  <c r="AE411" i="20"/>
  <c r="AE412" i="20"/>
  <c r="AE413" i="20"/>
  <c r="AE414" i="20"/>
  <c r="AE415" i="20"/>
  <c r="AE416" i="20"/>
  <c r="AE417" i="20"/>
  <c r="AE418" i="20"/>
  <c r="AE419" i="20"/>
  <c r="AE420" i="20"/>
  <c r="AE421" i="20"/>
  <c r="AE422" i="20"/>
  <c r="AE423" i="20"/>
  <c r="AE424" i="20"/>
  <c r="AE425" i="20"/>
  <c r="AE426" i="20"/>
  <c r="AE427" i="20"/>
  <c r="AE428" i="20"/>
  <c r="AF392" i="20"/>
  <c r="AF393" i="20"/>
  <c r="AF394" i="20"/>
  <c r="AF395" i="20"/>
  <c r="AF396" i="20"/>
  <c r="AF397" i="20"/>
  <c r="AF398" i="20"/>
  <c r="AF399" i="20"/>
  <c r="AF400" i="20"/>
  <c r="AF401" i="20"/>
  <c r="AF402" i="20"/>
  <c r="AF403" i="20"/>
  <c r="AF404" i="20"/>
  <c r="AF405" i="20"/>
  <c r="AF406" i="20"/>
  <c r="AF407" i="20"/>
  <c r="AF408" i="20"/>
  <c r="AF409" i="20"/>
  <c r="AF410" i="20"/>
  <c r="AF411" i="20"/>
  <c r="AF412" i="20"/>
  <c r="AF413" i="20"/>
  <c r="AF414" i="20"/>
  <c r="AF415" i="20"/>
  <c r="AF416" i="20"/>
  <c r="AF417" i="20"/>
  <c r="AF418" i="20"/>
  <c r="AF419" i="20"/>
  <c r="AF420" i="20"/>
  <c r="AF421" i="20"/>
  <c r="AF422" i="20"/>
  <c r="AF423" i="20"/>
  <c r="AF424" i="20"/>
  <c r="AF425" i="20"/>
  <c r="AF426" i="20"/>
  <c r="AF427" i="20"/>
  <c r="AF428" i="20"/>
  <c r="AG392" i="20"/>
  <c r="AG393" i="20"/>
  <c r="AG394" i="20"/>
  <c r="AG395" i="20"/>
  <c r="AG396" i="20"/>
  <c r="AG397" i="20"/>
  <c r="AG398" i="20"/>
  <c r="AG399" i="20"/>
  <c r="AG400" i="20"/>
  <c r="AG401" i="20"/>
  <c r="AG402" i="20"/>
  <c r="AG403" i="20"/>
  <c r="AG404" i="20"/>
  <c r="AG405" i="20"/>
  <c r="AG406" i="20"/>
  <c r="AG407" i="20"/>
  <c r="AG408" i="20"/>
  <c r="AG409" i="20"/>
  <c r="AG410" i="20"/>
  <c r="AG411" i="20"/>
  <c r="AG412" i="20"/>
  <c r="AG413" i="20"/>
  <c r="AG414" i="20"/>
  <c r="AG415" i="20"/>
  <c r="AG416" i="20"/>
  <c r="AG417" i="20"/>
  <c r="AG418" i="20"/>
  <c r="AG419" i="20"/>
  <c r="AG420" i="20"/>
  <c r="AG421" i="20"/>
  <c r="AG422" i="20"/>
  <c r="AG423" i="20"/>
  <c r="AG424" i="20"/>
  <c r="AG425" i="20"/>
  <c r="AG426" i="20"/>
  <c r="AG427" i="20"/>
  <c r="AG428" i="20"/>
  <c r="AH392" i="20"/>
  <c r="AH393" i="20"/>
  <c r="AH394" i="20"/>
  <c r="AH395" i="20"/>
  <c r="AH396" i="20"/>
  <c r="AH397" i="20"/>
  <c r="AH398" i="20"/>
  <c r="AH399" i="20"/>
  <c r="AH400" i="20"/>
  <c r="AH401" i="20"/>
  <c r="AH402" i="20"/>
  <c r="AH403" i="20"/>
  <c r="AH404" i="20"/>
  <c r="AH405" i="20"/>
  <c r="AH406" i="20"/>
  <c r="AH407" i="20"/>
  <c r="AH408" i="20"/>
  <c r="AH409" i="20"/>
  <c r="AH410" i="20"/>
  <c r="AH411" i="20"/>
  <c r="AH412" i="20"/>
  <c r="AH413" i="20"/>
  <c r="AH414" i="20"/>
  <c r="AH415" i="20"/>
  <c r="AH416" i="20"/>
  <c r="AH417" i="20"/>
  <c r="AH418" i="20"/>
  <c r="AH419" i="20"/>
  <c r="AH420" i="20"/>
  <c r="AH421" i="20"/>
  <c r="AH422" i="20"/>
  <c r="AH423" i="20"/>
  <c r="AH424" i="20"/>
  <c r="AH425" i="20"/>
  <c r="AH426" i="20"/>
  <c r="AH427" i="20"/>
  <c r="AH428" i="20"/>
  <c r="AI392" i="20"/>
  <c r="AI393" i="20"/>
  <c r="AI394" i="20"/>
  <c r="AI395" i="20"/>
  <c r="AI396" i="20"/>
  <c r="AI397" i="20"/>
  <c r="AI398" i="20"/>
  <c r="AI399" i="20"/>
  <c r="AI400" i="20"/>
  <c r="AI401" i="20"/>
  <c r="AI402" i="20"/>
  <c r="AI403" i="20"/>
  <c r="AI404" i="20"/>
  <c r="AI405" i="20"/>
  <c r="AI406" i="20"/>
  <c r="AI407" i="20"/>
  <c r="AI408" i="20"/>
  <c r="AI409" i="20"/>
  <c r="AI410" i="20"/>
  <c r="AI411" i="20"/>
  <c r="AI412" i="20"/>
  <c r="AI413" i="20"/>
  <c r="AI414" i="20"/>
  <c r="AI415" i="20"/>
  <c r="AI416" i="20"/>
  <c r="AI417" i="20"/>
  <c r="AI418" i="20"/>
  <c r="AI419" i="20"/>
  <c r="AI420" i="20"/>
  <c r="AI421" i="20"/>
  <c r="AI422" i="20"/>
  <c r="AI423" i="20"/>
  <c r="AI424" i="20"/>
  <c r="AI425" i="20"/>
  <c r="AI426" i="20"/>
  <c r="AI427" i="20"/>
  <c r="AI428" i="20"/>
  <c r="AJ392" i="20"/>
  <c r="AJ393" i="20"/>
  <c r="AJ394" i="20"/>
  <c r="AJ395" i="20"/>
  <c r="AJ396" i="20"/>
  <c r="AJ397" i="20"/>
  <c r="AJ398" i="20"/>
  <c r="AJ399" i="20"/>
  <c r="AJ400" i="20"/>
  <c r="AJ401" i="20"/>
  <c r="AJ402" i="20"/>
  <c r="AJ403" i="20"/>
  <c r="AJ404" i="20"/>
  <c r="AJ405" i="20"/>
  <c r="AJ406" i="20"/>
  <c r="AJ407" i="20"/>
  <c r="AJ408" i="20"/>
  <c r="AJ409" i="20"/>
  <c r="AJ410" i="20"/>
  <c r="AJ411" i="20"/>
  <c r="AJ412" i="20"/>
  <c r="AJ413" i="20"/>
  <c r="AJ414" i="20"/>
  <c r="AJ415" i="20"/>
  <c r="AJ416" i="20"/>
  <c r="AJ417" i="20"/>
  <c r="AJ418" i="20"/>
  <c r="AJ419" i="20"/>
  <c r="AJ420" i="20"/>
  <c r="AJ421" i="20"/>
  <c r="AJ422" i="20"/>
  <c r="AJ423" i="20"/>
  <c r="AJ424" i="20"/>
  <c r="AJ425" i="20"/>
  <c r="AJ426" i="20"/>
  <c r="AJ427" i="20"/>
  <c r="AJ428" i="20"/>
  <c r="AK392" i="20"/>
  <c r="AK393" i="20"/>
  <c r="AK394" i="20"/>
  <c r="AK395" i="20"/>
  <c r="AK396" i="20"/>
  <c r="AK397" i="20"/>
  <c r="AK398" i="20"/>
  <c r="AK399" i="20"/>
  <c r="AK400" i="20"/>
  <c r="AK401" i="20"/>
  <c r="AK402" i="20"/>
  <c r="AK403" i="20"/>
  <c r="AK404" i="20"/>
  <c r="AK405" i="20"/>
  <c r="AK406" i="20"/>
  <c r="AK407" i="20"/>
  <c r="AK408" i="20"/>
  <c r="AK409" i="20"/>
  <c r="AK410" i="20"/>
  <c r="AK411" i="20"/>
  <c r="AK412" i="20"/>
  <c r="AK413" i="20"/>
  <c r="AK414" i="20"/>
  <c r="AK415" i="20"/>
  <c r="AK416" i="20"/>
  <c r="AK417" i="20"/>
  <c r="AK418" i="20"/>
  <c r="AK419" i="20"/>
  <c r="AK420" i="20"/>
  <c r="AK421" i="20"/>
  <c r="AK422" i="20"/>
  <c r="AK423" i="20"/>
  <c r="AK424" i="20"/>
  <c r="AK425" i="20"/>
  <c r="AK426" i="20"/>
  <c r="AK427" i="20"/>
  <c r="AK428" i="20"/>
  <c r="AL392" i="20"/>
  <c r="AL393" i="20"/>
  <c r="AL394" i="20"/>
  <c r="AL395" i="20"/>
  <c r="AL396" i="20"/>
  <c r="AL397" i="20"/>
  <c r="AL398" i="20"/>
  <c r="AL399" i="20"/>
  <c r="AL400" i="20"/>
  <c r="AL401" i="20"/>
  <c r="AL402" i="20"/>
  <c r="AL403" i="20"/>
  <c r="AL404" i="20"/>
  <c r="AL405" i="20"/>
  <c r="AL406" i="20"/>
  <c r="AL407" i="20"/>
  <c r="AL408" i="20"/>
  <c r="AL409" i="20"/>
  <c r="AL410" i="20"/>
  <c r="AL411" i="20"/>
  <c r="AL412" i="20"/>
  <c r="AL413" i="20"/>
  <c r="AL414" i="20"/>
  <c r="AL415" i="20"/>
  <c r="AL416" i="20"/>
  <c r="AL417" i="20"/>
  <c r="AL418" i="20"/>
  <c r="AL419" i="20"/>
  <c r="AL420" i="20"/>
  <c r="AL421" i="20"/>
  <c r="AL422" i="20"/>
  <c r="AL423" i="20"/>
  <c r="AL424" i="20"/>
  <c r="AL425" i="20"/>
  <c r="AL426" i="20"/>
  <c r="AL427" i="20"/>
  <c r="AL428" i="20"/>
  <c r="AP392" i="20"/>
  <c r="AP393" i="20"/>
  <c r="AP394" i="20"/>
  <c r="AP395" i="20"/>
  <c r="AP396" i="20"/>
  <c r="AP397" i="20"/>
  <c r="AP398" i="20"/>
  <c r="AP399" i="20"/>
  <c r="AP400" i="20"/>
  <c r="AP401" i="20"/>
  <c r="AP402" i="20"/>
  <c r="AP403" i="20"/>
  <c r="AP404" i="20"/>
  <c r="AP405" i="20"/>
  <c r="AP406" i="20"/>
  <c r="AP407" i="20"/>
  <c r="AP408" i="20"/>
  <c r="AP409" i="20"/>
  <c r="AP410" i="20"/>
  <c r="AP411" i="20"/>
  <c r="AP412" i="20"/>
  <c r="AP413" i="20"/>
  <c r="AP414" i="20"/>
  <c r="AP415" i="20"/>
  <c r="AP416" i="20"/>
  <c r="AP417" i="20"/>
  <c r="AP418" i="20"/>
  <c r="AP419" i="20"/>
  <c r="AP420" i="20"/>
  <c r="AP421" i="20"/>
  <c r="AP422" i="20"/>
  <c r="AP423" i="20"/>
  <c r="AP424" i="20"/>
  <c r="AP425" i="20"/>
  <c r="AP426" i="20"/>
  <c r="AP427" i="20"/>
  <c r="AP428" i="20"/>
  <c r="AX392" i="20"/>
  <c r="AX393" i="20"/>
  <c r="AX394" i="20"/>
  <c r="AX395" i="20"/>
  <c r="AX396" i="20"/>
  <c r="AX397" i="20"/>
  <c r="AX398" i="20"/>
  <c r="AX399" i="20"/>
  <c r="AX400" i="20"/>
  <c r="AX401" i="20"/>
  <c r="AX402" i="20"/>
  <c r="AX403" i="20"/>
  <c r="AX404" i="20"/>
  <c r="AX405" i="20"/>
  <c r="AX406" i="20"/>
  <c r="AX407" i="20"/>
  <c r="AX408" i="20"/>
  <c r="AX409" i="20"/>
  <c r="AX410" i="20"/>
  <c r="AX411" i="20"/>
  <c r="AX412" i="20"/>
  <c r="AX413" i="20"/>
  <c r="AX414" i="20"/>
  <c r="AX415" i="20"/>
  <c r="AX416" i="20"/>
  <c r="AX417" i="20"/>
  <c r="AX418" i="20"/>
  <c r="AX419" i="20"/>
  <c r="AX420" i="20"/>
  <c r="AX421" i="20"/>
  <c r="AX422" i="20"/>
  <c r="AX423" i="20"/>
  <c r="AX424" i="20"/>
  <c r="AX425" i="20"/>
  <c r="AX426" i="20"/>
  <c r="AX427" i="20"/>
  <c r="AX428" i="20"/>
  <c r="C370" i="20"/>
  <c r="C371" i="20"/>
  <c r="C372" i="20"/>
  <c r="C373" i="20"/>
  <c r="C374" i="20"/>
  <c r="C375" i="20"/>
  <c r="C376" i="20"/>
  <c r="C377" i="20"/>
  <c r="C378" i="20"/>
  <c r="C379" i="20"/>
  <c r="C380" i="20"/>
  <c r="C381" i="20"/>
  <c r="C382" i="20"/>
  <c r="C383" i="20"/>
  <c r="C384" i="20"/>
  <c r="C385" i="20"/>
  <c r="C386" i="20"/>
  <c r="C387" i="20"/>
  <c r="C388" i="20"/>
  <c r="C389" i="20"/>
  <c r="C390" i="20"/>
  <c r="C391" i="20"/>
  <c r="AC370" i="20"/>
  <c r="AC371" i="20"/>
  <c r="AC372" i="20"/>
  <c r="AC373" i="20"/>
  <c r="AC374" i="20"/>
  <c r="AC375" i="20"/>
  <c r="AC376" i="20"/>
  <c r="AC377" i="20"/>
  <c r="AC378" i="20"/>
  <c r="AC379" i="20"/>
  <c r="AC380" i="20"/>
  <c r="AC381" i="20"/>
  <c r="AC382" i="20"/>
  <c r="AC383" i="20"/>
  <c r="AC384" i="20"/>
  <c r="AC385" i="20"/>
  <c r="AC386" i="20"/>
  <c r="AC387" i="20"/>
  <c r="AC388" i="20"/>
  <c r="AC389" i="20"/>
  <c r="AC390" i="20"/>
  <c r="AC391"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E370" i="20"/>
  <c r="AE371" i="20"/>
  <c r="AE372" i="20"/>
  <c r="AE373" i="20"/>
  <c r="AE374" i="20"/>
  <c r="AE375" i="20"/>
  <c r="AE376" i="20"/>
  <c r="AE377" i="20"/>
  <c r="AE378" i="20"/>
  <c r="AE379" i="20"/>
  <c r="AE380" i="20"/>
  <c r="AE381" i="20"/>
  <c r="AE382" i="20"/>
  <c r="AE383" i="20"/>
  <c r="AE384" i="20"/>
  <c r="AE385" i="20"/>
  <c r="AE386" i="20"/>
  <c r="AE387" i="20"/>
  <c r="AE388" i="20"/>
  <c r="AE389" i="20"/>
  <c r="AE390" i="20"/>
  <c r="AE391" i="20"/>
  <c r="AF370" i="20"/>
  <c r="AF371" i="20"/>
  <c r="AF372" i="20"/>
  <c r="AF373" i="20"/>
  <c r="AF374" i="20"/>
  <c r="AF375" i="20"/>
  <c r="AF376" i="20"/>
  <c r="AF377" i="20"/>
  <c r="AF378" i="20"/>
  <c r="AF379" i="20"/>
  <c r="AF380" i="20"/>
  <c r="AF381" i="20"/>
  <c r="AF382" i="20"/>
  <c r="AF383" i="20"/>
  <c r="AF384" i="20"/>
  <c r="AF385" i="20"/>
  <c r="AF386" i="20"/>
  <c r="AF387" i="20"/>
  <c r="AF388" i="20"/>
  <c r="AF389" i="20"/>
  <c r="AF390" i="20"/>
  <c r="AF391" i="20"/>
  <c r="AG370" i="20"/>
  <c r="AG371" i="20"/>
  <c r="AG372" i="20"/>
  <c r="AG373" i="20"/>
  <c r="AG374" i="20"/>
  <c r="AG375" i="20"/>
  <c r="AG376" i="20"/>
  <c r="AG377" i="20"/>
  <c r="AG378" i="20"/>
  <c r="AG379" i="20"/>
  <c r="AG380" i="20"/>
  <c r="AG381" i="20"/>
  <c r="AG382" i="20"/>
  <c r="AG383" i="20"/>
  <c r="AG384" i="20"/>
  <c r="AG385" i="20"/>
  <c r="AG386" i="20"/>
  <c r="AG387" i="20"/>
  <c r="AG388" i="20"/>
  <c r="AG389" i="20"/>
  <c r="AG390" i="20"/>
  <c r="AG391" i="20"/>
  <c r="AH370" i="20"/>
  <c r="AH371" i="20"/>
  <c r="AH372" i="20"/>
  <c r="AH373" i="20"/>
  <c r="AH374" i="20"/>
  <c r="AH375" i="20"/>
  <c r="AH376" i="20"/>
  <c r="AH377" i="20"/>
  <c r="AH378" i="20"/>
  <c r="AH379" i="20"/>
  <c r="AH380" i="20"/>
  <c r="AH381" i="20"/>
  <c r="AH382" i="20"/>
  <c r="AH383" i="20"/>
  <c r="AH384" i="20"/>
  <c r="AH385" i="20"/>
  <c r="AH386" i="20"/>
  <c r="AH387" i="20"/>
  <c r="AH388" i="20"/>
  <c r="AH389" i="20"/>
  <c r="AH390" i="20"/>
  <c r="AH391" i="20"/>
  <c r="AI370" i="20"/>
  <c r="AI371" i="20"/>
  <c r="AI372" i="20"/>
  <c r="AI373" i="20"/>
  <c r="AI374" i="20"/>
  <c r="AI375" i="20"/>
  <c r="AI376" i="20"/>
  <c r="AI377" i="20"/>
  <c r="AI378" i="20"/>
  <c r="AI379" i="20"/>
  <c r="AI380" i="20"/>
  <c r="AI381" i="20"/>
  <c r="AI382" i="20"/>
  <c r="AI383" i="20"/>
  <c r="AI384" i="20"/>
  <c r="AI385" i="20"/>
  <c r="AI386" i="20"/>
  <c r="AI387" i="20"/>
  <c r="AI388" i="20"/>
  <c r="AI389" i="20"/>
  <c r="AI390" i="20"/>
  <c r="AI391" i="20"/>
  <c r="AJ370" i="20"/>
  <c r="AJ371" i="20"/>
  <c r="AJ372" i="20"/>
  <c r="AJ373" i="20"/>
  <c r="AJ374" i="20"/>
  <c r="AJ375" i="20"/>
  <c r="AJ376" i="20"/>
  <c r="AJ377" i="20"/>
  <c r="AJ378" i="20"/>
  <c r="AJ379" i="20"/>
  <c r="AJ380" i="20"/>
  <c r="AJ381" i="20"/>
  <c r="AJ382" i="20"/>
  <c r="AJ383" i="20"/>
  <c r="AJ384" i="20"/>
  <c r="AJ385" i="20"/>
  <c r="AJ386" i="20"/>
  <c r="AJ387" i="20"/>
  <c r="AJ388" i="20"/>
  <c r="AJ389" i="20"/>
  <c r="AJ390" i="20"/>
  <c r="AJ391" i="20"/>
  <c r="AK370" i="20"/>
  <c r="AK371" i="20"/>
  <c r="AK372" i="20"/>
  <c r="AK373" i="20"/>
  <c r="AK374" i="20"/>
  <c r="AK375" i="20"/>
  <c r="AK376" i="20"/>
  <c r="AK377" i="20"/>
  <c r="AK378" i="20"/>
  <c r="AK379" i="20"/>
  <c r="AK380" i="20"/>
  <c r="AK381" i="20"/>
  <c r="AK382" i="20"/>
  <c r="AK383" i="20"/>
  <c r="AK384" i="20"/>
  <c r="AK385" i="20"/>
  <c r="AK386" i="20"/>
  <c r="AK387" i="20"/>
  <c r="AK388" i="20"/>
  <c r="AK389" i="20"/>
  <c r="AK390" i="20"/>
  <c r="AK391" i="20"/>
  <c r="AL370" i="20"/>
  <c r="AL371" i="20"/>
  <c r="AL372" i="20"/>
  <c r="AL373" i="20"/>
  <c r="AL374" i="20"/>
  <c r="AL375" i="20"/>
  <c r="AL376" i="20"/>
  <c r="AL377" i="20"/>
  <c r="AL378" i="20"/>
  <c r="AL379" i="20"/>
  <c r="AL380" i="20"/>
  <c r="AL381" i="20"/>
  <c r="AL382" i="20"/>
  <c r="AL383" i="20"/>
  <c r="AL384" i="20"/>
  <c r="AL385" i="20"/>
  <c r="AL386" i="20"/>
  <c r="AL387" i="20"/>
  <c r="AL388" i="20"/>
  <c r="AL389" i="20"/>
  <c r="AL390" i="20"/>
  <c r="AL391" i="20"/>
  <c r="AP370" i="20"/>
  <c r="AP371" i="20"/>
  <c r="AP372" i="20"/>
  <c r="AP373" i="20"/>
  <c r="AP374" i="20"/>
  <c r="AP375" i="20"/>
  <c r="AP376" i="20"/>
  <c r="AP377" i="20"/>
  <c r="AP378" i="20"/>
  <c r="AP379" i="20"/>
  <c r="AP380" i="20"/>
  <c r="AP381" i="20"/>
  <c r="AP382" i="20"/>
  <c r="AP383" i="20"/>
  <c r="AP384" i="20"/>
  <c r="AP385" i="20"/>
  <c r="AP386" i="20"/>
  <c r="AP387" i="20"/>
  <c r="AP388" i="20"/>
  <c r="AP389" i="20"/>
  <c r="AP390" i="20"/>
  <c r="AP391" i="20"/>
  <c r="AX370" i="20"/>
  <c r="AX371" i="20"/>
  <c r="AX372" i="20"/>
  <c r="AX373" i="20"/>
  <c r="AX374" i="20"/>
  <c r="AX375" i="20"/>
  <c r="AX376" i="20"/>
  <c r="AX377" i="20"/>
  <c r="AX378" i="20"/>
  <c r="AX379" i="20"/>
  <c r="AX380" i="20"/>
  <c r="AX381" i="20"/>
  <c r="AX382" i="20"/>
  <c r="AX383" i="20"/>
  <c r="AX384" i="20"/>
  <c r="AX385" i="20"/>
  <c r="AX386" i="20"/>
  <c r="AX387" i="20"/>
  <c r="AX388" i="20"/>
  <c r="AX389" i="20"/>
  <c r="AX390" i="20"/>
  <c r="AX391" i="20"/>
  <c r="C368" i="20"/>
  <c r="C369" i="20"/>
  <c r="AC368" i="20"/>
  <c r="AC369" i="20"/>
  <c r="AD368" i="20"/>
  <c r="AD369" i="20"/>
  <c r="AE368" i="20"/>
  <c r="AE369" i="20"/>
  <c r="AF368" i="20"/>
  <c r="AF369" i="20"/>
  <c r="AG368" i="20"/>
  <c r="AG369" i="20"/>
  <c r="AH368" i="20"/>
  <c r="AH369" i="20"/>
  <c r="AI368" i="20"/>
  <c r="AI369" i="20"/>
  <c r="AJ368" i="20"/>
  <c r="AJ369" i="20"/>
  <c r="AK368" i="20"/>
  <c r="AK369" i="20"/>
  <c r="AL368" i="20"/>
  <c r="AL369" i="20"/>
  <c r="AP368" i="20"/>
  <c r="AP369" i="20"/>
  <c r="AX368" i="20"/>
  <c r="AX369" i="20"/>
  <c r="C367" i="20"/>
  <c r="AC367" i="20"/>
  <c r="AD367" i="20"/>
  <c r="AE367" i="20"/>
  <c r="AF367" i="20"/>
  <c r="AG367" i="20"/>
  <c r="AH367" i="20"/>
  <c r="AI367" i="20"/>
  <c r="AJ367" i="20"/>
  <c r="AK367" i="20"/>
  <c r="AL367" i="20"/>
  <c r="AP367" i="20"/>
  <c r="AX367" i="20"/>
  <c r="C361" i="20"/>
  <c r="C362" i="20"/>
  <c r="C363" i="20"/>
  <c r="C364" i="20"/>
  <c r="C365" i="20"/>
  <c r="C366" i="20"/>
  <c r="AC361" i="20"/>
  <c r="AC362" i="20"/>
  <c r="AC363" i="20"/>
  <c r="AC364" i="20"/>
  <c r="AC365" i="20"/>
  <c r="AC366" i="20"/>
  <c r="AD361" i="20"/>
  <c r="AD362" i="20"/>
  <c r="AD363" i="20"/>
  <c r="AD364" i="20"/>
  <c r="AD365" i="20"/>
  <c r="AD366" i="20"/>
  <c r="AE361" i="20"/>
  <c r="AE362" i="20"/>
  <c r="AE363" i="20"/>
  <c r="AE364" i="20"/>
  <c r="AE365" i="20"/>
  <c r="AE366" i="20"/>
  <c r="AF361" i="20"/>
  <c r="AF362" i="20"/>
  <c r="AF363" i="20"/>
  <c r="AF364" i="20"/>
  <c r="AF365" i="20"/>
  <c r="AF366" i="20"/>
  <c r="AG361" i="20"/>
  <c r="AG362" i="20"/>
  <c r="AG363" i="20"/>
  <c r="AG364" i="20"/>
  <c r="AG365" i="20"/>
  <c r="AG366" i="20"/>
  <c r="AH361" i="20"/>
  <c r="AH362" i="20"/>
  <c r="AH363" i="20"/>
  <c r="AH364" i="20"/>
  <c r="AH365" i="20"/>
  <c r="AH366" i="20"/>
  <c r="AI361" i="20"/>
  <c r="AI362" i="20"/>
  <c r="AI363" i="20"/>
  <c r="AI364" i="20"/>
  <c r="AI365" i="20"/>
  <c r="AI366" i="20"/>
  <c r="AJ361" i="20"/>
  <c r="AJ362" i="20"/>
  <c r="AJ363" i="20"/>
  <c r="AJ364" i="20"/>
  <c r="AJ365" i="20"/>
  <c r="AJ366" i="20"/>
  <c r="AK361" i="20"/>
  <c r="AK362" i="20"/>
  <c r="AK363" i="20"/>
  <c r="AK364" i="20"/>
  <c r="AK365" i="20"/>
  <c r="AK366" i="20"/>
  <c r="AL361" i="20"/>
  <c r="AL362" i="20"/>
  <c r="AL363" i="20"/>
  <c r="AL364" i="20"/>
  <c r="AL365" i="20"/>
  <c r="AL366" i="20"/>
  <c r="AP361" i="20"/>
  <c r="AP362" i="20"/>
  <c r="AP363" i="20"/>
  <c r="AP364" i="20"/>
  <c r="AP365" i="20"/>
  <c r="AP366" i="20"/>
  <c r="AX361" i="20"/>
  <c r="AX362" i="20"/>
  <c r="AX363" i="20"/>
  <c r="AX364" i="20"/>
  <c r="AX365" i="20"/>
  <c r="AX366" i="20"/>
  <c r="T307" i="14"/>
  <c r="AD307" i="14"/>
  <c r="AE307" i="14"/>
  <c r="AF307" i="14" s="1"/>
  <c r="A3" i="98"/>
  <c r="B3" i="14"/>
  <c r="T306" i="14"/>
  <c r="AD306" i="14"/>
  <c r="AE306" i="14"/>
  <c r="AF306" i="14" s="1"/>
  <c r="T269" i="14"/>
  <c r="AD269" i="14"/>
  <c r="AE269" i="14"/>
  <c r="AF269" i="14" s="1"/>
  <c r="C359" i="20"/>
  <c r="C360" i="20"/>
  <c r="AC359" i="20"/>
  <c r="AC360" i="20"/>
  <c r="AD359" i="20"/>
  <c r="AD360" i="20"/>
  <c r="AE359" i="20"/>
  <c r="AE360" i="20"/>
  <c r="AF359" i="20"/>
  <c r="AF360" i="20"/>
  <c r="AG359" i="20"/>
  <c r="AG360" i="20"/>
  <c r="AH359" i="20"/>
  <c r="AH360" i="20"/>
  <c r="AI359" i="20"/>
  <c r="AI360" i="20"/>
  <c r="AJ359" i="20"/>
  <c r="AJ360" i="20"/>
  <c r="AK359" i="20"/>
  <c r="AK360" i="20"/>
  <c r="AL359" i="20"/>
  <c r="AL360" i="20"/>
  <c r="AP359" i="20"/>
  <c r="AP360" i="20"/>
  <c r="AX359" i="20"/>
  <c r="AX360" i="20"/>
  <c r="AI153" i="19"/>
  <c r="C358" i="20"/>
  <c r="AC358" i="20"/>
  <c r="AD358" i="20"/>
  <c r="AE358" i="20"/>
  <c r="AF358" i="20"/>
  <c r="AG358" i="20"/>
  <c r="AH358" i="20"/>
  <c r="AI358" i="20"/>
  <c r="AJ358" i="20"/>
  <c r="AK358" i="20"/>
  <c r="AL358" i="20"/>
  <c r="AP358" i="20"/>
  <c r="AX358" i="20"/>
  <c r="C357" i="20"/>
  <c r="AC357" i="20"/>
  <c r="AD357" i="20"/>
  <c r="AE357" i="20"/>
  <c r="AF357" i="20"/>
  <c r="AG357" i="20"/>
  <c r="AH357" i="20"/>
  <c r="AI357" i="20"/>
  <c r="AJ357" i="20"/>
  <c r="AK357" i="20"/>
  <c r="AL357" i="20"/>
  <c r="AP357" i="20"/>
  <c r="AX357" i="20"/>
  <c r="R153" i="19"/>
  <c r="C341" i="20"/>
  <c r="C342" i="20"/>
  <c r="C343" i="20"/>
  <c r="C344" i="20"/>
  <c r="C345" i="20"/>
  <c r="C346" i="20"/>
  <c r="C347" i="20"/>
  <c r="C348" i="20"/>
  <c r="C349" i="20"/>
  <c r="C350" i="20"/>
  <c r="C351" i="20"/>
  <c r="C352" i="20"/>
  <c r="C353" i="20"/>
  <c r="C354" i="20"/>
  <c r="C355" i="20"/>
  <c r="C356" i="20"/>
  <c r="AC341" i="20"/>
  <c r="AC342" i="20"/>
  <c r="AC343" i="20"/>
  <c r="AC344" i="20"/>
  <c r="AC345" i="20"/>
  <c r="AC346" i="20"/>
  <c r="AC347" i="20"/>
  <c r="AC348" i="20"/>
  <c r="AC349" i="20"/>
  <c r="AC350" i="20"/>
  <c r="AC351" i="20"/>
  <c r="AC352" i="20"/>
  <c r="AC353" i="20"/>
  <c r="AC354" i="20"/>
  <c r="AC355" i="20"/>
  <c r="AC356" i="20"/>
  <c r="AD341" i="20"/>
  <c r="AD342" i="20"/>
  <c r="AD343" i="20"/>
  <c r="AD344" i="20"/>
  <c r="AD345" i="20"/>
  <c r="AD346" i="20"/>
  <c r="AD347" i="20"/>
  <c r="AD348" i="20"/>
  <c r="AD349" i="20"/>
  <c r="AD350" i="20"/>
  <c r="AD351" i="20"/>
  <c r="AD352" i="20"/>
  <c r="AD353" i="20"/>
  <c r="AD354" i="20"/>
  <c r="AD355" i="20"/>
  <c r="AD356" i="20"/>
  <c r="AE341" i="20"/>
  <c r="AE342" i="20"/>
  <c r="AE343" i="20"/>
  <c r="AE344" i="20"/>
  <c r="AE345" i="20"/>
  <c r="AE346" i="20"/>
  <c r="AE347" i="20"/>
  <c r="AE348" i="20"/>
  <c r="AE349" i="20"/>
  <c r="AE350" i="20"/>
  <c r="AE351" i="20"/>
  <c r="AE352" i="20"/>
  <c r="AE353" i="20"/>
  <c r="AE354" i="20"/>
  <c r="AE355" i="20"/>
  <c r="AE356" i="20"/>
  <c r="AF341" i="20"/>
  <c r="AF342" i="20"/>
  <c r="AF343" i="20"/>
  <c r="AF344" i="20"/>
  <c r="AF345" i="20"/>
  <c r="AF346" i="20"/>
  <c r="AF347" i="20"/>
  <c r="AF348" i="20"/>
  <c r="AF349" i="20"/>
  <c r="AF350" i="20"/>
  <c r="AF351" i="20"/>
  <c r="AF352" i="20"/>
  <c r="AF353" i="20"/>
  <c r="AF354" i="20"/>
  <c r="AF355" i="20"/>
  <c r="AF356" i="20"/>
  <c r="AG341" i="20"/>
  <c r="AG342" i="20"/>
  <c r="AG343" i="20"/>
  <c r="AG344" i="20"/>
  <c r="AG345" i="20"/>
  <c r="AG346" i="20"/>
  <c r="AG347" i="20"/>
  <c r="AG348" i="20"/>
  <c r="AG349" i="20"/>
  <c r="AG350" i="20"/>
  <c r="AG351" i="20"/>
  <c r="AG352" i="20"/>
  <c r="AG353" i="20"/>
  <c r="AG354" i="20"/>
  <c r="AG355" i="20"/>
  <c r="AG356" i="20"/>
  <c r="AH341" i="20"/>
  <c r="AH342" i="20"/>
  <c r="AH343" i="20"/>
  <c r="AH344" i="20"/>
  <c r="AH345" i="20"/>
  <c r="AH346" i="20"/>
  <c r="AH347" i="20"/>
  <c r="AH348" i="20"/>
  <c r="AH349" i="20"/>
  <c r="AH350" i="20"/>
  <c r="AH351" i="20"/>
  <c r="AH352" i="20"/>
  <c r="AH353" i="20"/>
  <c r="AH354" i="20"/>
  <c r="AH355" i="20"/>
  <c r="AH356" i="20"/>
  <c r="AI341" i="20"/>
  <c r="AI342" i="20"/>
  <c r="AI343" i="20"/>
  <c r="AI344" i="20"/>
  <c r="AI345" i="20"/>
  <c r="AI346" i="20"/>
  <c r="AI347" i="20"/>
  <c r="AI348" i="20"/>
  <c r="AI349" i="20"/>
  <c r="AI350" i="20"/>
  <c r="AI351" i="20"/>
  <c r="AI352" i="20"/>
  <c r="AI353" i="20"/>
  <c r="AI354" i="20"/>
  <c r="AI355" i="20"/>
  <c r="AI356" i="20"/>
  <c r="AJ341" i="20"/>
  <c r="AJ342" i="20"/>
  <c r="AJ343" i="20"/>
  <c r="AJ344" i="20"/>
  <c r="AJ345" i="20"/>
  <c r="AJ346" i="20"/>
  <c r="AJ347" i="20"/>
  <c r="AJ348" i="20"/>
  <c r="AJ349" i="20"/>
  <c r="AJ350" i="20"/>
  <c r="AJ351" i="20"/>
  <c r="AJ352" i="20"/>
  <c r="AJ353" i="20"/>
  <c r="AJ354" i="20"/>
  <c r="AJ355" i="20"/>
  <c r="AJ356" i="20"/>
  <c r="AK341" i="20"/>
  <c r="AK342" i="20"/>
  <c r="AK343" i="20"/>
  <c r="AK344" i="20"/>
  <c r="AK345" i="20"/>
  <c r="AK346" i="20"/>
  <c r="AK347" i="20"/>
  <c r="AK348" i="20"/>
  <c r="AK349" i="20"/>
  <c r="AK350" i="20"/>
  <c r="AK351" i="20"/>
  <c r="AK352" i="20"/>
  <c r="AK353" i="20"/>
  <c r="AK354" i="20"/>
  <c r="AK355" i="20"/>
  <c r="AK356" i="20"/>
  <c r="AL341" i="20"/>
  <c r="AL342" i="20"/>
  <c r="AL343" i="20"/>
  <c r="AL344" i="20"/>
  <c r="AL345" i="20"/>
  <c r="AL346" i="20"/>
  <c r="AL347" i="20"/>
  <c r="AL348" i="20"/>
  <c r="AL349" i="20"/>
  <c r="AL350" i="20"/>
  <c r="AL351" i="20"/>
  <c r="AL352" i="20"/>
  <c r="AL353" i="20"/>
  <c r="AL354" i="20"/>
  <c r="AL355" i="20"/>
  <c r="AL356" i="20"/>
  <c r="AP341" i="20"/>
  <c r="AP342" i="20"/>
  <c r="AP343" i="20"/>
  <c r="AP344" i="20"/>
  <c r="AP345" i="20"/>
  <c r="AP346" i="20"/>
  <c r="AP347" i="20"/>
  <c r="AP348" i="20"/>
  <c r="AP349" i="20"/>
  <c r="AP350" i="20"/>
  <c r="AP351" i="20"/>
  <c r="AP352" i="20"/>
  <c r="AP353" i="20"/>
  <c r="AP354" i="20"/>
  <c r="AP355" i="20"/>
  <c r="AP356" i="20"/>
  <c r="AX341" i="20"/>
  <c r="AX342" i="20"/>
  <c r="AX343" i="20"/>
  <c r="AX344" i="20"/>
  <c r="AX345" i="20"/>
  <c r="AX346" i="20"/>
  <c r="AX347" i="20"/>
  <c r="AX348" i="20"/>
  <c r="AX349" i="20"/>
  <c r="AX350" i="20"/>
  <c r="AX351" i="20"/>
  <c r="AX352" i="20"/>
  <c r="AX353" i="20"/>
  <c r="AX354" i="20"/>
  <c r="AX355" i="20"/>
  <c r="AX356" i="20"/>
  <c r="C330" i="20"/>
  <c r="C331" i="20"/>
  <c r="C332" i="20"/>
  <c r="C333" i="20"/>
  <c r="C334" i="20"/>
  <c r="C335" i="20"/>
  <c r="C336" i="20"/>
  <c r="C337" i="20"/>
  <c r="C338" i="20"/>
  <c r="C339" i="20"/>
  <c r="C340" i="20"/>
  <c r="AC330" i="20"/>
  <c r="AC331" i="20"/>
  <c r="AC332" i="20"/>
  <c r="AC333" i="20"/>
  <c r="AC334" i="20"/>
  <c r="AC335" i="20"/>
  <c r="AC336" i="20"/>
  <c r="AC337" i="20"/>
  <c r="AC338" i="20"/>
  <c r="AC339" i="20"/>
  <c r="AC340" i="20"/>
  <c r="AD330" i="20"/>
  <c r="AD331" i="20"/>
  <c r="AD332" i="20"/>
  <c r="AD333" i="20"/>
  <c r="AD334" i="20"/>
  <c r="AD335" i="20"/>
  <c r="AD336" i="20"/>
  <c r="AD337" i="20"/>
  <c r="AD338" i="20"/>
  <c r="AD339" i="20"/>
  <c r="AD340" i="20"/>
  <c r="AE330" i="20"/>
  <c r="AE331" i="20"/>
  <c r="AE332" i="20"/>
  <c r="AE333" i="20"/>
  <c r="AE334" i="20"/>
  <c r="AE335" i="20"/>
  <c r="AE336" i="20"/>
  <c r="AE337" i="20"/>
  <c r="AE338" i="20"/>
  <c r="AE339" i="20"/>
  <c r="AE340" i="20"/>
  <c r="AF330" i="20"/>
  <c r="AF331" i="20"/>
  <c r="AF332" i="20"/>
  <c r="AF333" i="20"/>
  <c r="AF334" i="20"/>
  <c r="AF335" i="20"/>
  <c r="AF336" i="20"/>
  <c r="AF337" i="20"/>
  <c r="AF338" i="20"/>
  <c r="AF339" i="20"/>
  <c r="AF340" i="20"/>
  <c r="AG330" i="20"/>
  <c r="AG331" i="20"/>
  <c r="AG332" i="20"/>
  <c r="AG333" i="20"/>
  <c r="AG334" i="20"/>
  <c r="AG335" i="20"/>
  <c r="AG336" i="20"/>
  <c r="AG337" i="20"/>
  <c r="AG338" i="20"/>
  <c r="AG339" i="20"/>
  <c r="AG340" i="20"/>
  <c r="AH330" i="20"/>
  <c r="AH331" i="20"/>
  <c r="AH332" i="20"/>
  <c r="AH333" i="20"/>
  <c r="AH334" i="20"/>
  <c r="AH335" i="20"/>
  <c r="AH336" i="20"/>
  <c r="AH337" i="20"/>
  <c r="AH338" i="20"/>
  <c r="AH339" i="20"/>
  <c r="AH340" i="20"/>
  <c r="AI330" i="20"/>
  <c r="AI331" i="20"/>
  <c r="AI332" i="20"/>
  <c r="AI333" i="20"/>
  <c r="AI334" i="20"/>
  <c r="AI335" i="20"/>
  <c r="AI336" i="20"/>
  <c r="AI337" i="20"/>
  <c r="AI338" i="20"/>
  <c r="AI339" i="20"/>
  <c r="AI340" i="20"/>
  <c r="AJ330" i="20"/>
  <c r="AJ331" i="20"/>
  <c r="AJ332" i="20"/>
  <c r="AJ333" i="20"/>
  <c r="AJ334" i="20"/>
  <c r="AJ335" i="20"/>
  <c r="AJ336" i="20"/>
  <c r="AJ337" i="20"/>
  <c r="AJ338" i="20"/>
  <c r="AJ339" i="20"/>
  <c r="AJ340" i="20"/>
  <c r="AK330" i="20"/>
  <c r="AK331" i="20"/>
  <c r="AK332" i="20"/>
  <c r="AK333" i="20"/>
  <c r="AK334" i="20"/>
  <c r="AK335" i="20"/>
  <c r="AK336" i="20"/>
  <c r="AK337" i="20"/>
  <c r="AK338" i="20"/>
  <c r="AK339" i="20"/>
  <c r="AK340" i="20"/>
  <c r="AL330" i="20"/>
  <c r="AL331" i="20"/>
  <c r="AL332" i="20"/>
  <c r="AL333" i="20"/>
  <c r="AL334" i="20"/>
  <c r="AL335" i="20"/>
  <c r="AL336" i="20"/>
  <c r="AL337" i="20"/>
  <c r="AL338" i="20"/>
  <c r="AL339" i="20"/>
  <c r="AL340" i="20"/>
  <c r="AP330" i="20"/>
  <c r="AP331" i="20"/>
  <c r="AP332" i="20"/>
  <c r="AP333" i="20"/>
  <c r="AP334" i="20"/>
  <c r="AP335" i="20"/>
  <c r="AP336" i="20"/>
  <c r="AP337" i="20"/>
  <c r="AP338" i="20"/>
  <c r="AP339" i="20"/>
  <c r="AP340" i="20"/>
  <c r="AX330" i="20"/>
  <c r="AX331" i="20"/>
  <c r="AX332" i="20"/>
  <c r="AX333" i="20"/>
  <c r="AX334" i="20"/>
  <c r="AX335" i="20"/>
  <c r="AX336" i="20"/>
  <c r="AX337" i="20"/>
  <c r="AX338" i="20"/>
  <c r="AX339" i="20"/>
  <c r="AX340" i="20"/>
  <c r="C329" i="20"/>
  <c r="AC329" i="20"/>
  <c r="AD329" i="20"/>
  <c r="AE329" i="20"/>
  <c r="AF329" i="20"/>
  <c r="AG329" i="20"/>
  <c r="AH329" i="20"/>
  <c r="AI329" i="20"/>
  <c r="AJ329" i="20"/>
  <c r="AK329" i="20"/>
  <c r="AL329" i="20"/>
  <c r="AP329" i="20"/>
  <c r="AX329" i="20"/>
  <c r="AE5" i="14"/>
  <c r="AF5" i="14" s="1"/>
  <c r="B21" i="92"/>
  <c r="B20" i="92"/>
  <c r="B16" i="92"/>
  <c r="B2" i="92"/>
  <c r="F46" i="94"/>
  <c r="F47" i="94"/>
  <c r="F48" i="94"/>
  <c r="F45" i="94"/>
  <c r="E46" i="94"/>
  <c r="E47" i="94"/>
  <c r="E48" i="94"/>
  <c r="E45" i="94"/>
  <c r="D46" i="94"/>
  <c r="D47" i="94"/>
  <c r="D48" i="94"/>
  <c r="D45" i="94"/>
  <c r="C46" i="94"/>
  <c r="C47" i="94"/>
  <c r="G47" i="94" s="1"/>
  <c r="C48" i="94"/>
  <c r="C45" i="94"/>
  <c r="G45" i="94" s="1"/>
  <c r="E16" i="94"/>
  <c r="AG4" i="66" s="1"/>
  <c r="Z5" i="66" s="1"/>
  <c r="E17" i="94"/>
  <c r="AG5" i="66" s="1"/>
  <c r="Z6" i="66" s="1"/>
  <c r="E18" i="94"/>
  <c r="AG8" i="66" s="1"/>
  <c r="Z9" i="66" s="1"/>
  <c r="E19" i="94"/>
  <c r="AG9" i="66" s="1"/>
  <c r="Z10" i="66" s="1"/>
  <c r="E20" i="94"/>
  <c r="AG11" i="66" s="1"/>
  <c r="Z12" i="66" s="1"/>
  <c r="E21" i="94"/>
  <c r="AG12" i="66" s="1"/>
  <c r="Z13" i="66" s="1"/>
  <c r="E22" i="94"/>
  <c r="AG14" i="66" s="1"/>
  <c r="Z15" i="66" s="1"/>
  <c r="E23" i="94"/>
  <c r="AG15" i="66" s="1"/>
  <c r="Z16" i="66" s="1"/>
  <c r="E24" i="94"/>
  <c r="AG16" i="66" s="1"/>
  <c r="Z17" i="66" s="1"/>
  <c r="E25" i="94"/>
  <c r="AG18" i="66" s="1"/>
  <c r="Z19" i="66" s="1"/>
  <c r="E26" i="94"/>
  <c r="AG21" i="66" s="1"/>
  <c r="Z22" i="66" s="1"/>
  <c r="E27" i="94"/>
  <c r="AG22" i="66" s="1"/>
  <c r="Z23" i="66" s="1"/>
  <c r="E28" i="94"/>
  <c r="AG23" i="66" s="1"/>
  <c r="Z24" i="66" s="1"/>
  <c r="E29" i="94"/>
  <c r="AG24" i="66" s="1"/>
  <c r="Z25" i="66" s="1"/>
  <c r="E30" i="94"/>
  <c r="AG25" i="66" s="1"/>
  <c r="E15" i="94"/>
  <c r="AG3" i="66" s="1"/>
  <c r="D16" i="94"/>
  <c r="Y4" i="66" s="1"/>
  <c r="D17" i="94"/>
  <c r="AI5" i="66" s="1"/>
  <c r="D18" i="94"/>
  <c r="AI8" i="66" s="1"/>
  <c r="D19" i="94"/>
  <c r="Y9" i="66" s="1"/>
  <c r="D20" i="94"/>
  <c r="AI11" i="66" s="1"/>
  <c r="D21" i="94"/>
  <c r="Y12" i="66" s="1"/>
  <c r="D22" i="94"/>
  <c r="AI14" i="66" s="1"/>
  <c r="D23" i="94"/>
  <c r="Y15" i="66" s="1"/>
  <c r="D24" i="94"/>
  <c r="AI16" i="66" s="1"/>
  <c r="D25" i="94"/>
  <c r="AI18" i="66" s="1"/>
  <c r="D26" i="94"/>
  <c r="AI21" i="66" s="1"/>
  <c r="D27" i="94"/>
  <c r="AI22" i="66" s="1"/>
  <c r="D28" i="94"/>
  <c r="AI23" i="66" s="1"/>
  <c r="D29" i="94"/>
  <c r="AI24" i="66" s="1"/>
  <c r="D30" i="94"/>
  <c r="Y25" i="66" s="1"/>
  <c r="D15" i="94"/>
  <c r="Y3" i="66" s="1"/>
  <c r="C16" i="94"/>
  <c r="X4" i="66" s="1"/>
  <c r="C17" i="94"/>
  <c r="X5" i="66" s="1"/>
  <c r="C18" i="94"/>
  <c r="X8" i="66" s="1"/>
  <c r="C19" i="94"/>
  <c r="X9" i="66" s="1"/>
  <c r="C20" i="94"/>
  <c r="X11" i="66" s="1"/>
  <c r="C21" i="94"/>
  <c r="X12" i="66" s="1"/>
  <c r="C22" i="94"/>
  <c r="X14" i="66" s="1"/>
  <c r="C23" i="94"/>
  <c r="X15" i="66" s="1"/>
  <c r="C24" i="94"/>
  <c r="X16" i="66" s="1"/>
  <c r="C25" i="94"/>
  <c r="X18" i="66" s="1"/>
  <c r="C26" i="94"/>
  <c r="X21" i="66" s="1"/>
  <c r="C27" i="94"/>
  <c r="X22" i="66" s="1"/>
  <c r="C28" i="94"/>
  <c r="X23" i="66" s="1"/>
  <c r="C29" i="94"/>
  <c r="X24" i="66" s="1"/>
  <c r="C30" i="94"/>
  <c r="X25" i="66" s="1"/>
  <c r="C15" i="94"/>
  <c r="X3" i="66" s="1"/>
  <c r="E34" i="94"/>
  <c r="AG10" i="66" s="1"/>
  <c r="Z11" i="66" s="1"/>
  <c r="E35" i="94"/>
  <c r="AG13" i="66" s="1"/>
  <c r="Z14" i="66" s="1"/>
  <c r="E36" i="94"/>
  <c r="AG17" i="66" s="1"/>
  <c r="Z18" i="66" s="1"/>
  <c r="E37" i="94"/>
  <c r="AG19" i="66" s="1"/>
  <c r="Z20" i="66" s="1"/>
  <c r="E38" i="94"/>
  <c r="AG7" i="66" s="1"/>
  <c r="Z8" i="66" s="1"/>
  <c r="E39" i="94"/>
  <c r="AG20" i="66" s="1"/>
  <c r="Z21" i="66" s="1"/>
  <c r="E33" i="94"/>
  <c r="AG6" i="66" s="1"/>
  <c r="Z7" i="66" s="1"/>
  <c r="B17" i="92"/>
  <c r="B10" i="92"/>
  <c r="B11" i="92"/>
  <c r="B12" i="92"/>
  <c r="B9" i="92"/>
  <c r="B3" i="92"/>
  <c r="B4" i="92"/>
  <c r="B5" i="92"/>
  <c r="Z5" i="33"/>
  <c r="D34" i="94"/>
  <c r="Y10" i="66" s="1"/>
  <c r="D35" i="94"/>
  <c r="AI13" i="66" s="1"/>
  <c r="D36" i="94"/>
  <c r="AI17" i="66" s="1"/>
  <c r="D37" i="94"/>
  <c r="AI19" i="66" s="1"/>
  <c r="D38" i="94"/>
  <c r="Y7" i="66" s="1"/>
  <c r="D39" i="94"/>
  <c r="Y20" i="66" s="1"/>
  <c r="D33" i="94"/>
  <c r="AI6" i="66" s="1"/>
  <c r="C34" i="94"/>
  <c r="X10" i="66" s="1"/>
  <c r="C35" i="94"/>
  <c r="X13" i="66" s="1"/>
  <c r="C36" i="94"/>
  <c r="X17" i="66" s="1"/>
  <c r="C37" i="94"/>
  <c r="X19" i="66" s="1"/>
  <c r="C38" i="94"/>
  <c r="X7" i="66" s="1"/>
  <c r="C39" i="94"/>
  <c r="X20" i="66" s="1"/>
  <c r="C33" i="94"/>
  <c r="X6" i="66" s="1"/>
  <c r="AD30" i="14"/>
  <c r="AE304" i="14"/>
  <c r="AF304" i="14" s="1"/>
  <c r="AD304" i="14"/>
  <c r="T304" i="14"/>
  <c r="C328" i="20"/>
  <c r="AC328" i="20"/>
  <c r="AD328" i="20"/>
  <c r="AE328" i="20"/>
  <c r="AF328" i="20"/>
  <c r="AG328" i="20"/>
  <c r="AH328" i="20"/>
  <c r="AI328" i="20"/>
  <c r="AJ328" i="20"/>
  <c r="AK328" i="20"/>
  <c r="AL328" i="20"/>
  <c r="AP328" i="20"/>
  <c r="AX328" i="20"/>
  <c r="C327" i="20"/>
  <c r="AC327" i="20"/>
  <c r="AD327" i="20"/>
  <c r="AE327" i="20"/>
  <c r="AF327" i="20"/>
  <c r="AG327" i="20"/>
  <c r="AH327" i="20"/>
  <c r="AI327" i="20"/>
  <c r="AJ327" i="20"/>
  <c r="AK327" i="20"/>
  <c r="AL327" i="20"/>
  <c r="AP327" i="20"/>
  <c r="AX327" i="20"/>
  <c r="C326" i="20"/>
  <c r="AC326" i="20"/>
  <c r="AD326" i="20"/>
  <c r="AE326" i="20"/>
  <c r="AF326" i="20"/>
  <c r="AG326" i="20"/>
  <c r="AH326" i="20"/>
  <c r="AI326" i="20"/>
  <c r="AJ326" i="20"/>
  <c r="AK326" i="20"/>
  <c r="AL326" i="20"/>
  <c r="AP326" i="20"/>
  <c r="AX326" i="20"/>
  <c r="C325" i="20"/>
  <c r="AC325" i="20"/>
  <c r="AD325" i="20"/>
  <c r="AE325" i="20"/>
  <c r="AF325" i="20"/>
  <c r="AG325" i="20"/>
  <c r="AH325" i="20"/>
  <c r="AI325" i="20"/>
  <c r="AJ325" i="20"/>
  <c r="AK325" i="20"/>
  <c r="AL325" i="20"/>
  <c r="AP325" i="20"/>
  <c r="AX325" i="20"/>
  <c r="C324" i="20"/>
  <c r="AC324" i="20"/>
  <c r="AD324" i="20"/>
  <c r="AE324" i="20"/>
  <c r="AF324" i="20"/>
  <c r="AG324" i="20"/>
  <c r="AH324" i="20"/>
  <c r="AI324" i="20"/>
  <c r="AJ324" i="20"/>
  <c r="AK324" i="20"/>
  <c r="AL324" i="20"/>
  <c r="AP324" i="20"/>
  <c r="AX324" i="20"/>
  <c r="AE223" i="14"/>
  <c r="AF223" i="14" s="1"/>
  <c r="AD223" i="14"/>
  <c r="T223" i="14"/>
  <c r="C323" i="20"/>
  <c r="AC323" i="20"/>
  <c r="AD323" i="20"/>
  <c r="AE323" i="20"/>
  <c r="AF323" i="20"/>
  <c r="AG323" i="20"/>
  <c r="AH323" i="20"/>
  <c r="AI323" i="20"/>
  <c r="AJ323" i="20"/>
  <c r="AK323" i="20"/>
  <c r="AL323" i="20"/>
  <c r="AP323" i="20"/>
  <c r="AX323" i="20"/>
  <c r="C322" i="20"/>
  <c r="AC322" i="20"/>
  <c r="AD322" i="20"/>
  <c r="AE322" i="20"/>
  <c r="AF322" i="20"/>
  <c r="AG322" i="20"/>
  <c r="AH322" i="20"/>
  <c r="AI322" i="20"/>
  <c r="AJ322" i="20"/>
  <c r="AK322" i="20"/>
  <c r="AL322" i="20"/>
  <c r="AP322" i="20"/>
  <c r="AX322" i="20"/>
  <c r="C321" i="20"/>
  <c r="AC321" i="20"/>
  <c r="AD321" i="20"/>
  <c r="AE321" i="20"/>
  <c r="AF321" i="20"/>
  <c r="AG321" i="20"/>
  <c r="AH321" i="20"/>
  <c r="AI321" i="20"/>
  <c r="AJ321" i="20"/>
  <c r="AK321" i="20"/>
  <c r="AL321" i="20"/>
  <c r="AP321" i="20"/>
  <c r="AX321" i="20"/>
  <c r="C320" i="20"/>
  <c r="AC320" i="20"/>
  <c r="AD320" i="20"/>
  <c r="AE320" i="20"/>
  <c r="AF320" i="20"/>
  <c r="AG320" i="20"/>
  <c r="AH320" i="20"/>
  <c r="AI320" i="20"/>
  <c r="AJ320" i="20"/>
  <c r="AK320" i="20"/>
  <c r="AL320" i="20"/>
  <c r="AP320" i="20"/>
  <c r="AX320" i="20"/>
  <c r="C319" i="20"/>
  <c r="AC319" i="20"/>
  <c r="AD319" i="20"/>
  <c r="AE319" i="20"/>
  <c r="AF319" i="20"/>
  <c r="AG319" i="20"/>
  <c r="AH319" i="20"/>
  <c r="AI319" i="20"/>
  <c r="AJ319" i="20"/>
  <c r="AK319" i="20"/>
  <c r="AL319" i="20"/>
  <c r="AP319" i="20"/>
  <c r="AX319" i="20"/>
  <c r="C318" i="20"/>
  <c r="AC318" i="20"/>
  <c r="AD318" i="20"/>
  <c r="AE318" i="20"/>
  <c r="AF318" i="20"/>
  <c r="AG318" i="20"/>
  <c r="AH318" i="20"/>
  <c r="AI318" i="20"/>
  <c r="AJ318" i="20"/>
  <c r="AK318" i="20"/>
  <c r="AL318" i="20"/>
  <c r="AP318" i="20"/>
  <c r="AX318" i="20"/>
  <c r="C317" i="20"/>
  <c r="AC317" i="20"/>
  <c r="AD317" i="20"/>
  <c r="AE317" i="20"/>
  <c r="AF317" i="20"/>
  <c r="AG317" i="20"/>
  <c r="AH317" i="20"/>
  <c r="AI317" i="20"/>
  <c r="AJ317" i="20"/>
  <c r="AK317" i="20"/>
  <c r="AL317" i="20"/>
  <c r="AP317" i="20"/>
  <c r="AX317" i="20"/>
  <c r="C316" i="20"/>
  <c r="AC316" i="20"/>
  <c r="AD316" i="20"/>
  <c r="AE316" i="20"/>
  <c r="AF316" i="20"/>
  <c r="AG316" i="20"/>
  <c r="AH316" i="20"/>
  <c r="AI316" i="20"/>
  <c r="AJ316" i="20"/>
  <c r="AK316" i="20"/>
  <c r="AL316" i="20"/>
  <c r="AP316" i="20"/>
  <c r="AX316" i="20"/>
  <c r="C315" i="20"/>
  <c r="AC315" i="20"/>
  <c r="AD315" i="20"/>
  <c r="AE315" i="20"/>
  <c r="AF315" i="20"/>
  <c r="AG315" i="20"/>
  <c r="AH315" i="20"/>
  <c r="AI315" i="20"/>
  <c r="AJ315" i="20"/>
  <c r="AK315" i="20"/>
  <c r="AL315" i="20"/>
  <c r="AP315" i="20"/>
  <c r="AX315" i="20"/>
  <c r="C314" i="20"/>
  <c r="AC314" i="20"/>
  <c r="AD314" i="20"/>
  <c r="AE314" i="20"/>
  <c r="AF314" i="20"/>
  <c r="AG314" i="20"/>
  <c r="AH314" i="20"/>
  <c r="AI314" i="20"/>
  <c r="AJ314" i="20"/>
  <c r="AK314" i="20"/>
  <c r="AL314" i="20"/>
  <c r="AP314" i="20"/>
  <c r="AX314" i="20"/>
  <c r="C313" i="20"/>
  <c r="AC313" i="20"/>
  <c r="AD313" i="20"/>
  <c r="AE313" i="20"/>
  <c r="AF313" i="20"/>
  <c r="AG313" i="20"/>
  <c r="AH313" i="20"/>
  <c r="AI313" i="20"/>
  <c r="AJ313" i="20"/>
  <c r="AK313" i="20"/>
  <c r="AL313" i="20"/>
  <c r="AP313" i="20"/>
  <c r="AX313" i="20"/>
  <c r="C312" i="20"/>
  <c r="AC312" i="20"/>
  <c r="AD312" i="20"/>
  <c r="AE312" i="20"/>
  <c r="AF312" i="20"/>
  <c r="AG312" i="20"/>
  <c r="AH312" i="20"/>
  <c r="AI312" i="20"/>
  <c r="AJ312" i="20"/>
  <c r="AK312" i="20"/>
  <c r="AL312" i="20"/>
  <c r="AP312" i="20"/>
  <c r="AX312" i="20"/>
  <c r="C311" i="20"/>
  <c r="AC311" i="20"/>
  <c r="AD311" i="20"/>
  <c r="AE311" i="20"/>
  <c r="AF311" i="20"/>
  <c r="AG311" i="20"/>
  <c r="AH311" i="20"/>
  <c r="AI311" i="20"/>
  <c r="AJ311" i="20"/>
  <c r="AK311" i="20"/>
  <c r="AL311" i="20"/>
  <c r="AP311" i="20"/>
  <c r="AX311" i="20"/>
  <c r="C310" i="20"/>
  <c r="AC310" i="20"/>
  <c r="AD310" i="20"/>
  <c r="AE310" i="20"/>
  <c r="AF310" i="20"/>
  <c r="AG310" i="20"/>
  <c r="AH310" i="20"/>
  <c r="AI310" i="20"/>
  <c r="AJ310" i="20"/>
  <c r="AK310" i="20"/>
  <c r="AL310" i="20"/>
  <c r="AP310" i="20"/>
  <c r="AX310" i="20"/>
  <c r="C305" i="20"/>
  <c r="C306" i="20"/>
  <c r="C307" i="20"/>
  <c r="C308" i="20"/>
  <c r="C309" i="20"/>
  <c r="AC305" i="20"/>
  <c r="AC306" i="20"/>
  <c r="AC307" i="20"/>
  <c r="AC308" i="20"/>
  <c r="AC309" i="20"/>
  <c r="AD305" i="20"/>
  <c r="AD306" i="20"/>
  <c r="AD307" i="20"/>
  <c r="AD308" i="20"/>
  <c r="AD309" i="20"/>
  <c r="AE305" i="20"/>
  <c r="AE306" i="20"/>
  <c r="AE307" i="20"/>
  <c r="AE308" i="20"/>
  <c r="AE309" i="20"/>
  <c r="AF305" i="20"/>
  <c r="AF306" i="20"/>
  <c r="AF307" i="20"/>
  <c r="AF308" i="20"/>
  <c r="AF309" i="20"/>
  <c r="AG305" i="20"/>
  <c r="AG306" i="20"/>
  <c r="AG307" i="20"/>
  <c r="AG308" i="20"/>
  <c r="AG309" i="20"/>
  <c r="AH305" i="20"/>
  <c r="AH306" i="20"/>
  <c r="AH307" i="20"/>
  <c r="AH308" i="20"/>
  <c r="AH309" i="20"/>
  <c r="AI305" i="20"/>
  <c r="AI306" i="20"/>
  <c r="AI307" i="20"/>
  <c r="AI308" i="20"/>
  <c r="AI309" i="20"/>
  <c r="AJ305" i="20"/>
  <c r="AJ306" i="20"/>
  <c r="AJ307" i="20"/>
  <c r="AJ308" i="20"/>
  <c r="AJ309" i="20"/>
  <c r="AK305" i="20"/>
  <c r="AK306" i="20"/>
  <c r="AK307" i="20"/>
  <c r="AK308" i="20"/>
  <c r="AK309" i="20"/>
  <c r="AL305" i="20"/>
  <c r="AL306" i="20"/>
  <c r="AL307" i="20"/>
  <c r="AL308" i="20"/>
  <c r="AL309" i="20"/>
  <c r="AP305" i="20"/>
  <c r="AP306" i="20"/>
  <c r="AP307" i="20"/>
  <c r="AP308" i="20"/>
  <c r="AP309" i="20"/>
  <c r="AX305" i="20"/>
  <c r="AX306" i="20"/>
  <c r="AX307" i="20"/>
  <c r="AX308" i="20"/>
  <c r="AX309" i="20"/>
  <c r="C299" i="20"/>
  <c r="C300" i="20"/>
  <c r="C301" i="20"/>
  <c r="C302" i="20"/>
  <c r="C303" i="20"/>
  <c r="C304" i="20"/>
  <c r="AC299" i="20"/>
  <c r="AC300" i="20"/>
  <c r="AC301" i="20"/>
  <c r="AC302" i="20"/>
  <c r="AC303" i="20"/>
  <c r="AC304" i="20"/>
  <c r="AD299" i="20"/>
  <c r="AD300" i="20"/>
  <c r="AD301" i="20"/>
  <c r="AD302" i="20"/>
  <c r="AD303" i="20"/>
  <c r="AD304" i="20"/>
  <c r="AE299" i="20"/>
  <c r="AE300" i="20"/>
  <c r="AE301" i="20"/>
  <c r="AE302" i="20"/>
  <c r="AE303" i="20"/>
  <c r="AE304" i="20"/>
  <c r="AF299" i="20"/>
  <c r="AF300" i="20"/>
  <c r="AF301" i="20"/>
  <c r="AF302" i="20"/>
  <c r="AF303" i="20"/>
  <c r="AF304" i="20"/>
  <c r="AG299" i="20"/>
  <c r="AG300" i="20"/>
  <c r="AG301" i="20"/>
  <c r="AG302" i="20"/>
  <c r="AG303" i="20"/>
  <c r="AG304" i="20"/>
  <c r="AH299" i="20"/>
  <c r="AH300" i="20"/>
  <c r="AH301" i="20"/>
  <c r="AH302" i="20"/>
  <c r="AH303" i="20"/>
  <c r="AH304" i="20"/>
  <c r="AI299" i="20"/>
  <c r="AI300" i="20"/>
  <c r="AI301" i="20"/>
  <c r="AI302" i="20"/>
  <c r="AI303" i="20"/>
  <c r="AI304" i="20"/>
  <c r="AJ299" i="20"/>
  <c r="AJ300" i="20"/>
  <c r="AJ301" i="20"/>
  <c r="AJ302" i="20"/>
  <c r="AJ303" i="20"/>
  <c r="AJ304" i="20"/>
  <c r="AK299" i="20"/>
  <c r="AK300" i="20"/>
  <c r="AK301" i="20"/>
  <c r="AK302" i="20"/>
  <c r="AK303" i="20"/>
  <c r="AK304" i="20"/>
  <c r="AL299" i="20"/>
  <c r="AL300" i="20"/>
  <c r="AL301" i="20"/>
  <c r="AL302" i="20"/>
  <c r="AL303" i="20"/>
  <c r="AL304" i="20"/>
  <c r="AP299" i="20"/>
  <c r="AP300" i="20"/>
  <c r="AP301" i="20"/>
  <c r="AP302" i="20"/>
  <c r="AP303" i="20"/>
  <c r="AP304" i="20"/>
  <c r="AX299" i="20"/>
  <c r="AX300" i="20"/>
  <c r="AX301" i="20"/>
  <c r="AX302" i="20"/>
  <c r="AX303" i="20"/>
  <c r="AX304" i="20"/>
  <c r="C296" i="20"/>
  <c r="C297" i="20"/>
  <c r="C298" i="20"/>
  <c r="AC296" i="20"/>
  <c r="AC297" i="20"/>
  <c r="AC298" i="20"/>
  <c r="AD296" i="20"/>
  <c r="AD297" i="20"/>
  <c r="AD298" i="20"/>
  <c r="AE296" i="20"/>
  <c r="AE297" i="20"/>
  <c r="AE298" i="20"/>
  <c r="AF296" i="20"/>
  <c r="AF297" i="20"/>
  <c r="AF298" i="20"/>
  <c r="AG296" i="20"/>
  <c r="AG297" i="20"/>
  <c r="AG298" i="20"/>
  <c r="AH296" i="20"/>
  <c r="AH297" i="20"/>
  <c r="AH298" i="20"/>
  <c r="AI296" i="20"/>
  <c r="AI297" i="20"/>
  <c r="AI298" i="20"/>
  <c r="AJ296" i="20"/>
  <c r="AJ297" i="20"/>
  <c r="AJ298" i="20"/>
  <c r="AK296" i="20"/>
  <c r="AK297" i="20"/>
  <c r="AK298" i="20"/>
  <c r="AL296" i="20"/>
  <c r="AL297" i="20"/>
  <c r="AL298" i="20"/>
  <c r="AP296" i="20"/>
  <c r="AP297" i="20"/>
  <c r="AP298" i="20"/>
  <c r="AX296" i="20"/>
  <c r="AX297" i="20"/>
  <c r="AX298" i="20"/>
  <c r="C290" i="20"/>
  <c r="C291" i="20"/>
  <c r="C292" i="20"/>
  <c r="C293" i="20"/>
  <c r="C294" i="20"/>
  <c r="C295" i="20"/>
  <c r="AC290" i="20"/>
  <c r="AC291" i="20"/>
  <c r="AC292" i="20"/>
  <c r="AC293" i="20"/>
  <c r="AC294" i="20"/>
  <c r="AC295" i="20"/>
  <c r="AD290" i="20"/>
  <c r="AD291" i="20"/>
  <c r="AD292" i="20"/>
  <c r="AD293" i="20"/>
  <c r="AD294" i="20"/>
  <c r="AD295" i="20"/>
  <c r="AE290" i="20"/>
  <c r="AE291" i="20"/>
  <c r="AE292" i="20"/>
  <c r="AE293" i="20"/>
  <c r="AE294" i="20"/>
  <c r="AE295" i="20"/>
  <c r="AF290" i="20"/>
  <c r="AF291" i="20"/>
  <c r="AF292" i="20"/>
  <c r="AF293" i="20"/>
  <c r="AF294" i="20"/>
  <c r="AF295" i="20"/>
  <c r="AG290" i="20"/>
  <c r="AG291" i="20"/>
  <c r="AG292" i="20"/>
  <c r="AG293" i="20"/>
  <c r="AG294" i="20"/>
  <c r="AG295" i="20"/>
  <c r="AH290" i="20"/>
  <c r="AH291" i="20"/>
  <c r="AH292" i="20"/>
  <c r="AH293" i="20"/>
  <c r="AH294" i="20"/>
  <c r="AH295" i="20"/>
  <c r="AI290" i="20"/>
  <c r="AI291" i="20"/>
  <c r="AI292" i="20"/>
  <c r="AI293" i="20"/>
  <c r="AI294" i="20"/>
  <c r="AI295" i="20"/>
  <c r="AJ290" i="20"/>
  <c r="AJ291" i="20"/>
  <c r="AJ292" i="20"/>
  <c r="AJ293" i="20"/>
  <c r="AJ294" i="20"/>
  <c r="AJ295" i="20"/>
  <c r="AK290" i="20"/>
  <c r="AK291" i="20"/>
  <c r="AK292" i="20"/>
  <c r="AK293" i="20"/>
  <c r="AK294" i="20"/>
  <c r="AK295" i="20"/>
  <c r="AL290" i="20"/>
  <c r="AL291" i="20"/>
  <c r="AL292" i="20"/>
  <c r="AL293" i="20"/>
  <c r="AL294" i="20"/>
  <c r="AL295" i="20"/>
  <c r="AP290" i="20"/>
  <c r="AP291" i="20"/>
  <c r="AP292" i="20"/>
  <c r="AP293" i="20"/>
  <c r="AP294" i="20"/>
  <c r="AP295" i="20"/>
  <c r="AX290" i="20"/>
  <c r="AX291" i="20"/>
  <c r="AX292" i="20"/>
  <c r="AX293" i="20"/>
  <c r="AX294" i="20"/>
  <c r="AX295" i="20"/>
  <c r="C289" i="20"/>
  <c r="AC289" i="20"/>
  <c r="AD289" i="20"/>
  <c r="AE289" i="20"/>
  <c r="AF289" i="20"/>
  <c r="AG289" i="20"/>
  <c r="AH289" i="20"/>
  <c r="AI289" i="20"/>
  <c r="AJ289" i="20"/>
  <c r="AK289" i="20"/>
  <c r="AL289" i="20"/>
  <c r="AP289" i="20"/>
  <c r="AX289" i="20"/>
  <c r="H11" i="95"/>
  <c r="I11" i="95"/>
  <c r="J11" i="95"/>
  <c r="K11" i="95"/>
  <c r="L11" i="95"/>
  <c r="M11" i="95"/>
  <c r="N11" i="95"/>
  <c r="O11" i="95"/>
  <c r="P11" i="95"/>
  <c r="Q11" i="95"/>
  <c r="R11" i="95"/>
  <c r="S11" i="95"/>
  <c r="T11" i="95"/>
  <c r="U11" i="95"/>
  <c r="V11" i="95"/>
  <c r="W11" i="95"/>
  <c r="X11" i="95"/>
  <c r="Y11" i="95"/>
  <c r="Z11" i="95"/>
  <c r="AA11" i="95"/>
  <c r="AB11" i="95"/>
  <c r="AC11" i="95"/>
  <c r="AD11" i="95"/>
  <c r="AE11" i="95"/>
  <c r="AF11" i="95"/>
  <c r="AG11" i="95"/>
  <c r="AH11" i="95"/>
  <c r="AI11" i="95"/>
  <c r="AJ11" i="95"/>
  <c r="AK11" i="95"/>
  <c r="AL11" i="95"/>
  <c r="AM11" i="95"/>
  <c r="AN11" i="95"/>
  <c r="AO11" i="95"/>
  <c r="AP11" i="95"/>
  <c r="AQ11" i="95"/>
  <c r="AR11" i="95"/>
  <c r="AS11" i="95"/>
  <c r="AT11" i="95"/>
  <c r="AU11" i="95"/>
  <c r="AV11" i="95"/>
  <c r="AW11" i="95"/>
  <c r="AX11" i="95"/>
  <c r="AY11" i="95"/>
  <c r="AZ11" i="95"/>
  <c r="BA11" i="95"/>
  <c r="BB11" i="95"/>
  <c r="BI11" i="95"/>
  <c r="BJ11" i="95"/>
  <c r="BK11" i="95"/>
  <c r="BL11" i="95"/>
  <c r="BM11" i="95"/>
  <c r="BN11" i="95"/>
  <c r="BO11" i="95"/>
  <c r="BP11" i="95"/>
  <c r="BQ11" i="95"/>
  <c r="BR11" i="95"/>
  <c r="BS11" i="95"/>
  <c r="BT11" i="95"/>
  <c r="C288" i="20"/>
  <c r="AC288" i="20"/>
  <c r="AD288" i="20"/>
  <c r="AE288" i="20"/>
  <c r="AF288" i="20"/>
  <c r="AG288" i="20"/>
  <c r="AH288" i="20"/>
  <c r="AI288" i="20"/>
  <c r="AJ288" i="20"/>
  <c r="AK288" i="20"/>
  <c r="AL288" i="20"/>
  <c r="AP288" i="20"/>
  <c r="AX288" i="20"/>
  <c r="C287" i="20"/>
  <c r="AC287" i="20"/>
  <c r="AD287" i="20"/>
  <c r="AE287" i="20"/>
  <c r="AF287" i="20"/>
  <c r="AG287" i="20"/>
  <c r="AH287" i="20"/>
  <c r="AI287" i="20"/>
  <c r="AJ287" i="20"/>
  <c r="AK287" i="20"/>
  <c r="AL287" i="20"/>
  <c r="AP287" i="20"/>
  <c r="AX287" i="20"/>
  <c r="C286" i="20"/>
  <c r="AC286" i="20"/>
  <c r="AD286" i="20"/>
  <c r="AE286" i="20"/>
  <c r="AF286" i="20"/>
  <c r="AG286" i="20"/>
  <c r="AH286" i="20"/>
  <c r="AI286" i="20"/>
  <c r="AJ286" i="20"/>
  <c r="AK286" i="20"/>
  <c r="AL286" i="20"/>
  <c r="AP286" i="20"/>
  <c r="AX286" i="20"/>
  <c r="C285" i="20"/>
  <c r="AC285" i="20"/>
  <c r="AD285" i="20"/>
  <c r="AE285" i="20"/>
  <c r="AF285" i="20"/>
  <c r="AG285" i="20"/>
  <c r="AH285" i="20"/>
  <c r="AI285" i="20"/>
  <c r="AJ285" i="20"/>
  <c r="AK285" i="20"/>
  <c r="AL285" i="20"/>
  <c r="AP285" i="20"/>
  <c r="AX285" i="20"/>
  <c r="C284" i="20"/>
  <c r="AC284" i="20"/>
  <c r="AD284" i="20"/>
  <c r="AE284" i="20"/>
  <c r="AF284" i="20"/>
  <c r="AG284" i="20"/>
  <c r="AH284" i="20"/>
  <c r="AI284" i="20"/>
  <c r="AJ284" i="20"/>
  <c r="AK284" i="20"/>
  <c r="AL284" i="20"/>
  <c r="AP284" i="20"/>
  <c r="AX284" i="20"/>
  <c r="C283" i="20"/>
  <c r="AC283" i="20"/>
  <c r="AD283" i="20"/>
  <c r="AE283" i="20"/>
  <c r="AF283" i="20"/>
  <c r="AG283" i="20"/>
  <c r="AH283" i="20"/>
  <c r="AI283" i="20"/>
  <c r="AJ283" i="20"/>
  <c r="AK283" i="20"/>
  <c r="AL283" i="20"/>
  <c r="AP283" i="20"/>
  <c r="AX283" i="20"/>
  <c r="C282" i="20"/>
  <c r="AC282" i="20"/>
  <c r="AD282" i="20"/>
  <c r="AE282" i="20"/>
  <c r="AF282" i="20"/>
  <c r="AG282" i="20"/>
  <c r="AH282" i="20"/>
  <c r="AI282" i="20"/>
  <c r="AJ282" i="20"/>
  <c r="AK282" i="20"/>
  <c r="AL282" i="20"/>
  <c r="AP282" i="20"/>
  <c r="AX282" i="20"/>
  <c r="C281" i="20"/>
  <c r="AC281" i="20"/>
  <c r="AD281" i="20"/>
  <c r="AE281" i="20"/>
  <c r="AF281" i="20"/>
  <c r="AG281" i="20"/>
  <c r="AH281" i="20"/>
  <c r="AI281" i="20"/>
  <c r="AJ281" i="20"/>
  <c r="AK281" i="20"/>
  <c r="AL281" i="20"/>
  <c r="AP281" i="20"/>
  <c r="AX281" i="20"/>
  <c r="C280" i="20"/>
  <c r="AC280" i="20"/>
  <c r="AD280" i="20"/>
  <c r="AE280" i="20"/>
  <c r="AF280" i="20"/>
  <c r="AG280" i="20"/>
  <c r="AH280" i="20"/>
  <c r="AI280" i="20"/>
  <c r="AJ280" i="20"/>
  <c r="AK280" i="20"/>
  <c r="AL280" i="20"/>
  <c r="AP280" i="20"/>
  <c r="AX280" i="20"/>
  <c r="C279" i="20"/>
  <c r="AC279" i="20"/>
  <c r="AD279" i="20"/>
  <c r="AE279" i="20"/>
  <c r="AF279" i="20"/>
  <c r="AG279" i="20"/>
  <c r="AH279" i="20"/>
  <c r="AI279" i="20"/>
  <c r="AJ279" i="20"/>
  <c r="AK279" i="20"/>
  <c r="AL279" i="20"/>
  <c r="AP279" i="20"/>
  <c r="AX279" i="20"/>
  <c r="C278" i="20"/>
  <c r="AC278" i="20"/>
  <c r="AD278" i="20"/>
  <c r="AE278" i="20"/>
  <c r="AF278" i="20"/>
  <c r="AG278" i="20"/>
  <c r="AH278" i="20"/>
  <c r="AI278" i="20"/>
  <c r="AJ278" i="20"/>
  <c r="AK278" i="20"/>
  <c r="AL278" i="20"/>
  <c r="AP278" i="20"/>
  <c r="AX278" i="20"/>
  <c r="C277" i="20"/>
  <c r="AC277" i="20"/>
  <c r="AD277" i="20"/>
  <c r="AE277" i="20"/>
  <c r="AF277" i="20"/>
  <c r="AG277" i="20"/>
  <c r="AH277" i="20"/>
  <c r="AI277" i="20"/>
  <c r="AJ277" i="20"/>
  <c r="AK277" i="20"/>
  <c r="AL277" i="20"/>
  <c r="AP277" i="20"/>
  <c r="AX277" i="20"/>
  <c r="C276" i="20"/>
  <c r="AC276" i="20"/>
  <c r="AD276" i="20"/>
  <c r="AE276" i="20"/>
  <c r="AF276" i="20"/>
  <c r="AG276" i="20"/>
  <c r="AH276" i="20"/>
  <c r="AI276" i="20"/>
  <c r="AJ276" i="20"/>
  <c r="AK276" i="20"/>
  <c r="AL276" i="20"/>
  <c r="AP276" i="20"/>
  <c r="AX276" i="20"/>
  <c r="C275" i="20"/>
  <c r="AC275" i="20"/>
  <c r="AD275" i="20"/>
  <c r="AE275" i="20"/>
  <c r="AF275" i="20"/>
  <c r="AG275" i="20"/>
  <c r="AH275" i="20"/>
  <c r="AI275" i="20"/>
  <c r="AJ275" i="20"/>
  <c r="AK275" i="20"/>
  <c r="AL275" i="20"/>
  <c r="AP275" i="20"/>
  <c r="AX275" i="20"/>
  <c r="C274" i="20"/>
  <c r="AC274" i="20"/>
  <c r="AD274" i="20"/>
  <c r="AE274" i="20"/>
  <c r="AF274" i="20"/>
  <c r="AG274" i="20"/>
  <c r="AH274" i="20"/>
  <c r="AI274" i="20"/>
  <c r="AJ274" i="20"/>
  <c r="AK274" i="20"/>
  <c r="AL274" i="20"/>
  <c r="AP274" i="20"/>
  <c r="AX274" i="20"/>
  <c r="C273" i="20"/>
  <c r="AC273" i="20"/>
  <c r="AD273" i="20"/>
  <c r="AE273" i="20"/>
  <c r="AF273" i="20"/>
  <c r="AG273" i="20"/>
  <c r="AH273" i="20"/>
  <c r="AI273" i="20"/>
  <c r="AJ273" i="20"/>
  <c r="AK273" i="20"/>
  <c r="AL273" i="20"/>
  <c r="AP273" i="20"/>
  <c r="AX273" i="20"/>
  <c r="C272" i="20"/>
  <c r="AC272" i="20"/>
  <c r="AD272" i="20"/>
  <c r="AE272" i="20"/>
  <c r="AF272" i="20"/>
  <c r="AG272" i="20"/>
  <c r="AH272" i="20"/>
  <c r="AI272" i="20"/>
  <c r="AJ272" i="20"/>
  <c r="AK272" i="20"/>
  <c r="AL272" i="20"/>
  <c r="AP272" i="20"/>
  <c r="AX272" i="20"/>
  <c r="C271" i="20"/>
  <c r="AC271" i="20"/>
  <c r="AD271" i="20"/>
  <c r="AE271" i="20"/>
  <c r="AF271" i="20"/>
  <c r="AG271" i="20"/>
  <c r="AH271" i="20"/>
  <c r="AI271" i="20"/>
  <c r="AJ271" i="20"/>
  <c r="AK271" i="20"/>
  <c r="AL271" i="20"/>
  <c r="AP271" i="20"/>
  <c r="AX271" i="20"/>
  <c r="C270" i="20"/>
  <c r="AC270" i="20"/>
  <c r="AD270" i="20"/>
  <c r="AE270" i="20"/>
  <c r="AF270" i="20"/>
  <c r="AG270" i="20"/>
  <c r="AH270" i="20"/>
  <c r="AI270" i="20"/>
  <c r="AJ270" i="20"/>
  <c r="AK270" i="20"/>
  <c r="AL270" i="20"/>
  <c r="AP270" i="20"/>
  <c r="AX270" i="20"/>
  <c r="C269" i="20"/>
  <c r="AC269" i="20"/>
  <c r="AD269" i="20"/>
  <c r="AE269" i="20"/>
  <c r="AF269" i="20"/>
  <c r="AG269" i="20"/>
  <c r="AH269" i="20"/>
  <c r="AI269" i="20"/>
  <c r="AJ269" i="20"/>
  <c r="AK269" i="20"/>
  <c r="AL269" i="20"/>
  <c r="AP269" i="20"/>
  <c r="AX269" i="20"/>
  <c r="C252" i="20"/>
  <c r="C236" i="20"/>
  <c r="AC236" i="20"/>
  <c r="AD236" i="20"/>
  <c r="AE236" i="20"/>
  <c r="AF236" i="20"/>
  <c r="AG236" i="20"/>
  <c r="AH236" i="20"/>
  <c r="AI236" i="20"/>
  <c r="AJ236" i="20"/>
  <c r="AK236" i="20"/>
  <c r="AL236" i="20"/>
  <c r="AP236" i="20"/>
  <c r="AX236" i="20"/>
  <c r="C237" i="20"/>
  <c r="AC237" i="20"/>
  <c r="AD237" i="20"/>
  <c r="AE237" i="20"/>
  <c r="AF237" i="20"/>
  <c r="AG237" i="20"/>
  <c r="AH237" i="20"/>
  <c r="AI237" i="20"/>
  <c r="AJ237" i="20"/>
  <c r="AK237" i="20"/>
  <c r="AL237" i="20"/>
  <c r="AP237" i="20"/>
  <c r="AX237" i="20"/>
  <c r="C238" i="20"/>
  <c r="AC238" i="20"/>
  <c r="AD238" i="20"/>
  <c r="AE238" i="20"/>
  <c r="AF238" i="20"/>
  <c r="AG238" i="20"/>
  <c r="AH238" i="20"/>
  <c r="AI238" i="20"/>
  <c r="AJ238" i="20"/>
  <c r="AK238" i="20"/>
  <c r="AL238" i="20"/>
  <c r="AP238" i="20"/>
  <c r="AX238" i="20"/>
  <c r="C239" i="20"/>
  <c r="AC239" i="20"/>
  <c r="AD239" i="20"/>
  <c r="AE239" i="20"/>
  <c r="AF239" i="20"/>
  <c r="AG239" i="20"/>
  <c r="AH239" i="20"/>
  <c r="AI239" i="20"/>
  <c r="AJ239" i="20"/>
  <c r="AK239" i="20"/>
  <c r="AL239" i="20"/>
  <c r="AP239" i="20"/>
  <c r="AX239" i="20"/>
  <c r="C240" i="20"/>
  <c r="AC240" i="20"/>
  <c r="AD240" i="20"/>
  <c r="AE240" i="20"/>
  <c r="AF240" i="20"/>
  <c r="AG240" i="20"/>
  <c r="AH240" i="20"/>
  <c r="AI240" i="20"/>
  <c r="AJ240" i="20"/>
  <c r="AK240" i="20"/>
  <c r="AL240" i="20"/>
  <c r="AP240" i="20"/>
  <c r="AX240" i="20"/>
  <c r="C241" i="20"/>
  <c r="AC241" i="20"/>
  <c r="AD241" i="20"/>
  <c r="AE241" i="20"/>
  <c r="AF241" i="20"/>
  <c r="AG241" i="20"/>
  <c r="AH241" i="20"/>
  <c r="AI241" i="20"/>
  <c r="AJ241" i="20"/>
  <c r="AK241" i="20"/>
  <c r="AL241" i="20"/>
  <c r="AP241" i="20"/>
  <c r="AX241" i="20"/>
  <c r="C242" i="20"/>
  <c r="AC242" i="20"/>
  <c r="AD242" i="20"/>
  <c r="AE242" i="20"/>
  <c r="AF242" i="20"/>
  <c r="AG242" i="20"/>
  <c r="AH242" i="20"/>
  <c r="AI242" i="20"/>
  <c r="AJ242" i="20"/>
  <c r="AK242" i="20"/>
  <c r="AL242" i="20"/>
  <c r="AP242" i="20"/>
  <c r="AX242" i="20"/>
  <c r="C243" i="20"/>
  <c r="O243" i="20"/>
  <c r="P243" i="20"/>
  <c r="AC243" i="20"/>
  <c r="AD243" i="20"/>
  <c r="AE243" i="20"/>
  <c r="AF243" i="20"/>
  <c r="AG243" i="20"/>
  <c r="AH243" i="20"/>
  <c r="AI243" i="20"/>
  <c r="AJ243" i="20"/>
  <c r="AK243" i="20"/>
  <c r="AL243" i="20"/>
  <c r="AP243" i="20"/>
  <c r="AX243" i="20"/>
  <c r="C244" i="20"/>
  <c r="O244" i="20"/>
  <c r="P244" i="20"/>
  <c r="AC244" i="20"/>
  <c r="AD244" i="20"/>
  <c r="AE244" i="20"/>
  <c r="AF244" i="20"/>
  <c r="AG244" i="20"/>
  <c r="AH244" i="20"/>
  <c r="AI244" i="20"/>
  <c r="AJ244" i="20"/>
  <c r="AK244" i="20"/>
  <c r="AL244" i="20"/>
  <c r="AP244" i="20"/>
  <c r="AX244" i="20"/>
  <c r="C245" i="20"/>
  <c r="O245" i="20"/>
  <c r="P245" i="20"/>
  <c r="AC245" i="20"/>
  <c r="AD245" i="20"/>
  <c r="AE245" i="20"/>
  <c r="AF245" i="20"/>
  <c r="AG245" i="20"/>
  <c r="AH245" i="20"/>
  <c r="AI245" i="20"/>
  <c r="AJ245" i="20"/>
  <c r="AK245" i="20"/>
  <c r="AL245" i="20"/>
  <c r="AP245" i="20"/>
  <c r="AX245" i="20"/>
  <c r="C246" i="20"/>
  <c r="O246" i="20"/>
  <c r="P246" i="20"/>
  <c r="AC246" i="20"/>
  <c r="AD246" i="20"/>
  <c r="AE246" i="20"/>
  <c r="AF246" i="20"/>
  <c r="AG246" i="20"/>
  <c r="AH246" i="20"/>
  <c r="AI246" i="20"/>
  <c r="AJ246" i="20"/>
  <c r="AK246" i="20"/>
  <c r="AL246" i="20"/>
  <c r="AP246" i="20"/>
  <c r="AX246" i="20"/>
  <c r="C247" i="20"/>
  <c r="AC247" i="20"/>
  <c r="AD247" i="20"/>
  <c r="AE247" i="20"/>
  <c r="AF247" i="20"/>
  <c r="AG247" i="20"/>
  <c r="AH247" i="20"/>
  <c r="AI247" i="20"/>
  <c r="AJ247" i="20"/>
  <c r="AK247" i="20"/>
  <c r="AL247" i="20"/>
  <c r="AP247" i="20"/>
  <c r="AX247" i="20"/>
  <c r="C248" i="20"/>
  <c r="AC248" i="20"/>
  <c r="AD248" i="20"/>
  <c r="AE248" i="20"/>
  <c r="AF248" i="20"/>
  <c r="AG248" i="20"/>
  <c r="AH248" i="20"/>
  <c r="AI248" i="20"/>
  <c r="AJ248" i="20"/>
  <c r="AK248" i="20"/>
  <c r="AL248" i="20"/>
  <c r="AP248" i="20"/>
  <c r="AX248" i="20"/>
  <c r="C249" i="20"/>
  <c r="AC249" i="20"/>
  <c r="AD249" i="20"/>
  <c r="AE249" i="20"/>
  <c r="AF249" i="20"/>
  <c r="AG249" i="20"/>
  <c r="AH249" i="20"/>
  <c r="AI249" i="20"/>
  <c r="AJ249" i="20"/>
  <c r="AK249" i="20"/>
  <c r="AL249" i="20"/>
  <c r="AP249" i="20"/>
  <c r="AX249" i="20"/>
  <c r="C250" i="20"/>
  <c r="AC250" i="20"/>
  <c r="AD250" i="20"/>
  <c r="AE250" i="20"/>
  <c r="AF250" i="20"/>
  <c r="AG250" i="20"/>
  <c r="AH250" i="20"/>
  <c r="AI250" i="20"/>
  <c r="AJ250" i="20"/>
  <c r="AK250" i="20"/>
  <c r="AL250" i="20"/>
  <c r="AP250" i="20"/>
  <c r="AX250" i="20"/>
  <c r="C251" i="20"/>
  <c r="AC251" i="20"/>
  <c r="AD251" i="20"/>
  <c r="AE251" i="20"/>
  <c r="AF251" i="20"/>
  <c r="AG251" i="20"/>
  <c r="AH251" i="20"/>
  <c r="AI251" i="20"/>
  <c r="AJ251" i="20"/>
  <c r="AK251" i="20"/>
  <c r="AL251" i="20"/>
  <c r="AP251" i="20"/>
  <c r="AX251" i="20"/>
  <c r="AC252" i="20"/>
  <c r="AD252" i="20"/>
  <c r="AE252" i="20"/>
  <c r="AF252" i="20"/>
  <c r="AG252" i="20"/>
  <c r="AH252" i="20"/>
  <c r="AI252" i="20"/>
  <c r="AJ252" i="20"/>
  <c r="AK252" i="20"/>
  <c r="AL252" i="20"/>
  <c r="AP252" i="20"/>
  <c r="AX252" i="20"/>
  <c r="C253" i="20"/>
  <c r="AC253" i="20"/>
  <c r="AD253" i="20"/>
  <c r="AE253" i="20"/>
  <c r="AF253" i="20"/>
  <c r="AG253" i="20"/>
  <c r="AH253" i="20"/>
  <c r="AI253" i="20"/>
  <c r="AJ253" i="20"/>
  <c r="AK253" i="20"/>
  <c r="AL253" i="20"/>
  <c r="AP253" i="20"/>
  <c r="AX253" i="20"/>
  <c r="C254" i="20"/>
  <c r="AC254" i="20"/>
  <c r="AD254" i="20"/>
  <c r="AE254" i="20"/>
  <c r="AF254" i="20"/>
  <c r="AG254" i="20"/>
  <c r="AH254" i="20"/>
  <c r="AI254" i="20"/>
  <c r="AJ254" i="20"/>
  <c r="AK254" i="20"/>
  <c r="AL254" i="20"/>
  <c r="AP254" i="20"/>
  <c r="AX254" i="20"/>
  <c r="C255" i="20"/>
  <c r="AC255" i="20"/>
  <c r="AD255" i="20"/>
  <c r="AE255" i="20"/>
  <c r="AF255" i="20"/>
  <c r="AG255" i="20"/>
  <c r="AH255" i="20"/>
  <c r="AI255" i="20"/>
  <c r="AJ255" i="20"/>
  <c r="AK255" i="20"/>
  <c r="AL255" i="20"/>
  <c r="AP255" i="20"/>
  <c r="AX255" i="20"/>
  <c r="C256" i="20"/>
  <c r="AC256" i="20"/>
  <c r="AD256" i="20"/>
  <c r="AE256" i="20"/>
  <c r="AF256" i="20"/>
  <c r="AG256" i="20"/>
  <c r="AH256" i="20"/>
  <c r="AI256" i="20"/>
  <c r="AJ256" i="20"/>
  <c r="AK256" i="20"/>
  <c r="AL256" i="20"/>
  <c r="AP256" i="20"/>
  <c r="AX256" i="20"/>
  <c r="C257" i="20"/>
  <c r="AC257" i="20"/>
  <c r="AD257" i="20"/>
  <c r="AE257" i="20"/>
  <c r="AF257" i="20"/>
  <c r="AG257" i="20"/>
  <c r="AH257" i="20"/>
  <c r="AI257" i="20"/>
  <c r="AJ257" i="20"/>
  <c r="AK257" i="20"/>
  <c r="AL257" i="20"/>
  <c r="AP257" i="20"/>
  <c r="AX257" i="20"/>
  <c r="C258" i="20"/>
  <c r="AC258" i="20"/>
  <c r="AD258" i="20"/>
  <c r="AE258" i="20"/>
  <c r="AF258" i="20"/>
  <c r="AG258" i="20"/>
  <c r="AH258" i="20"/>
  <c r="AI258" i="20"/>
  <c r="AJ258" i="20"/>
  <c r="AK258" i="20"/>
  <c r="AL258" i="20"/>
  <c r="AP258" i="20"/>
  <c r="AX258" i="20"/>
  <c r="C233" i="20"/>
  <c r="AC233" i="20"/>
  <c r="AD233" i="20"/>
  <c r="AE233" i="20"/>
  <c r="AF233" i="20"/>
  <c r="AG233" i="20"/>
  <c r="AH233" i="20"/>
  <c r="AI233" i="20"/>
  <c r="AJ233" i="20"/>
  <c r="AK233" i="20"/>
  <c r="AL233" i="20"/>
  <c r="AP233" i="20"/>
  <c r="AX233" i="20"/>
  <c r="C234" i="20"/>
  <c r="AC234" i="20"/>
  <c r="AD234" i="20"/>
  <c r="AE234" i="20"/>
  <c r="AF234" i="20"/>
  <c r="AG234" i="20"/>
  <c r="AH234" i="20"/>
  <c r="AI234" i="20"/>
  <c r="AJ234" i="20"/>
  <c r="AK234" i="20"/>
  <c r="AL234" i="20"/>
  <c r="AP234" i="20"/>
  <c r="AX234" i="20"/>
  <c r="C235" i="20"/>
  <c r="AC235" i="20"/>
  <c r="AD235" i="20"/>
  <c r="AE235" i="20"/>
  <c r="AF235" i="20"/>
  <c r="AG235" i="20"/>
  <c r="AH235" i="20"/>
  <c r="AI235" i="20"/>
  <c r="AJ235" i="20"/>
  <c r="AK235" i="20"/>
  <c r="AL235" i="20"/>
  <c r="AP235" i="20"/>
  <c r="AX235" i="20"/>
  <c r="C259" i="20"/>
  <c r="AC259" i="20"/>
  <c r="AD259" i="20"/>
  <c r="AE259" i="20"/>
  <c r="AF259" i="20"/>
  <c r="AG259" i="20"/>
  <c r="AH259" i="20"/>
  <c r="AI259" i="20"/>
  <c r="AJ259" i="20"/>
  <c r="AK259" i="20"/>
  <c r="AL259" i="20"/>
  <c r="AP259" i="20"/>
  <c r="AX259" i="20"/>
  <c r="C260" i="20"/>
  <c r="AC260" i="20"/>
  <c r="AD260" i="20"/>
  <c r="AE260" i="20"/>
  <c r="AF260" i="20"/>
  <c r="AG260" i="20"/>
  <c r="AH260" i="20"/>
  <c r="AI260" i="20"/>
  <c r="AJ260" i="20"/>
  <c r="AK260" i="20"/>
  <c r="AL260" i="20"/>
  <c r="AP260" i="20"/>
  <c r="AX260" i="20"/>
  <c r="C261" i="20"/>
  <c r="AC261" i="20"/>
  <c r="AD261" i="20"/>
  <c r="AE261" i="20"/>
  <c r="AF261" i="20"/>
  <c r="AG261" i="20"/>
  <c r="AH261" i="20"/>
  <c r="AI261" i="20"/>
  <c r="AJ261" i="20"/>
  <c r="AK261" i="20"/>
  <c r="AL261" i="20"/>
  <c r="AP261" i="20"/>
  <c r="AX261" i="20"/>
  <c r="C262" i="20"/>
  <c r="AC262" i="20"/>
  <c r="AD262" i="20"/>
  <c r="AE262" i="20"/>
  <c r="AF262" i="20"/>
  <c r="AG262" i="20"/>
  <c r="AH262" i="20"/>
  <c r="AI262" i="20"/>
  <c r="AJ262" i="20"/>
  <c r="AK262" i="20"/>
  <c r="AL262" i="20"/>
  <c r="AP262" i="20"/>
  <c r="AX262" i="20"/>
  <c r="C263" i="20"/>
  <c r="AC263" i="20"/>
  <c r="AD263" i="20"/>
  <c r="AE263" i="20"/>
  <c r="AF263" i="20"/>
  <c r="AG263" i="20"/>
  <c r="AH263" i="20"/>
  <c r="AI263" i="20"/>
  <c r="AJ263" i="20"/>
  <c r="AK263" i="20"/>
  <c r="AL263" i="20"/>
  <c r="AP263" i="20"/>
  <c r="AX263" i="20"/>
  <c r="C264" i="20"/>
  <c r="AC264" i="20"/>
  <c r="AD264" i="20"/>
  <c r="AE264" i="20"/>
  <c r="AF264" i="20"/>
  <c r="AG264" i="20"/>
  <c r="AH264" i="20"/>
  <c r="AI264" i="20"/>
  <c r="AJ264" i="20"/>
  <c r="AK264" i="20"/>
  <c r="AL264" i="20"/>
  <c r="AP264" i="20"/>
  <c r="AX264" i="20"/>
  <c r="C265" i="20"/>
  <c r="AC265" i="20"/>
  <c r="AD265" i="20"/>
  <c r="AE265" i="20"/>
  <c r="AF265" i="20"/>
  <c r="AG265" i="20"/>
  <c r="AH265" i="20"/>
  <c r="AI265" i="20"/>
  <c r="AJ265" i="20"/>
  <c r="AK265" i="20"/>
  <c r="AL265" i="20"/>
  <c r="AP265" i="20"/>
  <c r="AX265" i="20"/>
  <c r="C232" i="20"/>
  <c r="AC232" i="20"/>
  <c r="AD232" i="20"/>
  <c r="AE232" i="20"/>
  <c r="AF232" i="20"/>
  <c r="AG232" i="20"/>
  <c r="AH232" i="20"/>
  <c r="AI232" i="20"/>
  <c r="AJ232" i="20"/>
  <c r="AK232" i="20"/>
  <c r="AL232" i="20"/>
  <c r="AP232" i="20"/>
  <c r="AX232" i="20"/>
  <c r="C266" i="20"/>
  <c r="AC266" i="20"/>
  <c r="AD266" i="20"/>
  <c r="AE266" i="20"/>
  <c r="AF266" i="20"/>
  <c r="AG266" i="20"/>
  <c r="AH266" i="20"/>
  <c r="AI266" i="20"/>
  <c r="AJ266" i="20"/>
  <c r="AK266" i="20"/>
  <c r="AL266" i="20"/>
  <c r="AP266" i="20"/>
  <c r="AX266" i="20"/>
  <c r="C267" i="20"/>
  <c r="AC267" i="20"/>
  <c r="AD267" i="20"/>
  <c r="AE267" i="20"/>
  <c r="AF267" i="20"/>
  <c r="AG267" i="20"/>
  <c r="AH267" i="20"/>
  <c r="AI267" i="20"/>
  <c r="AJ267" i="20"/>
  <c r="AK267" i="20"/>
  <c r="AL267" i="20"/>
  <c r="AP267" i="20"/>
  <c r="AX267" i="20"/>
  <c r="C268" i="20"/>
  <c r="AC268" i="20"/>
  <c r="AD268" i="20"/>
  <c r="AE268" i="20"/>
  <c r="AF268" i="20"/>
  <c r="AG268" i="20"/>
  <c r="AH268" i="20"/>
  <c r="AI268" i="20"/>
  <c r="AJ268" i="20"/>
  <c r="AK268" i="20"/>
  <c r="AL268" i="20"/>
  <c r="AP268" i="20"/>
  <c r="AX268" i="20"/>
  <c r="T219" i="14"/>
  <c r="T220" i="14"/>
  <c r="T302" i="14"/>
  <c r="T303" i="14"/>
  <c r="T221" i="14"/>
  <c r="AD219" i="14"/>
  <c r="AD220" i="14"/>
  <c r="AD302" i="14"/>
  <c r="AD303" i="14"/>
  <c r="AD221" i="14"/>
  <c r="AE219" i="14"/>
  <c r="AF219" i="14" s="1"/>
  <c r="AE220" i="14"/>
  <c r="AF220" i="14" s="1"/>
  <c r="AE302" i="14"/>
  <c r="AF302" i="14" s="1"/>
  <c r="AE303" i="14"/>
  <c r="AF303" i="14" s="1"/>
  <c r="AE221" i="14"/>
  <c r="AF221" i="14" s="1"/>
  <c r="AE218" i="14"/>
  <c r="AF218" i="14" s="1"/>
  <c r="AE301" i="14"/>
  <c r="AF301" i="14" s="1"/>
  <c r="AE300" i="14"/>
  <c r="AF300" i="14" s="1"/>
  <c r="AE217" i="14"/>
  <c r="AF217" i="14" s="1"/>
  <c r="AE299" i="14"/>
  <c r="AF299" i="14" s="1"/>
  <c r="AE216" i="14"/>
  <c r="AF216" i="14" s="1"/>
  <c r="AE214" i="14"/>
  <c r="AF214" i="14" s="1"/>
  <c r="AD214" i="14"/>
  <c r="AD216" i="14"/>
  <c r="AD301" i="14"/>
  <c r="AD300" i="14"/>
  <c r="AD217" i="14"/>
  <c r="AD299" i="14"/>
  <c r="AD227" i="14"/>
  <c r="AD209" i="14"/>
  <c r="AD225" i="14"/>
  <c r="AD208" i="14"/>
  <c r="AD206" i="14"/>
  <c r="AD222" i="14"/>
  <c r="T216" i="14"/>
  <c r="T299" i="14"/>
  <c r="T217" i="14"/>
  <c r="T300" i="14"/>
  <c r="T301" i="14"/>
  <c r="T218" i="14"/>
  <c r="AD218" i="14"/>
  <c r="C225" i="20"/>
  <c r="C226" i="20"/>
  <c r="C227" i="20"/>
  <c r="C228" i="20"/>
  <c r="C229" i="20"/>
  <c r="C230" i="20"/>
  <c r="C231" i="20"/>
  <c r="AC225" i="20"/>
  <c r="AC226" i="20"/>
  <c r="AC227" i="20"/>
  <c r="AC228" i="20"/>
  <c r="AC229" i="20"/>
  <c r="AC230" i="20"/>
  <c r="AC231" i="20"/>
  <c r="AD225" i="20"/>
  <c r="AD226" i="20"/>
  <c r="AD227" i="20"/>
  <c r="AD228" i="20"/>
  <c r="AD229" i="20"/>
  <c r="AD230" i="20"/>
  <c r="AD231" i="20"/>
  <c r="AE225" i="20"/>
  <c r="AE226" i="20"/>
  <c r="AE227" i="20"/>
  <c r="AE228" i="20"/>
  <c r="AE229" i="20"/>
  <c r="AE230" i="20"/>
  <c r="AE231" i="20"/>
  <c r="AF225" i="20"/>
  <c r="AF226" i="20"/>
  <c r="AF227" i="20"/>
  <c r="AF228" i="20"/>
  <c r="AF229" i="20"/>
  <c r="AF230" i="20"/>
  <c r="AF231" i="20"/>
  <c r="AG225" i="20"/>
  <c r="AG226" i="20"/>
  <c r="AG227" i="20"/>
  <c r="AG228" i="20"/>
  <c r="AG229" i="20"/>
  <c r="AG230" i="20"/>
  <c r="AG231" i="20"/>
  <c r="AH225" i="20"/>
  <c r="AH226" i="20"/>
  <c r="AH227" i="20"/>
  <c r="AH228" i="20"/>
  <c r="AH229" i="20"/>
  <c r="AH230" i="20"/>
  <c r="AH231" i="20"/>
  <c r="AI225" i="20"/>
  <c r="AI226" i="20"/>
  <c r="AI227" i="20"/>
  <c r="AI228" i="20"/>
  <c r="AI229" i="20"/>
  <c r="AI230" i="20"/>
  <c r="AI231" i="20"/>
  <c r="AJ225" i="20"/>
  <c r="AJ226" i="20"/>
  <c r="AJ227" i="20"/>
  <c r="AJ228" i="20"/>
  <c r="AJ229" i="20"/>
  <c r="AJ230" i="20"/>
  <c r="AJ231" i="20"/>
  <c r="AK225" i="20"/>
  <c r="AK226" i="20"/>
  <c r="AK227" i="20"/>
  <c r="AK228" i="20"/>
  <c r="AK229" i="20"/>
  <c r="AK230" i="20"/>
  <c r="AK231" i="20"/>
  <c r="AL225" i="20"/>
  <c r="AL226" i="20"/>
  <c r="AL227" i="20"/>
  <c r="AL228" i="20"/>
  <c r="AL229" i="20"/>
  <c r="AL230" i="20"/>
  <c r="AL231" i="20"/>
  <c r="AP225" i="20"/>
  <c r="AP226" i="20"/>
  <c r="AP227" i="20"/>
  <c r="AP228" i="20"/>
  <c r="AP229" i="20"/>
  <c r="AP230" i="20"/>
  <c r="AP231" i="20"/>
  <c r="AX225" i="20"/>
  <c r="AX226" i="20"/>
  <c r="AX227" i="20"/>
  <c r="AX228" i="20"/>
  <c r="AX229" i="20"/>
  <c r="AX230" i="20"/>
  <c r="AX231" i="20"/>
  <c r="C224" i="20"/>
  <c r="AC224" i="20"/>
  <c r="AD224" i="20"/>
  <c r="AE224" i="20"/>
  <c r="AF224" i="20"/>
  <c r="AG224" i="20"/>
  <c r="AH224" i="20"/>
  <c r="AI224" i="20"/>
  <c r="AJ224" i="20"/>
  <c r="AK224" i="20"/>
  <c r="AL224" i="20"/>
  <c r="AP224" i="20"/>
  <c r="AX224" i="20"/>
  <c r="C223" i="20"/>
  <c r="AC223" i="20"/>
  <c r="AD223" i="20"/>
  <c r="AE223" i="20"/>
  <c r="AF223" i="20"/>
  <c r="AG223" i="20"/>
  <c r="AH223" i="20"/>
  <c r="AI223" i="20"/>
  <c r="AJ223" i="20"/>
  <c r="AK223" i="20"/>
  <c r="AL223" i="20"/>
  <c r="AP223" i="20"/>
  <c r="AX223" i="20"/>
  <c r="AC222" i="20"/>
  <c r="AD222" i="20"/>
  <c r="AE222" i="20"/>
  <c r="AF222" i="20"/>
  <c r="AG222" i="20"/>
  <c r="AH222" i="20"/>
  <c r="AI222" i="20"/>
  <c r="AJ222" i="20"/>
  <c r="AK222" i="20"/>
  <c r="AL222" i="20"/>
  <c r="AP222" i="20"/>
  <c r="AX222" i="20"/>
  <c r="C221" i="20"/>
  <c r="AC221" i="20"/>
  <c r="AD221" i="20"/>
  <c r="AE221" i="20"/>
  <c r="AF221" i="20"/>
  <c r="AG221" i="20"/>
  <c r="AH221" i="20"/>
  <c r="AI221" i="20"/>
  <c r="AJ221" i="20"/>
  <c r="AK221" i="20"/>
  <c r="AL221" i="20"/>
  <c r="AP221" i="20"/>
  <c r="AX221" i="20"/>
  <c r="C220" i="20"/>
  <c r="AC220" i="20"/>
  <c r="AD220" i="20"/>
  <c r="AE220" i="20"/>
  <c r="AF220" i="20"/>
  <c r="AG220" i="20"/>
  <c r="AH220" i="20"/>
  <c r="AI220" i="20"/>
  <c r="AJ220" i="20"/>
  <c r="AK220" i="20"/>
  <c r="AL220" i="20"/>
  <c r="AP220" i="20"/>
  <c r="AX220" i="20"/>
  <c r="C219" i="20"/>
  <c r="AC219" i="20"/>
  <c r="AD219" i="20"/>
  <c r="AE219" i="20"/>
  <c r="AF219" i="20"/>
  <c r="AG219" i="20"/>
  <c r="AH219" i="20"/>
  <c r="AI219" i="20"/>
  <c r="AJ219" i="20"/>
  <c r="AK219" i="20"/>
  <c r="AL219" i="20"/>
  <c r="AP219" i="20"/>
  <c r="AX219" i="20"/>
  <c r="C218" i="20"/>
  <c r="AC218" i="20"/>
  <c r="AD218" i="20"/>
  <c r="AE218" i="20"/>
  <c r="AF218" i="20"/>
  <c r="AG218" i="20"/>
  <c r="AH218" i="20"/>
  <c r="AI218" i="20"/>
  <c r="AJ218" i="20"/>
  <c r="AK218" i="20"/>
  <c r="AL218" i="20"/>
  <c r="AP218" i="20"/>
  <c r="AX218" i="20"/>
  <c r="C217" i="20"/>
  <c r="AC217" i="20"/>
  <c r="AD217" i="20"/>
  <c r="AE217" i="20"/>
  <c r="AF217" i="20"/>
  <c r="AG217" i="20"/>
  <c r="AH217" i="20"/>
  <c r="AI217" i="20"/>
  <c r="AJ217" i="20"/>
  <c r="AK217" i="20"/>
  <c r="AL217" i="20"/>
  <c r="AP217" i="20"/>
  <c r="AX217" i="20"/>
  <c r="C216" i="20"/>
  <c r="AC216" i="20"/>
  <c r="AD216" i="20"/>
  <c r="AE216" i="20"/>
  <c r="AF216" i="20"/>
  <c r="AG216" i="20"/>
  <c r="AH216" i="20"/>
  <c r="AI216" i="20"/>
  <c r="AJ216" i="20"/>
  <c r="AK216" i="20"/>
  <c r="AL216" i="20"/>
  <c r="AP216" i="20"/>
  <c r="AX216" i="20"/>
  <c r="C215" i="20"/>
  <c r="AC215" i="20"/>
  <c r="AD215" i="20"/>
  <c r="AE215" i="20"/>
  <c r="AF215" i="20"/>
  <c r="AG215" i="20"/>
  <c r="AH215" i="20"/>
  <c r="AI215" i="20"/>
  <c r="AJ215" i="20"/>
  <c r="AK215" i="20"/>
  <c r="AL215" i="20"/>
  <c r="AP215" i="20"/>
  <c r="AX215" i="20"/>
  <c r="AC214" i="20"/>
  <c r="AD214" i="20"/>
  <c r="AE214" i="20"/>
  <c r="AF214" i="20"/>
  <c r="AG214" i="20"/>
  <c r="AH214" i="20"/>
  <c r="AI214" i="20"/>
  <c r="AJ214" i="20"/>
  <c r="AK214" i="20"/>
  <c r="AL214" i="20"/>
  <c r="AP214" i="20"/>
  <c r="AX214" i="20"/>
  <c r="AC213" i="20"/>
  <c r="AD213" i="20"/>
  <c r="AE213" i="20"/>
  <c r="AF213" i="20"/>
  <c r="AG213" i="20"/>
  <c r="AH213" i="20"/>
  <c r="AI213" i="20"/>
  <c r="AJ213" i="20"/>
  <c r="AK213" i="20"/>
  <c r="AL213" i="20"/>
  <c r="AP213" i="20"/>
  <c r="AX213" i="20"/>
  <c r="C6" i="20"/>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B3" i="33"/>
  <c r="B3" i="20"/>
  <c r="B3" i="62"/>
  <c r="AC212" i="20"/>
  <c r="AD212" i="20"/>
  <c r="AE212" i="20"/>
  <c r="AF212" i="20"/>
  <c r="AG212" i="20"/>
  <c r="AH212" i="20"/>
  <c r="AI212" i="20"/>
  <c r="AJ212" i="20"/>
  <c r="AK212" i="20"/>
  <c r="AL212" i="20"/>
  <c r="AP212" i="20"/>
  <c r="AX212" i="20"/>
  <c r="AC211" i="20"/>
  <c r="AD211" i="20"/>
  <c r="AE211" i="20"/>
  <c r="AF211" i="20"/>
  <c r="AG211" i="20"/>
  <c r="AH211" i="20"/>
  <c r="AI211" i="20"/>
  <c r="AJ211" i="20"/>
  <c r="AK211" i="20"/>
  <c r="AL211" i="20"/>
  <c r="AP211" i="20"/>
  <c r="AX211" i="20"/>
  <c r="AC210" i="20"/>
  <c r="AD210" i="20"/>
  <c r="AE210" i="20"/>
  <c r="AF210" i="20"/>
  <c r="AG210" i="20"/>
  <c r="AH210" i="20"/>
  <c r="AI210" i="20"/>
  <c r="AJ210" i="20"/>
  <c r="AK210" i="20"/>
  <c r="AL210" i="20"/>
  <c r="AP210" i="20"/>
  <c r="AX210" i="20"/>
  <c r="AC209" i="20"/>
  <c r="AD209" i="20"/>
  <c r="AE209" i="20"/>
  <c r="AF209" i="20"/>
  <c r="AG209" i="20"/>
  <c r="AH209" i="20"/>
  <c r="AI209" i="20"/>
  <c r="AJ209" i="20"/>
  <c r="AK209" i="20"/>
  <c r="AL209" i="20"/>
  <c r="AP209" i="20"/>
  <c r="AX209" i="20"/>
  <c r="AC208" i="20"/>
  <c r="AD208" i="20"/>
  <c r="AE208" i="20"/>
  <c r="AF208" i="20"/>
  <c r="AG208" i="20"/>
  <c r="AH208" i="20"/>
  <c r="AI208" i="20"/>
  <c r="AJ208" i="20"/>
  <c r="AK208" i="20"/>
  <c r="AL208" i="20"/>
  <c r="AP208" i="20"/>
  <c r="AX208" i="20"/>
  <c r="AC207" i="20"/>
  <c r="AD207" i="20"/>
  <c r="AE207" i="20"/>
  <c r="AF207" i="20"/>
  <c r="AG207" i="20"/>
  <c r="AH207" i="20"/>
  <c r="AI207" i="20"/>
  <c r="AJ207" i="20"/>
  <c r="AK207" i="20"/>
  <c r="AL207" i="20"/>
  <c r="AP207" i="20"/>
  <c r="AX207" i="20"/>
  <c r="AC206" i="20"/>
  <c r="AD206" i="20"/>
  <c r="AE206" i="20"/>
  <c r="AF206" i="20"/>
  <c r="AG206" i="20"/>
  <c r="AH206" i="20"/>
  <c r="AI206" i="20"/>
  <c r="AJ206" i="20"/>
  <c r="AK206" i="20"/>
  <c r="AL206" i="20"/>
  <c r="AP206" i="20"/>
  <c r="AX206" i="20"/>
  <c r="AC205" i="20"/>
  <c r="AD205" i="20"/>
  <c r="AE205" i="20"/>
  <c r="AF205" i="20"/>
  <c r="AG205" i="20"/>
  <c r="AH205" i="20"/>
  <c r="AI205" i="20"/>
  <c r="AJ205" i="20"/>
  <c r="AK205" i="20"/>
  <c r="AL205" i="20"/>
  <c r="AP205" i="20"/>
  <c r="AX205" i="20"/>
  <c r="AC204" i="20"/>
  <c r="AD204" i="20"/>
  <c r="AE204" i="20"/>
  <c r="AF204" i="20"/>
  <c r="AG204" i="20"/>
  <c r="AH204" i="20"/>
  <c r="AI204" i="20"/>
  <c r="AJ204" i="20"/>
  <c r="AK204" i="20"/>
  <c r="AL204" i="20"/>
  <c r="AP204" i="20"/>
  <c r="AX204" i="20"/>
  <c r="AC203" i="20"/>
  <c r="AD203" i="20"/>
  <c r="AE203" i="20"/>
  <c r="AF203" i="20"/>
  <c r="AG203" i="20"/>
  <c r="AH203" i="20"/>
  <c r="AI203" i="20"/>
  <c r="AJ203" i="20"/>
  <c r="AK203" i="20"/>
  <c r="AL203" i="20"/>
  <c r="AP203" i="20"/>
  <c r="AX203" i="20"/>
  <c r="AC202" i="20"/>
  <c r="AD202" i="20"/>
  <c r="AE202" i="20"/>
  <c r="AF202" i="20"/>
  <c r="AG202" i="20"/>
  <c r="AH202" i="20"/>
  <c r="AI202" i="20"/>
  <c r="AJ202" i="20"/>
  <c r="AK202" i="20"/>
  <c r="AL202" i="20"/>
  <c r="AP202" i="20"/>
  <c r="AX202" i="20"/>
  <c r="AC201" i="20"/>
  <c r="AD201" i="20"/>
  <c r="AE201" i="20"/>
  <c r="AF201" i="20"/>
  <c r="AG201" i="20"/>
  <c r="AH201" i="20"/>
  <c r="AI201" i="20"/>
  <c r="AJ201" i="20"/>
  <c r="AK201" i="20"/>
  <c r="AL201" i="20"/>
  <c r="AP201" i="20"/>
  <c r="AX201" i="20"/>
  <c r="AC200" i="20"/>
  <c r="AD200" i="20"/>
  <c r="AE200" i="20"/>
  <c r="AF200" i="20"/>
  <c r="AG200" i="20"/>
  <c r="AH200" i="20"/>
  <c r="AI200" i="20"/>
  <c r="AJ200" i="20"/>
  <c r="AK200" i="20"/>
  <c r="AL200" i="20"/>
  <c r="AP200" i="20"/>
  <c r="AX200" i="20"/>
  <c r="AC199" i="20"/>
  <c r="AD199" i="20"/>
  <c r="AE199" i="20"/>
  <c r="AF199" i="20"/>
  <c r="AG199" i="20"/>
  <c r="AH199" i="20"/>
  <c r="AI199" i="20"/>
  <c r="AJ199" i="20"/>
  <c r="AK199" i="20"/>
  <c r="AL199" i="20"/>
  <c r="AP199" i="20"/>
  <c r="AX199" i="20"/>
  <c r="AC198" i="20"/>
  <c r="AD198" i="20"/>
  <c r="AE198" i="20"/>
  <c r="AF198" i="20"/>
  <c r="AG198" i="20"/>
  <c r="AH198" i="20"/>
  <c r="AI198" i="20"/>
  <c r="AJ198" i="20"/>
  <c r="AK198" i="20"/>
  <c r="AL198" i="20"/>
  <c r="AP198" i="20"/>
  <c r="AX198" i="20"/>
  <c r="AC197" i="20"/>
  <c r="AD197" i="20"/>
  <c r="AE197" i="20"/>
  <c r="AF197" i="20"/>
  <c r="AG197" i="20"/>
  <c r="AH197" i="20"/>
  <c r="AI197" i="20"/>
  <c r="AJ197" i="20"/>
  <c r="AK197" i="20"/>
  <c r="AL197" i="20"/>
  <c r="AP197" i="20"/>
  <c r="AX197" i="20"/>
  <c r="AC196" i="20"/>
  <c r="AD196" i="20"/>
  <c r="AE196" i="20"/>
  <c r="AF196" i="20"/>
  <c r="AG196" i="20"/>
  <c r="AH196" i="20"/>
  <c r="AI196" i="20"/>
  <c r="AJ196" i="20"/>
  <c r="AK196" i="20"/>
  <c r="AL196" i="20"/>
  <c r="AP196" i="20"/>
  <c r="AX196" i="20"/>
  <c r="AC195" i="20"/>
  <c r="AD195" i="20"/>
  <c r="AE195" i="20"/>
  <c r="AF195" i="20"/>
  <c r="AG195" i="20"/>
  <c r="AH195" i="20"/>
  <c r="AI195" i="20"/>
  <c r="AJ195" i="20"/>
  <c r="AK195" i="20"/>
  <c r="AL195" i="20"/>
  <c r="AP195" i="20"/>
  <c r="AX195" i="20"/>
  <c r="AC194" i="20"/>
  <c r="AD194" i="20"/>
  <c r="AE194" i="20"/>
  <c r="AF194" i="20"/>
  <c r="AG194" i="20"/>
  <c r="AH194" i="20"/>
  <c r="AI194" i="20"/>
  <c r="AJ194" i="20"/>
  <c r="AK194" i="20"/>
  <c r="AL194" i="20"/>
  <c r="AP194" i="20"/>
  <c r="AX194" i="20"/>
  <c r="AC193" i="20"/>
  <c r="AD193" i="20"/>
  <c r="AE193" i="20"/>
  <c r="AF193" i="20"/>
  <c r="AG193" i="20"/>
  <c r="AH193" i="20"/>
  <c r="AI193" i="20"/>
  <c r="AJ193" i="20"/>
  <c r="AK193" i="20"/>
  <c r="AL193" i="20"/>
  <c r="AP193" i="20"/>
  <c r="AX193" i="20"/>
  <c r="AC192" i="20"/>
  <c r="AD192" i="20"/>
  <c r="AE192" i="20"/>
  <c r="AF192" i="20"/>
  <c r="AG192" i="20"/>
  <c r="AH192" i="20"/>
  <c r="AI192" i="20"/>
  <c r="AJ192" i="20"/>
  <c r="AK192" i="20"/>
  <c r="AL192" i="20"/>
  <c r="AP192" i="20"/>
  <c r="AX192" i="20"/>
  <c r="AC191" i="20"/>
  <c r="AD191" i="20"/>
  <c r="AE191" i="20"/>
  <c r="AF191" i="20"/>
  <c r="AG191" i="20"/>
  <c r="AH191" i="20"/>
  <c r="AI191" i="20"/>
  <c r="AJ191" i="20"/>
  <c r="AK191" i="20"/>
  <c r="AL191" i="20"/>
  <c r="AP191" i="20"/>
  <c r="AX191" i="20"/>
  <c r="AC190" i="20"/>
  <c r="AD190" i="20"/>
  <c r="AE190" i="20"/>
  <c r="AF190" i="20"/>
  <c r="AG190" i="20"/>
  <c r="AH190" i="20"/>
  <c r="AI190" i="20"/>
  <c r="AJ190" i="20"/>
  <c r="AK190" i="20"/>
  <c r="AL190" i="20"/>
  <c r="AP190" i="20"/>
  <c r="AX190" i="20"/>
  <c r="AC189" i="20"/>
  <c r="AD189" i="20"/>
  <c r="AE189" i="20"/>
  <c r="AF189" i="20"/>
  <c r="AG189" i="20"/>
  <c r="AH189" i="20"/>
  <c r="AI189" i="20"/>
  <c r="AJ189" i="20"/>
  <c r="AK189" i="20"/>
  <c r="AL189" i="20"/>
  <c r="AP189" i="20"/>
  <c r="AX189" i="20"/>
  <c r="AC188" i="20"/>
  <c r="AD188" i="20"/>
  <c r="AE188" i="20"/>
  <c r="AF188" i="20"/>
  <c r="AG188" i="20"/>
  <c r="AH188" i="20"/>
  <c r="AI188" i="20"/>
  <c r="AJ188" i="20"/>
  <c r="AK188" i="20"/>
  <c r="AL188" i="20"/>
  <c r="AP188" i="20"/>
  <c r="AX188" i="20"/>
  <c r="AC187" i="20"/>
  <c r="AD187" i="20"/>
  <c r="AE187" i="20"/>
  <c r="AF187" i="20"/>
  <c r="AG187" i="20"/>
  <c r="AH187" i="20"/>
  <c r="AI187" i="20"/>
  <c r="AJ187" i="20"/>
  <c r="AK187" i="20"/>
  <c r="AL187" i="20"/>
  <c r="AP187" i="20"/>
  <c r="AX187" i="20"/>
  <c r="AC186" i="20"/>
  <c r="AD186" i="20"/>
  <c r="AE186" i="20"/>
  <c r="AF186" i="20"/>
  <c r="AG186" i="20"/>
  <c r="AH186" i="20"/>
  <c r="AI186" i="20"/>
  <c r="AJ186" i="20"/>
  <c r="AK186" i="20"/>
  <c r="AL186" i="20"/>
  <c r="AP186" i="20"/>
  <c r="AX186" i="20"/>
  <c r="AC185" i="20"/>
  <c r="AD185" i="20"/>
  <c r="AE185" i="20"/>
  <c r="AF185" i="20"/>
  <c r="AG185" i="20"/>
  <c r="AH185" i="20"/>
  <c r="AI185" i="20"/>
  <c r="AJ185" i="20"/>
  <c r="AK185" i="20"/>
  <c r="AL185" i="20"/>
  <c r="AP185" i="20"/>
  <c r="AX185" i="20"/>
  <c r="C3" i="43"/>
  <c r="B4" i="91"/>
  <c r="B5" i="94"/>
  <c r="AX24" i="20"/>
  <c r="AC184" i="20"/>
  <c r="AD184" i="20"/>
  <c r="AE184" i="20"/>
  <c r="AF184" i="20"/>
  <c r="AG184" i="20"/>
  <c r="AH184" i="20"/>
  <c r="AI184" i="20"/>
  <c r="AJ184" i="20"/>
  <c r="AK184" i="20"/>
  <c r="AL184" i="20"/>
  <c r="AP184" i="20"/>
  <c r="AX184" i="20"/>
  <c r="AC183" i="20"/>
  <c r="AD183" i="20"/>
  <c r="AE183" i="20"/>
  <c r="AF183" i="20"/>
  <c r="AG183" i="20"/>
  <c r="AH183" i="20"/>
  <c r="AI183" i="20"/>
  <c r="AJ183" i="20"/>
  <c r="AK183" i="20"/>
  <c r="AL183" i="20"/>
  <c r="AP183" i="20"/>
  <c r="AX183" i="20"/>
  <c r="AC182" i="20"/>
  <c r="AD182" i="20"/>
  <c r="AE182" i="20"/>
  <c r="AF182" i="20"/>
  <c r="AG182" i="20"/>
  <c r="AH182" i="20"/>
  <c r="AI182" i="20"/>
  <c r="AJ182" i="20"/>
  <c r="AK182" i="20"/>
  <c r="AL182" i="20"/>
  <c r="AP182" i="20"/>
  <c r="AX182" i="20"/>
  <c r="AC181" i="20"/>
  <c r="AD181" i="20"/>
  <c r="AE181" i="20"/>
  <c r="AF181" i="20"/>
  <c r="AG181" i="20"/>
  <c r="AH181" i="20"/>
  <c r="AI181" i="20"/>
  <c r="AJ181" i="20"/>
  <c r="AK181" i="20"/>
  <c r="AL181" i="20"/>
  <c r="AP181" i="20"/>
  <c r="AX181" i="20"/>
  <c r="AP169" i="20"/>
  <c r="AP170" i="20"/>
  <c r="AP171" i="20"/>
  <c r="AP172" i="20"/>
  <c r="AP176" i="20"/>
  <c r="AP179" i="20"/>
  <c r="AP180" i="20"/>
  <c r="AX169" i="20"/>
  <c r="AX170" i="20"/>
  <c r="AX171" i="20"/>
  <c r="AX172" i="20"/>
  <c r="AX176" i="20"/>
  <c r="AX179" i="20"/>
  <c r="AX180" i="20"/>
  <c r="AP159" i="20"/>
  <c r="AP119" i="20"/>
  <c r="AP120" i="20"/>
  <c r="AX159" i="20"/>
  <c r="AX119" i="20"/>
  <c r="AX120" i="20"/>
  <c r="AP177" i="20"/>
  <c r="AP178" i="20"/>
  <c r="AX177" i="20"/>
  <c r="AX178" i="20"/>
  <c r="AP118" i="20"/>
  <c r="AX118" i="20"/>
  <c r="AP160" i="20"/>
  <c r="AX160" i="20"/>
  <c r="AP112" i="20"/>
  <c r="AX112" i="20"/>
  <c r="AP111" i="20"/>
  <c r="AX111" i="20"/>
  <c r="AP108" i="20"/>
  <c r="AX108" i="20"/>
  <c r="AP109" i="20"/>
  <c r="AX109" i="20"/>
  <c r="AP161" i="20"/>
  <c r="AX161" i="20"/>
  <c r="AP162" i="20"/>
  <c r="AX162" i="20"/>
  <c r="AP168" i="20"/>
  <c r="AX168" i="20"/>
  <c r="AP173" i="20"/>
  <c r="AX173" i="20"/>
  <c r="AP174" i="20"/>
  <c r="AX174" i="20"/>
  <c r="AP175" i="20"/>
  <c r="AX175" i="20"/>
  <c r="AP158" i="20"/>
  <c r="AX158" i="20"/>
  <c r="AP157" i="20"/>
  <c r="AX157" i="20"/>
  <c r="AP117" i="20"/>
  <c r="AX117" i="20"/>
  <c r="AP116" i="20"/>
  <c r="AX116" i="20"/>
  <c r="AP115" i="20"/>
  <c r="AX115" i="20"/>
  <c r="AP114" i="20"/>
  <c r="AX114" i="20"/>
  <c r="AP113" i="20"/>
  <c r="AX113" i="20"/>
  <c r="AP156" i="20"/>
  <c r="AX156" i="20"/>
  <c r="AP155" i="20"/>
  <c r="AX155" i="20"/>
  <c r="AP154" i="20"/>
  <c r="AX154" i="20"/>
  <c r="AP135" i="20"/>
  <c r="AP136" i="20"/>
  <c r="AP137" i="20"/>
  <c r="AP138" i="20"/>
  <c r="AP139" i="20"/>
  <c r="AP140" i="20"/>
  <c r="AP141" i="20"/>
  <c r="AP142" i="20"/>
  <c r="AP143" i="20"/>
  <c r="AP144" i="20"/>
  <c r="AP145" i="20"/>
  <c r="AP146" i="20"/>
  <c r="AP147" i="20"/>
  <c r="AP148" i="20"/>
  <c r="AP149" i="20"/>
  <c r="AP150" i="20"/>
  <c r="AP151" i="20"/>
  <c r="AP152" i="20"/>
  <c r="AP153" i="20"/>
  <c r="AX135" i="20"/>
  <c r="AX136" i="20"/>
  <c r="AX137" i="20"/>
  <c r="AX138" i="20"/>
  <c r="AX139" i="20"/>
  <c r="AX140" i="20"/>
  <c r="AX141" i="20"/>
  <c r="AX142" i="20"/>
  <c r="AX143" i="20"/>
  <c r="AX144" i="20"/>
  <c r="AX145" i="20"/>
  <c r="AX146" i="20"/>
  <c r="AX147" i="20"/>
  <c r="AX148" i="20"/>
  <c r="AX149" i="20"/>
  <c r="AX150" i="20"/>
  <c r="AX151" i="20"/>
  <c r="AX152" i="20"/>
  <c r="AX153" i="20"/>
  <c r="AP134" i="20"/>
  <c r="AX134" i="20"/>
  <c r="AP133" i="20"/>
  <c r="AX133" i="20"/>
  <c r="AP132" i="20"/>
  <c r="AX132" i="20"/>
  <c r="AP131" i="20"/>
  <c r="AX131" i="20"/>
  <c r="AP130" i="20"/>
  <c r="AX130" i="20"/>
  <c r="AP129" i="20"/>
  <c r="AX129" i="20"/>
  <c r="AP128" i="20"/>
  <c r="AX128" i="20"/>
  <c r="AP127" i="20"/>
  <c r="AX127" i="20"/>
  <c r="AP126" i="20"/>
  <c r="AX126" i="20"/>
  <c r="AP125" i="20"/>
  <c r="AX125" i="20"/>
  <c r="AP124" i="20"/>
  <c r="AX124" i="20"/>
  <c r="AP123" i="20"/>
  <c r="AX123" i="20"/>
  <c r="AP122" i="20"/>
  <c r="AX122" i="20"/>
  <c r="AP121" i="20"/>
  <c r="AX121" i="20"/>
  <c r="AP167" i="20"/>
  <c r="AX167" i="20"/>
  <c r="AP166" i="20"/>
  <c r="AX166" i="20"/>
  <c r="AP165" i="20"/>
  <c r="AX165" i="20"/>
  <c r="AP164" i="20"/>
  <c r="AX164" i="20"/>
  <c r="AP163" i="20"/>
  <c r="AX163" i="20"/>
  <c r="AP110" i="20"/>
  <c r="AX110" i="20"/>
  <c r="AP107" i="20"/>
  <c r="AX107" i="20"/>
  <c r="AP104" i="20"/>
  <c r="AP105" i="20"/>
  <c r="AP103" i="20"/>
  <c r="AX104" i="20"/>
  <c r="AX105" i="20"/>
  <c r="AX103" i="20"/>
  <c r="AP106" i="20"/>
  <c r="AX106" i="20"/>
  <c r="T214" i="14"/>
  <c r="AP100" i="20"/>
  <c r="AX100" i="20"/>
  <c r="AP101" i="20"/>
  <c r="AX101" i="20"/>
  <c r="AP102" i="20"/>
  <c r="AX102" i="20"/>
  <c r="AP98" i="20"/>
  <c r="AX98" i="20"/>
  <c r="AP97" i="20"/>
  <c r="AX97" i="20"/>
  <c r="AP96" i="20"/>
  <c r="AX96" i="20"/>
  <c r="AP99" i="20"/>
  <c r="AX99" i="20"/>
  <c r="T268" i="14"/>
  <c r="AD268" i="14"/>
  <c r="AE268" i="14"/>
  <c r="AF268" i="14" s="1"/>
  <c r="T227" i="14"/>
  <c r="AE227" i="14"/>
  <c r="AF227" i="14" s="1"/>
  <c r="AP85" i="20"/>
  <c r="AX85" i="20"/>
  <c r="AP86" i="20"/>
  <c r="AX86" i="20"/>
  <c r="AP89" i="20"/>
  <c r="AX89" i="20"/>
  <c r="AP90" i="20"/>
  <c r="AX90" i="20"/>
  <c r="AP91" i="20"/>
  <c r="AX91" i="20"/>
  <c r="AP92" i="20"/>
  <c r="AX92" i="20"/>
  <c r="AP93" i="20"/>
  <c r="AX93" i="20"/>
  <c r="T225" i="14"/>
  <c r="AE225" i="14"/>
  <c r="AF225" i="14" s="1"/>
  <c r="AP84" i="20"/>
  <c r="AX84" i="20"/>
  <c r="AP82" i="20"/>
  <c r="AP83" i="20"/>
  <c r="AX82" i="20"/>
  <c r="AX83" i="20"/>
  <c r="AP87" i="20"/>
  <c r="AX87" i="20"/>
  <c r="AP88" i="20"/>
  <c r="AX88" i="20"/>
  <c r="AP95" i="20"/>
  <c r="AX95" i="20"/>
  <c r="AP94" i="20"/>
  <c r="AX94" i="20"/>
  <c r="T209" i="14"/>
  <c r="AE209" i="14"/>
  <c r="AF209" i="14" s="1"/>
  <c r="AP81" i="20"/>
  <c r="AX81" i="20"/>
  <c r="Q3" i="62"/>
  <c r="CD30" i="62"/>
  <c r="AR39" i="43"/>
  <c r="X4" i="33"/>
  <c r="Z7" i="33"/>
  <c r="Z3" i="66"/>
  <c r="AO68" i="94"/>
  <c r="AO67" i="94"/>
  <c r="AO66" i="94"/>
  <c r="AO64" i="94"/>
  <c r="AO63" i="94"/>
  <c r="AO62" i="94"/>
  <c r="AO56" i="94"/>
  <c r="AO55" i="94"/>
  <c r="AO54" i="94"/>
  <c r="AO52" i="94"/>
  <c r="AO51" i="94"/>
  <c r="AO50" i="94"/>
  <c r="AO47" i="94"/>
  <c r="AM70" i="94"/>
  <c r="AO46" i="94"/>
  <c r="AO45" i="94"/>
  <c r="AO42" i="94"/>
  <c r="T19" i="94"/>
  <c r="AM40" i="94"/>
  <c r="AL40" i="94"/>
  <c r="AJ40" i="94"/>
  <c r="AK40" i="94"/>
  <c r="AL70" i="94"/>
  <c r="AO49" i="94"/>
  <c r="AO53" i="94"/>
  <c r="AO57" i="94"/>
  <c r="AO61" i="94"/>
  <c r="AO65" i="94"/>
  <c r="AO69" i="94"/>
  <c r="AO58" i="94"/>
  <c r="AN70" i="94"/>
  <c r="AO59" i="94"/>
  <c r="AK70" i="94"/>
  <c r="AO60" i="94"/>
  <c r="E7" i="92"/>
  <c r="E6" i="92"/>
  <c r="E5" i="92"/>
  <c r="E3" i="92"/>
  <c r="E4" i="92"/>
  <c r="AP58" i="20"/>
  <c r="AP59" i="20"/>
  <c r="AP60" i="20"/>
  <c r="AP61" i="20"/>
  <c r="AX58" i="20"/>
  <c r="AX59" i="20"/>
  <c r="AX60" i="20"/>
  <c r="AX61" i="20"/>
  <c r="AP78" i="20"/>
  <c r="AX78" i="20"/>
  <c r="AP79" i="20"/>
  <c r="AX79" i="20"/>
  <c r="AP80" i="20"/>
  <c r="AX80" i="20"/>
  <c r="AP74" i="20"/>
  <c r="AX74" i="20"/>
  <c r="AP75" i="20"/>
  <c r="AX75" i="20"/>
  <c r="AP73" i="20"/>
  <c r="AX73" i="20"/>
  <c r="B50" i="92"/>
  <c r="B49" i="92"/>
  <c r="B48" i="92"/>
  <c r="B47" i="92"/>
  <c r="B46" i="92"/>
  <c r="B45" i="92"/>
  <c r="B44" i="92"/>
  <c r="T204" i="14"/>
  <c r="AD204" i="14"/>
  <c r="AE204" i="14"/>
  <c r="AF204" i="14" s="1"/>
  <c r="T222" i="14"/>
  <c r="AE222" i="14"/>
  <c r="AF222" i="14" s="1"/>
  <c r="T206" i="14"/>
  <c r="AE206" i="14"/>
  <c r="AF206" i="14" s="1"/>
  <c r="T208" i="14"/>
  <c r="AE208" i="14"/>
  <c r="AF208" i="14" s="1"/>
  <c r="B41" i="92"/>
  <c r="B40" i="92"/>
  <c r="B39" i="92"/>
  <c r="B38" i="92"/>
  <c r="B37" i="92"/>
  <c r="B36" i="92"/>
  <c r="B35" i="92"/>
  <c r="B34" i="92"/>
  <c r="B33" i="92"/>
  <c r="B32" i="92"/>
  <c r="B31" i="92"/>
  <c r="B30" i="92"/>
  <c r="B29" i="92"/>
  <c r="B28" i="92"/>
  <c r="B27" i="92"/>
  <c r="B26" i="92"/>
  <c r="AP67" i="20"/>
  <c r="AX67" i="20"/>
  <c r="AP63" i="20"/>
  <c r="AX63" i="20"/>
  <c r="W2" i="43"/>
  <c r="W3" i="43"/>
  <c r="Z10" i="43"/>
  <c r="AA10" i="43" s="1"/>
  <c r="Z11" i="43"/>
  <c r="AA11" i="43"/>
  <c r="Z12" i="43"/>
  <c r="AA12" i="43" s="1"/>
  <c r="Z13" i="43"/>
  <c r="AA13" i="43"/>
  <c r="Z14" i="43"/>
  <c r="AA14" i="43" s="1"/>
  <c r="Z15" i="43"/>
  <c r="AA15" i="43"/>
  <c r="Z16" i="43"/>
  <c r="AA16" i="43" s="1"/>
  <c r="Z17" i="43"/>
  <c r="AA17" i="43"/>
  <c r="Z18" i="43"/>
  <c r="AA18" i="43" s="1"/>
  <c r="Z19" i="43"/>
  <c r="AA19" i="43"/>
  <c r="AP76" i="20"/>
  <c r="AX76" i="20"/>
  <c r="AP77" i="20"/>
  <c r="AX77" i="20"/>
  <c r="N168" i="86"/>
  <c r="F168" i="86"/>
  <c r="E168" i="86"/>
  <c r="D168" i="86"/>
  <c r="C168" i="86"/>
  <c r="B168" i="86"/>
  <c r="N167" i="86"/>
  <c r="F167" i="86"/>
  <c r="E167" i="86"/>
  <c r="D167" i="86"/>
  <c r="C167" i="86"/>
  <c r="B167" i="86"/>
  <c r="N166" i="86"/>
  <c r="F166" i="86"/>
  <c r="E166" i="86"/>
  <c r="D166" i="86"/>
  <c r="C166" i="86"/>
  <c r="B166" i="86"/>
  <c r="N165" i="86"/>
  <c r="F165" i="86"/>
  <c r="E165" i="86"/>
  <c r="D165" i="86"/>
  <c r="C165" i="86"/>
  <c r="B165" i="86"/>
  <c r="N164" i="86"/>
  <c r="F164" i="86"/>
  <c r="E164" i="86"/>
  <c r="D164" i="86"/>
  <c r="C164" i="86"/>
  <c r="B164" i="86"/>
  <c r="N163" i="86"/>
  <c r="F163" i="86"/>
  <c r="E163" i="86"/>
  <c r="D163" i="86"/>
  <c r="C163" i="86"/>
  <c r="B163" i="86"/>
  <c r="N162" i="86"/>
  <c r="F162" i="86"/>
  <c r="E162" i="86"/>
  <c r="D162" i="86"/>
  <c r="C162" i="86"/>
  <c r="B162" i="86"/>
  <c r="N161" i="86"/>
  <c r="F161" i="86"/>
  <c r="E161" i="86"/>
  <c r="D161" i="86"/>
  <c r="C161" i="86"/>
  <c r="B161" i="86"/>
  <c r="N160" i="86"/>
  <c r="F160" i="86"/>
  <c r="E160" i="86"/>
  <c r="D160" i="86"/>
  <c r="C160" i="86"/>
  <c r="B160" i="86"/>
  <c r="N159" i="86"/>
  <c r="F159" i="86"/>
  <c r="E159" i="86"/>
  <c r="D159" i="86"/>
  <c r="C159" i="86"/>
  <c r="B159" i="86"/>
  <c r="N158" i="86"/>
  <c r="F158" i="86"/>
  <c r="E158" i="86"/>
  <c r="D158" i="86"/>
  <c r="C158" i="86"/>
  <c r="B158" i="86"/>
  <c r="N157" i="86"/>
  <c r="F157" i="86"/>
  <c r="E157" i="86"/>
  <c r="D157" i="86"/>
  <c r="C157" i="86"/>
  <c r="B157" i="86"/>
  <c r="N156" i="86"/>
  <c r="F156" i="86"/>
  <c r="E156" i="86"/>
  <c r="D156" i="86"/>
  <c r="C156" i="86"/>
  <c r="B156" i="86"/>
  <c r="N155" i="86"/>
  <c r="F155" i="86"/>
  <c r="E155" i="86"/>
  <c r="D155" i="86"/>
  <c r="C155" i="86"/>
  <c r="B155" i="86"/>
  <c r="N154" i="86"/>
  <c r="F154" i="86"/>
  <c r="E154" i="86"/>
  <c r="D154" i="86"/>
  <c r="C154" i="86"/>
  <c r="B154" i="86"/>
  <c r="N153" i="86"/>
  <c r="F153" i="86"/>
  <c r="E153" i="86"/>
  <c r="D153" i="86"/>
  <c r="C153" i="86"/>
  <c r="B153" i="86"/>
  <c r="N152" i="86"/>
  <c r="F152" i="86"/>
  <c r="E152" i="86"/>
  <c r="D152" i="86"/>
  <c r="C152" i="86"/>
  <c r="B152" i="86"/>
  <c r="N151" i="86"/>
  <c r="F151" i="86"/>
  <c r="E151" i="86"/>
  <c r="D151" i="86"/>
  <c r="C151" i="86"/>
  <c r="B151" i="86"/>
  <c r="N150" i="86"/>
  <c r="F150" i="86"/>
  <c r="E150" i="86"/>
  <c r="D150" i="86"/>
  <c r="C150" i="86"/>
  <c r="B150" i="86"/>
  <c r="N149" i="86"/>
  <c r="F149" i="86"/>
  <c r="E149" i="86"/>
  <c r="D149" i="86"/>
  <c r="C149" i="86"/>
  <c r="B149" i="86"/>
  <c r="N148" i="86"/>
  <c r="F148" i="86"/>
  <c r="E148" i="86"/>
  <c r="D148" i="86"/>
  <c r="C148" i="86"/>
  <c r="B148" i="86"/>
  <c r="N147" i="86"/>
  <c r="F147" i="86"/>
  <c r="E147" i="86"/>
  <c r="D147" i="86"/>
  <c r="C147" i="86"/>
  <c r="B147" i="86"/>
  <c r="N146" i="86"/>
  <c r="F146" i="86"/>
  <c r="E146" i="86"/>
  <c r="D146" i="86"/>
  <c r="C146" i="86"/>
  <c r="B146" i="86"/>
  <c r="N145" i="86"/>
  <c r="F145" i="86"/>
  <c r="E145" i="86"/>
  <c r="D145" i="86"/>
  <c r="C145" i="86"/>
  <c r="B145" i="86"/>
  <c r="N144" i="86"/>
  <c r="F144" i="86"/>
  <c r="E144" i="86"/>
  <c r="D144" i="86"/>
  <c r="C144" i="86"/>
  <c r="B144" i="86"/>
  <c r="N143" i="86"/>
  <c r="F143" i="86"/>
  <c r="E143" i="86"/>
  <c r="D143" i="86"/>
  <c r="C143" i="86"/>
  <c r="B143" i="86"/>
  <c r="N142" i="86"/>
  <c r="F142" i="86"/>
  <c r="E142" i="86"/>
  <c r="D142" i="86"/>
  <c r="C142" i="86"/>
  <c r="B142" i="86"/>
  <c r="N141" i="86"/>
  <c r="F141" i="86"/>
  <c r="E141" i="86"/>
  <c r="D141" i="86"/>
  <c r="C141" i="86"/>
  <c r="B141" i="86"/>
  <c r="N140" i="86"/>
  <c r="F140" i="86"/>
  <c r="E140" i="86"/>
  <c r="D140" i="86"/>
  <c r="C140" i="86"/>
  <c r="B140" i="86"/>
  <c r="N139" i="86"/>
  <c r="F139" i="86"/>
  <c r="E139" i="86"/>
  <c r="D139" i="86"/>
  <c r="C139" i="86"/>
  <c r="B139" i="86"/>
  <c r="N138" i="86"/>
  <c r="F138" i="86"/>
  <c r="E138" i="86"/>
  <c r="D138" i="86"/>
  <c r="C138" i="86"/>
  <c r="B138" i="86"/>
  <c r="N137" i="86"/>
  <c r="F137" i="86"/>
  <c r="E137" i="86"/>
  <c r="D137" i="86"/>
  <c r="C137" i="86"/>
  <c r="B137" i="86"/>
  <c r="N136" i="86"/>
  <c r="F136" i="86"/>
  <c r="E136" i="86"/>
  <c r="D136" i="86"/>
  <c r="C136" i="86"/>
  <c r="B136" i="86"/>
  <c r="N135" i="86"/>
  <c r="F135" i="86"/>
  <c r="E135" i="86"/>
  <c r="D135" i="86"/>
  <c r="C135" i="86"/>
  <c r="B135" i="86"/>
  <c r="N134" i="86"/>
  <c r="F134" i="86"/>
  <c r="E134" i="86"/>
  <c r="D134" i="86"/>
  <c r="C134" i="86"/>
  <c r="B134" i="86"/>
  <c r="N133" i="86"/>
  <c r="F133" i="86"/>
  <c r="E133" i="86"/>
  <c r="D133" i="86"/>
  <c r="C133" i="86"/>
  <c r="B133" i="86"/>
  <c r="N132" i="86"/>
  <c r="F132" i="86"/>
  <c r="E132" i="86"/>
  <c r="D132" i="86"/>
  <c r="C132" i="86"/>
  <c r="B132" i="86"/>
  <c r="N131" i="86"/>
  <c r="F131" i="86"/>
  <c r="E131" i="86"/>
  <c r="D131" i="86"/>
  <c r="C131" i="86"/>
  <c r="B131" i="86"/>
  <c r="N130" i="86"/>
  <c r="F130" i="86"/>
  <c r="E130" i="86"/>
  <c r="D130" i="86"/>
  <c r="C130" i="86"/>
  <c r="B130" i="86"/>
  <c r="N129" i="86"/>
  <c r="F129" i="86"/>
  <c r="E129" i="86"/>
  <c r="D129" i="86"/>
  <c r="C129" i="86"/>
  <c r="B129" i="86"/>
  <c r="N128" i="86"/>
  <c r="F128" i="86"/>
  <c r="E128" i="86"/>
  <c r="D128" i="86"/>
  <c r="C128" i="86"/>
  <c r="B128" i="86"/>
  <c r="N127" i="86"/>
  <c r="F127" i="86"/>
  <c r="E127" i="86"/>
  <c r="D127" i="86"/>
  <c r="C127" i="86"/>
  <c r="B127" i="86"/>
  <c r="N126" i="86"/>
  <c r="F126" i="86"/>
  <c r="E126" i="86"/>
  <c r="D126" i="86"/>
  <c r="C126" i="86"/>
  <c r="B126" i="86"/>
  <c r="N125" i="86"/>
  <c r="F125" i="86"/>
  <c r="E125" i="86"/>
  <c r="D125" i="86"/>
  <c r="C125" i="86"/>
  <c r="B125" i="86"/>
  <c r="N124" i="86"/>
  <c r="F124" i="86"/>
  <c r="E124" i="86"/>
  <c r="D124" i="86"/>
  <c r="C124" i="86"/>
  <c r="B124" i="86"/>
  <c r="N123" i="86"/>
  <c r="F123" i="86"/>
  <c r="E123" i="86"/>
  <c r="D123" i="86"/>
  <c r="C123" i="86"/>
  <c r="B123" i="86"/>
  <c r="N122" i="86"/>
  <c r="F122" i="86"/>
  <c r="E122" i="86"/>
  <c r="D122" i="86"/>
  <c r="C122" i="86"/>
  <c r="B122" i="86"/>
  <c r="N121" i="86"/>
  <c r="F121" i="86"/>
  <c r="E121" i="86"/>
  <c r="D121" i="86"/>
  <c r="C121" i="86"/>
  <c r="B121" i="86"/>
  <c r="N120" i="86"/>
  <c r="F120" i="86"/>
  <c r="E120" i="86"/>
  <c r="D120" i="86"/>
  <c r="C120" i="86"/>
  <c r="B120" i="86"/>
  <c r="N119" i="86"/>
  <c r="F119" i="86"/>
  <c r="E119" i="86"/>
  <c r="D119" i="86"/>
  <c r="C119" i="86"/>
  <c r="B119" i="86"/>
  <c r="N118" i="86"/>
  <c r="F118" i="86"/>
  <c r="E118" i="86"/>
  <c r="D118" i="86"/>
  <c r="C118" i="86"/>
  <c r="B118" i="86"/>
  <c r="N117" i="86"/>
  <c r="F117" i="86"/>
  <c r="E117" i="86"/>
  <c r="D117" i="86"/>
  <c r="C117" i="86"/>
  <c r="B117" i="86"/>
  <c r="N116" i="86"/>
  <c r="F116" i="86"/>
  <c r="E116" i="86"/>
  <c r="D116" i="86"/>
  <c r="C116" i="86"/>
  <c r="B116" i="86"/>
  <c r="N115" i="86"/>
  <c r="F115" i="86"/>
  <c r="E115" i="86"/>
  <c r="D115" i="86"/>
  <c r="C115" i="86"/>
  <c r="B115" i="86"/>
  <c r="N114" i="86"/>
  <c r="F114" i="86"/>
  <c r="E114" i="86"/>
  <c r="D114" i="86"/>
  <c r="C114" i="86"/>
  <c r="B114" i="86"/>
  <c r="N113" i="86"/>
  <c r="F113" i="86"/>
  <c r="E113" i="86"/>
  <c r="D113" i="86"/>
  <c r="C113" i="86"/>
  <c r="B113" i="86"/>
  <c r="N112" i="86"/>
  <c r="F112" i="86"/>
  <c r="E112" i="86"/>
  <c r="D112" i="86"/>
  <c r="C112" i="86"/>
  <c r="B112" i="86"/>
  <c r="N111" i="86"/>
  <c r="F111" i="86"/>
  <c r="E111" i="86"/>
  <c r="D111" i="86"/>
  <c r="C111" i="86"/>
  <c r="B111" i="86"/>
  <c r="N110" i="86"/>
  <c r="F110" i="86"/>
  <c r="E110" i="86"/>
  <c r="D110" i="86"/>
  <c r="C110" i="86"/>
  <c r="B110" i="86"/>
  <c r="N109" i="86"/>
  <c r="F109" i="86"/>
  <c r="E109" i="86"/>
  <c r="D109" i="86"/>
  <c r="C109" i="86"/>
  <c r="B109" i="86"/>
  <c r="N108" i="86"/>
  <c r="F108" i="86"/>
  <c r="E108" i="86"/>
  <c r="D108" i="86"/>
  <c r="C108" i="86"/>
  <c r="B108" i="86"/>
  <c r="N107" i="86"/>
  <c r="F107" i="86"/>
  <c r="E107" i="86"/>
  <c r="D107" i="86"/>
  <c r="C107" i="86"/>
  <c r="B107" i="86"/>
  <c r="N106" i="86"/>
  <c r="F106" i="86"/>
  <c r="E106" i="86"/>
  <c r="D106" i="86"/>
  <c r="C106" i="86"/>
  <c r="B106" i="86"/>
  <c r="N105" i="86"/>
  <c r="F105" i="86"/>
  <c r="E105" i="86"/>
  <c r="D105" i="86"/>
  <c r="C105" i="86"/>
  <c r="B105" i="86"/>
  <c r="N104" i="86"/>
  <c r="F104" i="86"/>
  <c r="E104" i="86"/>
  <c r="D104" i="86"/>
  <c r="C104" i="86"/>
  <c r="B104" i="86"/>
  <c r="N103" i="86"/>
  <c r="F103" i="86"/>
  <c r="E103" i="86"/>
  <c r="D103" i="86"/>
  <c r="C103" i="86"/>
  <c r="B103" i="86"/>
  <c r="N102" i="86"/>
  <c r="F102" i="86"/>
  <c r="E102" i="86"/>
  <c r="D102" i="86"/>
  <c r="C102" i="86"/>
  <c r="B102" i="86"/>
  <c r="N101" i="86"/>
  <c r="F101" i="86"/>
  <c r="E101" i="86"/>
  <c r="D101" i="86"/>
  <c r="C101" i="86"/>
  <c r="B101" i="86"/>
  <c r="N100" i="86"/>
  <c r="F100" i="86"/>
  <c r="E100" i="86"/>
  <c r="D100" i="86"/>
  <c r="C100" i="86"/>
  <c r="B100" i="86"/>
  <c r="N99" i="86"/>
  <c r="F99" i="86"/>
  <c r="E99" i="86"/>
  <c r="D99" i="86"/>
  <c r="C99" i="86"/>
  <c r="B99" i="86"/>
  <c r="N98" i="86"/>
  <c r="F98" i="86"/>
  <c r="E98" i="86"/>
  <c r="D98" i="86"/>
  <c r="C98" i="86"/>
  <c r="B98" i="86"/>
  <c r="N97" i="86"/>
  <c r="F97" i="86"/>
  <c r="E97" i="86"/>
  <c r="D97" i="86"/>
  <c r="C97" i="86"/>
  <c r="B97" i="86"/>
  <c r="N96" i="86"/>
  <c r="F96" i="86"/>
  <c r="E96" i="86"/>
  <c r="D96" i="86"/>
  <c r="C96" i="86"/>
  <c r="B96" i="86"/>
  <c r="N95" i="86"/>
  <c r="F95" i="86"/>
  <c r="E95" i="86"/>
  <c r="D95" i="86"/>
  <c r="C95" i="86"/>
  <c r="B95" i="86"/>
  <c r="N94" i="86"/>
  <c r="F94" i="86"/>
  <c r="E94" i="86"/>
  <c r="D94" i="86"/>
  <c r="C94" i="86"/>
  <c r="B94" i="86"/>
  <c r="N93" i="86"/>
  <c r="F93" i="86"/>
  <c r="E93" i="86"/>
  <c r="D93" i="86"/>
  <c r="C93" i="86"/>
  <c r="B93" i="86"/>
  <c r="N92" i="86"/>
  <c r="F92" i="86"/>
  <c r="E92" i="86"/>
  <c r="D92" i="86"/>
  <c r="C92" i="86"/>
  <c r="B92" i="86"/>
  <c r="N91" i="86"/>
  <c r="F91" i="86"/>
  <c r="E91" i="86"/>
  <c r="D91" i="86"/>
  <c r="C91" i="86"/>
  <c r="B91" i="86"/>
  <c r="N90" i="86"/>
  <c r="F90" i="86"/>
  <c r="E90" i="86"/>
  <c r="D90" i="86"/>
  <c r="C90" i="86"/>
  <c r="B90" i="86"/>
  <c r="N89" i="86"/>
  <c r="F89" i="86"/>
  <c r="E89" i="86"/>
  <c r="D89" i="86"/>
  <c r="C89" i="86"/>
  <c r="B89" i="86"/>
  <c r="N88" i="86"/>
  <c r="F88" i="86"/>
  <c r="E88" i="86"/>
  <c r="D88" i="86"/>
  <c r="C88" i="86"/>
  <c r="B88" i="86"/>
  <c r="N87" i="86"/>
  <c r="F87" i="86"/>
  <c r="E87" i="86"/>
  <c r="D87" i="86"/>
  <c r="C87" i="86"/>
  <c r="B87" i="86"/>
  <c r="N86" i="86"/>
  <c r="F86" i="86"/>
  <c r="E86" i="86"/>
  <c r="D86" i="86"/>
  <c r="C86" i="86"/>
  <c r="B86" i="86"/>
  <c r="N85" i="86"/>
  <c r="F85" i="86"/>
  <c r="E85" i="86"/>
  <c r="D85" i="86"/>
  <c r="C85" i="86"/>
  <c r="B85" i="86"/>
  <c r="N84" i="86"/>
  <c r="F84" i="86"/>
  <c r="E84" i="86"/>
  <c r="D84" i="86"/>
  <c r="C84" i="86"/>
  <c r="B84" i="86"/>
  <c r="N83" i="86"/>
  <c r="F83" i="86"/>
  <c r="E83" i="86"/>
  <c r="D83" i="86"/>
  <c r="C83" i="86"/>
  <c r="B83" i="86"/>
  <c r="N82" i="86"/>
  <c r="F82" i="86"/>
  <c r="E82" i="86"/>
  <c r="D82" i="86"/>
  <c r="C82" i="86"/>
  <c r="B82" i="86"/>
  <c r="N81" i="86"/>
  <c r="F81" i="86"/>
  <c r="E81" i="86"/>
  <c r="D81" i="86"/>
  <c r="C81" i="86"/>
  <c r="B81" i="86"/>
  <c r="N80" i="86"/>
  <c r="F80" i="86"/>
  <c r="E80" i="86"/>
  <c r="D80" i="86"/>
  <c r="C80" i="86"/>
  <c r="B80" i="86"/>
  <c r="N79" i="86"/>
  <c r="F79" i="86"/>
  <c r="E79" i="86"/>
  <c r="D79" i="86"/>
  <c r="C79" i="86"/>
  <c r="B79" i="86"/>
  <c r="N78" i="86"/>
  <c r="F78" i="86"/>
  <c r="E78" i="86"/>
  <c r="D78" i="86"/>
  <c r="C78" i="86"/>
  <c r="B78" i="86"/>
  <c r="N77" i="86"/>
  <c r="F77" i="86"/>
  <c r="E77" i="86"/>
  <c r="D77" i="86"/>
  <c r="C77" i="86"/>
  <c r="B77" i="86"/>
  <c r="N76" i="86"/>
  <c r="F76" i="86"/>
  <c r="E76" i="86"/>
  <c r="D76" i="86"/>
  <c r="C76" i="86"/>
  <c r="B76" i="86"/>
  <c r="N75" i="86"/>
  <c r="F75" i="86"/>
  <c r="E75" i="86"/>
  <c r="D75" i="86"/>
  <c r="C75" i="86"/>
  <c r="B75" i="86"/>
  <c r="N74" i="86"/>
  <c r="F74" i="86"/>
  <c r="E74" i="86"/>
  <c r="D74" i="86"/>
  <c r="C74" i="86"/>
  <c r="B74" i="86"/>
  <c r="N73" i="86"/>
  <c r="F73" i="86"/>
  <c r="E73" i="86"/>
  <c r="D73" i="86"/>
  <c r="C73" i="86"/>
  <c r="B73" i="86"/>
  <c r="N72" i="86"/>
  <c r="F72" i="86"/>
  <c r="E72" i="86"/>
  <c r="D72" i="86"/>
  <c r="C72" i="86"/>
  <c r="B72" i="86"/>
  <c r="N71" i="86"/>
  <c r="F71" i="86"/>
  <c r="E71" i="86"/>
  <c r="D71" i="86"/>
  <c r="C71" i="86"/>
  <c r="B71" i="86"/>
  <c r="N70" i="86"/>
  <c r="F70" i="86"/>
  <c r="E70" i="86"/>
  <c r="D70" i="86"/>
  <c r="C70" i="86"/>
  <c r="B70" i="86"/>
  <c r="N69" i="86"/>
  <c r="F69" i="86"/>
  <c r="E69" i="86"/>
  <c r="D69" i="86"/>
  <c r="C69" i="86"/>
  <c r="B69" i="86"/>
  <c r="N68" i="86"/>
  <c r="F68" i="86"/>
  <c r="E68" i="86"/>
  <c r="D68" i="86"/>
  <c r="C68" i="86"/>
  <c r="B68" i="86"/>
  <c r="N67" i="86"/>
  <c r="F67" i="86"/>
  <c r="E67" i="86"/>
  <c r="D67" i="86"/>
  <c r="C67" i="86"/>
  <c r="B67" i="86"/>
  <c r="N66" i="86"/>
  <c r="F66" i="86"/>
  <c r="E66" i="86"/>
  <c r="D66" i="86"/>
  <c r="C66" i="86"/>
  <c r="B66" i="86"/>
  <c r="N65" i="86"/>
  <c r="F65" i="86"/>
  <c r="E65" i="86"/>
  <c r="D65" i="86"/>
  <c r="C65" i="86"/>
  <c r="B65" i="86"/>
  <c r="N64" i="86"/>
  <c r="F64" i="86"/>
  <c r="E64" i="86"/>
  <c r="D64" i="86"/>
  <c r="C64" i="86"/>
  <c r="B64" i="86"/>
  <c r="N63" i="86"/>
  <c r="F63" i="86"/>
  <c r="E63" i="86"/>
  <c r="D63" i="86"/>
  <c r="C63" i="86"/>
  <c r="B63" i="86"/>
  <c r="N62" i="86"/>
  <c r="F62" i="86"/>
  <c r="E62" i="86"/>
  <c r="D62" i="86"/>
  <c r="C62" i="86"/>
  <c r="B62" i="86"/>
  <c r="N61" i="86"/>
  <c r="F61" i="86"/>
  <c r="E61" i="86"/>
  <c r="D61" i="86"/>
  <c r="C61" i="86"/>
  <c r="B61" i="86"/>
  <c r="N60" i="86"/>
  <c r="F60" i="86"/>
  <c r="E60" i="86"/>
  <c r="D60" i="86"/>
  <c r="C60" i="86"/>
  <c r="B60" i="86"/>
  <c r="N59" i="86"/>
  <c r="F59" i="86"/>
  <c r="E59" i="86"/>
  <c r="D59" i="86"/>
  <c r="C59" i="86"/>
  <c r="B59" i="86"/>
  <c r="N58" i="86"/>
  <c r="F58" i="86"/>
  <c r="E58" i="86"/>
  <c r="D58" i="86"/>
  <c r="C58" i="86"/>
  <c r="B58" i="86"/>
  <c r="N57" i="86"/>
  <c r="F57" i="86"/>
  <c r="E57" i="86"/>
  <c r="D57" i="86"/>
  <c r="C57" i="86"/>
  <c r="B57" i="86"/>
  <c r="N56" i="86"/>
  <c r="F56" i="86"/>
  <c r="E56" i="86"/>
  <c r="D56" i="86"/>
  <c r="C56" i="86"/>
  <c r="B56" i="86"/>
  <c r="N55" i="86"/>
  <c r="F55" i="86"/>
  <c r="E55" i="86"/>
  <c r="D55" i="86"/>
  <c r="C55" i="86"/>
  <c r="B55" i="86"/>
  <c r="N54" i="86"/>
  <c r="F54" i="86"/>
  <c r="E54" i="86"/>
  <c r="D54" i="86"/>
  <c r="C54" i="86"/>
  <c r="B54" i="86"/>
  <c r="N53" i="86"/>
  <c r="F53" i="86"/>
  <c r="E53" i="86"/>
  <c r="D53" i="86"/>
  <c r="C53" i="86"/>
  <c r="B53" i="86"/>
  <c r="N52" i="86"/>
  <c r="F52" i="86"/>
  <c r="E52" i="86"/>
  <c r="D52" i="86"/>
  <c r="C52" i="86"/>
  <c r="B52" i="86"/>
  <c r="N51" i="86"/>
  <c r="F51" i="86"/>
  <c r="E51" i="86"/>
  <c r="D51" i="86"/>
  <c r="C51" i="86"/>
  <c r="B51" i="86"/>
  <c r="N50" i="86"/>
  <c r="F50" i="86"/>
  <c r="E50" i="86"/>
  <c r="D50" i="86"/>
  <c r="C50" i="86"/>
  <c r="B50" i="86"/>
  <c r="N49" i="86"/>
  <c r="F49" i="86"/>
  <c r="E49" i="86"/>
  <c r="D49" i="86"/>
  <c r="C49" i="86"/>
  <c r="B49" i="86"/>
  <c r="N48" i="86"/>
  <c r="F48" i="86"/>
  <c r="E48" i="86"/>
  <c r="D48" i="86"/>
  <c r="C48" i="86"/>
  <c r="B48" i="86"/>
  <c r="N47" i="86"/>
  <c r="F47" i="86"/>
  <c r="E47" i="86"/>
  <c r="D47" i="86"/>
  <c r="C47" i="86"/>
  <c r="B47" i="86"/>
  <c r="N46" i="86"/>
  <c r="F46" i="86"/>
  <c r="E46" i="86"/>
  <c r="D46" i="86"/>
  <c r="C46" i="86"/>
  <c r="B46" i="86"/>
  <c r="N45" i="86"/>
  <c r="F45" i="86"/>
  <c r="E45" i="86"/>
  <c r="D45" i="86"/>
  <c r="C45" i="86"/>
  <c r="B45" i="86"/>
  <c r="N44" i="86"/>
  <c r="F44" i="86"/>
  <c r="E44" i="86"/>
  <c r="D44" i="86"/>
  <c r="C44" i="86"/>
  <c r="B44" i="86"/>
  <c r="N43" i="86"/>
  <c r="F43" i="86"/>
  <c r="E43" i="86"/>
  <c r="D43" i="86"/>
  <c r="C43" i="86"/>
  <c r="B43" i="86"/>
  <c r="N42" i="86"/>
  <c r="F42" i="86"/>
  <c r="E42" i="86"/>
  <c r="D42" i="86"/>
  <c r="C42" i="86"/>
  <c r="B42" i="86"/>
  <c r="N41" i="86"/>
  <c r="F41" i="86"/>
  <c r="E41" i="86"/>
  <c r="D41" i="86"/>
  <c r="C41" i="86"/>
  <c r="B41" i="86"/>
  <c r="N40" i="86"/>
  <c r="F40" i="86"/>
  <c r="E40" i="86"/>
  <c r="D40" i="86"/>
  <c r="C40" i="86"/>
  <c r="B40" i="86"/>
  <c r="N39" i="86"/>
  <c r="F39" i="86"/>
  <c r="E39" i="86"/>
  <c r="D39" i="86"/>
  <c r="C39" i="86"/>
  <c r="B39" i="86"/>
  <c r="N38" i="86"/>
  <c r="F38" i="86"/>
  <c r="E38" i="86"/>
  <c r="D38" i="86"/>
  <c r="C38" i="86"/>
  <c r="B38" i="86"/>
  <c r="N37" i="86"/>
  <c r="F37" i="86"/>
  <c r="E37" i="86"/>
  <c r="D37" i="86"/>
  <c r="C37" i="86"/>
  <c r="B37" i="86"/>
  <c r="N36" i="86"/>
  <c r="F36" i="86"/>
  <c r="E36" i="86"/>
  <c r="D36" i="86"/>
  <c r="C36" i="86"/>
  <c r="B36" i="86"/>
  <c r="N35" i="86"/>
  <c r="F35" i="86"/>
  <c r="E35" i="86"/>
  <c r="D35" i="86"/>
  <c r="C35" i="86"/>
  <c r="B35" i="86"/>
  <c r="N34" i="86"/>
  <c r="F34" i="86"/>
  <c r="E34" i="86"/>
  <c r="D34" i="86"/>
  <c r="C34" i="86"/>
  <c r="B34" i="86"/>
  <c r="N33" i="86"/>
  <c r="F33" i="86"/>
  <c r="E33" i="86"/>
  <c r="D33" i="86"/>
  <c r="C33" i="86"/>
  <c r="B33" i="86"/>
  <c r="N32" i="86"/>
  <c r="F32" i="86"/>
  <c r="E32" i="86"/>
  <c r="D32" i="86"/>
  <c r="C32" i="86"/>
  <c r="B32" i="86"/>
  <c r="N31" i="86"/>
  <c r="F31" i="86"/>
  <c r="E31" i="86"/>
  <c r="D31" i="86"/>
  <c r="C31" i="86"/>
  <c r="B31" i="86"/>
  <c r="N30" i="86"/>
  <c r="F30" i="86"/>
  <c r="E30" i="86"/>
  <c r="D30" i="86"/>
  <c r="C30" i="86"/>
  <c r="B30" i="86"/>
  <c r="N29" i="86"/>
  <c r="F29" i="86"/>
  <c r="E29" i="86"/>
  <c r="D29" i="86"/>
  <c r="C29" i="86"/>
  <c r="B29" i="86"/>
  <c r="N28" i="86"/>
  <c r="F28" i="86"/>
  <c r="E28" i="86"/>
  <c r="D28" i="86"/>
  <c r="C28" i="86"/>
  <c r="B28" i="86"/>
  <c r="N27" i="86"/>
  <c r="F27" i="86"/>
  <c r="E27" i="86"/>
  <c r="D27" i="86"/>
  <c r="C27" i="86"/>
  <c r="B27" i="86"/>
  <c r="N26" i="86"/>
  <c r="F26" i="86"/>
  <c r="E26" i="86"/>
  <c r="D26" i="86"/>
  <c r="C26" i="86"/>
  <c r="B26" i="86"/>
  <c r="N25" i="86"/>
  <c r="F25" i="86"/>
  <c r="E25" i="86"/>
  <c r="D25" i="86"/>
  <c r="C25" i="86"/>
  <c r="B25" i="86"/>
  <c r="N24" i="86"/>
  <c r="F24" i="86"/>
  <c r="E24" i="86"/>
  <c r="D24" i="86"/>
  <c r="C24" i="86"/>
  <c r="B24" i="86"/>
  <c r="N23" i="86"/>
  <c r="F23" i="86"/>
  <c r="E23" i="86"/>
  <c r="D23" i="86"/>
  <c r="C23" i="86"/>
  <c r="B23" i="86"/>
  <c r="N22" i="86"/>
  <c r="F22" i="86"/>
  <c r="E22" i="86"/>
  <c r="D22" i="86"/>
  <c r="C22" i="86"/>
  <c r="B22" i="86"/>
  <c r="N21" i="86"/>
  <c r="F21" i="86"/>
  <c r="E21" i="86"/>
  <c r="D21" i="86"/>
  <c r="C21" i="86"/>
  <c r="B21" i="86"/>
  <c r="N20" i="86"/>
  <c r="F20" i="86"/>
  <c r="E20" i="86"/>
  <c r="D20" i="86"/>
  <c r="C20" i="86"/>
  <c r="B20" i="86"/>
  <c r="N19" i="86"/>
  <c r="F19" i="86"/>
  <c r="E19" i="86"/>
  <c r="D19" i="86"/>
  <c r="C19" i="86"/>
  <c r="B19" i="86"/>
  <c r="N18" i="86"/>
  <c r="F18" i="86"/>
  <c r="E18" i="86"/>
  <c r="D18" i="86"/>
  <c r="C18" i="86"/>
  <c r="B18" i="86"/>
  <c r="N17" i="86"/>
  <c r="F17" i="86"/>
  <c r="E17" i="86"/>
  <c r="D17" i="86"/>
  <c r="C17" i="86"/>
  <c r="B17" i="86"/>
  <c r="N16" i="86"/>
  <c r="F16" i="86"/>
  <c r="E16" i="86"/>
  <c r="D16" i="86"/>
  <c r="C16" i="86"/>
  <c r="B16" i="86"/>
  <c r="N15" i="86"/>
  <c r="F15" i="86"/>
  <c r="E15" i="86"/>
  <c r="D15" i="86"/>
  <c r="C15" i="86"/>
  <c r="B15" i="86"/>
  <c r="N14" i="86"/>
  <c r="F14" i="86"/>
  <c r="E14" i="86"/>
  <c r="D14" i="86"/>
  <c r="C14" i="86"/>
  <c r="B14" i="86"/>
  <c r="N13" i="86"/>
  <c r="F13" i="86"/>
  <c r="E13" i="86"/>
  <c r="D13" i="86"/>
  <c r="C13" i="86"/>
  <c r="B13" i="86"/>
  <c r="N12" i="86"/>
  <c r="F12" i="86"/>
  <c r="E12" i="86"/>
  <c r="D12" i="86"/>
  <c r="C12" i="86"/>
  <c r="B12" i="86"/>
  <c r="N11" i="86"/>
  <c r="F11" i="86"/>
  <c r="E11" i="86"/>
  <c r="D11" i="86"/>
  <c r="C11" i="86"/>
  <c r="B11" i="86"/>
  <c r="N10" i="86"/>
  <c r="F10" i="86"/>
  <c r="E10" i="86"/>
  <c r="D10" i="86"/>
  <c r="C10" i="86"/>
  <c r="B10" i="86"/>
  <c r="N9" i="86"/>
  <c r="F9" i="86"/>
  <c r="E9" i="86"/>
  <c r="D9" i="86"/>
  <c r="C9" i="86"/>
  <c r="B9" i="86"/>
  <c r="N8" i="86"/>
  <c r="F8" i="86"/>
  <c r="E8" i="86"/>
  <c r="D8" i="86"/>
  <c r="C8" i="86"/>
  <c r="B8" i="86"/>
  <c r="N7" i="86"/>
  <c r="F7" i="86"/>
  <c r="E7" i="86"/>
  <c r="D7" i="86"/>
  <c r="C7" i="86"/>
  <c r="B7" i="86"/>
  <c r="N6" i="86"/>
  <c r="F6" i="86"/>
  <c r="E6" i="86"/>
  <c r="D6" i="86"/>
  <c r="C6" i="86"/>
  <c r="B6" i="86"/>
  <c r="N5" i="86"/>
  <c r="F5" i="86"/>
  <c r="E5" i="86"/>
  <c r="D5" i="86"/>
  <c r="C5" i="86"/>
  <c r="B5" i="86"/>
  <c r="N4" i="86"/>
  <c r="F4" i="86"/>
  <c r="E4" i="86"/>
  <c r="D4" i="86"/>
  <c r="C4" i="86"/>
  <c r="B4" i="86"/>
  <c r="N3" i="86"/>
  <c r="F3" i="86"/>
  <c r="E3" i="86"/>
  <c r="D3" i="86"/>
  <c r="C3" i="86"/>
  <c r="B3" i="86"/>
  <c r="N2" i="86"/>
  <c r="F2" i="86"/>
  <c r="E2" i="86"/>
  <c r="D2" i="86"/>
  <c r="C2" i="86"/>
  <c r="B2" i="86"/>
  <c r="R1" i="86"/>
  <c r="AX6" i="20"/>
  <c r="AP6" i="20"/>
  <c r="AE6" i="20"/>
  <c r="AX8" i="20"/>
  <c r="AX7" i="20"/>
  <c r="AX10" i="20"/>
  <c r="AP10" i="20"/>
  <c r="AE10" i="20"/>
  <c r="AX9" i="20"/>
  <c r="AP9" i="20"/>
  <c r="AX12" i="20"/>
  <c r="AP12" i="20"/>
  <c r="AX11" i="20"/>
  <c r="AP11" i="20"/>
  <c r="AX13" i="20"/>
  <c r="AP13" i="20"/>
  <c r="AX19" i="20"/>
  <c r="AP19" i="20"/>
  <c r="AX18" i="20"/>
  <c r="AP18" i="20"/>
  <c r="AX17" i="20"/>
  <c r="AP17" i="20"/>
  <c r="AE17" i="20"/>
  <c r="AC17" i="20"/>
  <c r="AX16" i="20"/>
  <c r="AP16" i="20"/>
  <c r="AX15" i="20"/>
  <c r="AP15" i="20"/>
  <c r="AX14" i="20"/>
  <c r="AP14" i="20"/>
  <c r="AD14" i="20"/>
  <c r="AX22" i="20"/>
  <c r="AP22" i="20"/>
  <c r="AX21" i="20"/>
  <c r="AP21" i="20"/>
  <c r="AX20" i="20"/>
  <c r="AP20" i="20"/>
  <c r="AX23" i="20"/>
  <c r="AP23" i="20"/>
  <c r="AP24" i="20"/>
  <c r="AX26" i="20"/>
  <c r="AP26" i="20"/>
  <c r="AX25" i="20"/>
  <c r="AP25" i="20"/>
  <c r="AX27" i="20"/>
  <c r="AP27" i="20"/>
  <c r="AX28" i="20"/>
  <c r="AP28" i="20"/>
  <c r="AX29" i="20"/>
  <c r="AP29" i="20"/>
  <c r="AX34" i="20"/>
  <c r="AP34" i="20"/>
  <c r="AX33" i="20"/>
  <c r="AP33" i="20"/>
  <c r="AX32" i="20"/>
  <c r="AP32" i="20"/>
  <c r="AX31" i="20"/>
  <c r="AP31" i="20"/>
  <c r="AX30" i="20"/>
  <c r="AP30" i="20"/>
  <c r="AX39" i="20"/>
  <c r="AP39" i="20"/>
  <c r="AX38" i="20"/>
  <c r="AP38" i="20"/>
  <c r="AX37" i="20"/>
  <c r="AP37" i="20"/>
  <c r="AX36" i="20"/>
  <c r="AP36" i="20"/>
  <c r="AX35" i="20"/>
  <c r="AP35" i="20"/>
  <c r="AX42" i="20"/>
  <c r="AP42" i="20"/>
  <c r="AX41" i="20"/>
  <c r="AP41" i="20"/>
  <c r="AX40" i="20"/>
  <c r="AP40" i="20"/>
  <c r="AX43" i="20"/>
  <c r="AP43" i="20"/>
  <c r="AX45" i="20"/>
  <c r="AP45" i="20"/>
  <c r="AX44" i="20"/>
  <c r="AP44" i="20"/>
  <c r="AX47" i="20"/>
  <c r="AP47" i="20"/>
  <c r="AX46" i="20"/>
  <c r="AP46" i="20"/>
  <c r="AX49" i="20"/>
  <c r="AP49" i="20"/>
  <c r="AX48" i="20"/>
  <c r="AP48" i="20"/>
  <c r="AX50" i="20"/>
  <c r="AP50" i="20"/>
  <c r="AX51" i="20"/>
  <c r="AP51" i="20"/>
  <c r="AX52" i="20"/>
  <c r="AP52" i="20"/>
  <c r="AX53" i="20"/>
  <c r="AP53" i="20"/>
  <c r="AX54" i="20"/>
  <c r="AP54" i="20"/>
  <c r="AX55" i="20"/>
  <c r="AP55" i="20"/>
  <c r="AX56" i="20"/>
  <c r="AP56" i="20"/>
  <c r="AX57" i="20"/>
  <c r="AP57" i="20"/>
  <c r="AX62" i="20"/>
  <c r="AP62" i="20"/>
  <c r="AX64" i="20"/>
  <c r="AP64" i="20"/>
  <c r="AX65" i="20"/>
  <c r="AP65" i="20"/>
  <c r="AX66" i="20"/>
  <c r="AP66" i="20"/>
  <c r="AX68" i="20"/>
  <c r="AP68" i="20"/>
  <c r="AX72" i="20"/>
  <c r="AP72" i="20"/>
  <c r="AX71" i="20"/>
  <c r="AP71" i="20"/>
  <c r="AX70" i="20"/>
  <c r="AP70" i="20"/>
  <c r="AX69" i="20"/>
  <c r="AP69" i="20"/>
  <c r="CF32" i="62"/>
  <c r="CD32" i="62"/>
  <c r="CF31" i="62"/>
  <c r="CD31" i="62"/>
  <c r="CF29" i="62"/>
  <c r="CD29" i="62"/>
  <c r="CF28" i="62"/>
  <c r="CD28" i="62"/>
  <c r="CF27" i="62"/>
  <c r="CD27" i="62"/>
  <c r="CD26" i="62"/>
  <c r="CD25" i="62"/>
  <c r="CD24" i="62"/>
  <c r="CD23" i="62"/>
  <c r="CD22" i="62"/>
  <c r="CD21" i="62"/>
  <c r="CD20" i="62"/>
  <c r="CF19" i="62"/>
  <c r="CD19" i="62"/>
  <c r="CF18" i="62"/>
  <c r="CD18" i="62"/>
  <c r="CF17" i="62"/>
  <c r="CD17" i="62"/>
  <c r="AF26" i="66"/>
  <c r="AE26" i="66"/>
  <c r="AF25" i="66"/>
  <c r="AE25" i="66"/>
  <c r="AA25" i="66"/>
  <c r="AF24" i="66"/>
  <c r="AE24" i="66"/>
  <c r="AA24" i="66"/>
  <c r="AF23" i="66"/>
  <c r="AE23" i="66"/>
  <c r="AA23" i="66"/>
  <c r="AF22" i="66"/>
  <c r="AE22" i="66"/>
  <c r="AA22" i="66"/>
  <c r="AF21" i="66"/>
  <c r="AE21" i="66"/>
  <c r="AA21" i="66"/>
  <c r="AF20" i="66"/>
  <c r="AE20" i="66"/>
  <c r="AA20" i="66"/>
  <c r="AF19" i="66"/>
  <c r="AE19" i="66"/>
  <c r="AA19" i="66"/>
  <c r="AF18" i="66"/>
  <c r="AE18" i="66"/>
  <c r="AA18" i="66"/>
  <c r="AF17" i="66"/>
  <c r="AE17" i="66"/>
  <c r="AA17" i="66"/>
  <c r="AF16" i="66"/>
  <c r="AE16" i="66"/>
  <c r="AA16" i="66"/>
  <c r="AF15" i="66"/>
  <c r="AE15" i="66"/>
  <c r="AA15" i="66"/>
  <c r="AF14" i="66"/>
  <c r="AE14" i="66"/>
  <c r="AA14" i="66"/>
  <c r="AF13" i="66"/>
  <c r="AE13" i="66"/>
  <c r="AA13" i="66"/>
  <c r="AF12" i="66"/>
  <c r="AE12" i="66"/>
  <c r="AA12" i="66"/>
  <c r="AF11" i="66"/>
  <c r="AE11" i="66"/>
  <c r="AA11" i="66"/>
  <c r="AF10" i="66"/>
  <c r="AE10" i="66"/>
  <c r="AA10" i="66"/>
  <c r="AF9" i="66"/>
  <c r="AE9" i="66"/>
  <c r="AA9" i="66"/>
  <c r="AF8" i="66"/>
  <c r="AE8" i="66"/>
  <c r="AA8" i="66"/>
  <c r="AF7" i="66"/>
  <c r="AE7" i="66"/>
  <c r="AA7" i="66"/>
  <c r="AF6" i="66"/>
  <c r="AE6" i="66"/>
  <c r="AA6" i="66"/>
  <c r="AF5" i="66"/>
  <c r="AE5" i="66"/>
  <c r="AA5" i="66"/>
  <c r="AF4" i="66"/>
  <c r="AE4" i="66"/>
  <c r="AA4" i="66"/>
  <c r="AF3" i="66"/>
  <c r="AE3" i="66"/>
  <c r="AA3" i="66"/>
  <c r="AE267" i="14"/>
  <c r="AF267" i="14" s="1"/>
  <c r="AD267" i="14"/>
  <c r="T267" i="14"/>
  <c r="AE263" i="14"/>
  <c r="AF263" i="14" s="1"/>
  <c r="AD263" i="14"/>
  <c r="T263" i="14"/>
  <c r="AE258" i="14"/>
  <c r="AF258" i="14" s="1"/>
  <c r="AD258" i="14"/>
  <c r="T258" i="14"/>
  <c r="AE256" i="14"/>
  <c r="AF256" i="14" s="1"/>
  <c r="AD256" i="14"/>
  <c r="T256" i="14"/>
  <c r="AE255" i="14"/>
  <c r="AF255" i="14" s="1"/>
  <c r="AD255" i="14"/>
  <c r="T255" i="14"/>
  <c r="AE297" i="14"/>
  <c r="AF297" i="14" s="1"/>
  <c r="AD297" i="14"/>
  <c r="T297" i="14"/>
  <c r="AE173" i="14"/>
  <c r="AF173" i="14" s="1"/>
  <c r="AD173" i="14"/>
  <c r="T173" i="14"/>
  <c r="AE110" i="14"/>
  <c r="AF110" i="14" s="1"/>
  <c r="AD110" i="14"/>
  <c r="T110" i="14"/>
  <c r="AE148" i="14"/>
  <c r="AF148" i="14" s="1"/>
  <c r="AD148" i="14"/>
  <c r="T148" i="14"/>
  <c r="AE46" i="14"/>
  <c r="AF46" i="14" s="1"/>
  <c r="AD46" i="14"/>
  <c r="T46" i="14"/>
  <c r="AE296" i="14"/>
  <c r="AF296" i="14" s="1"/>
  <c r="AD296" i="14"/>
  <c r="T296" i="14"/>
  <c r="AE158" i="14"/>
  <c r="AF158" i="14" s="1"/>
  <c r="AD158" i="14"/>
  <c r="T158" i="14"/>
  <c r="AE38" i="14"/>
  <c r="AF38" i="14" s="1"/>
  <c r="AD38" i="14"/>
  <c r="T38" i="14"/>
  <c r="AE181" i="14"/>
  <c r="AF181" i="14" s="1"/>
  <c r="AD181" i="14"/>
  <c r="T181" i="14"/>
  <c r="AE100" i="14"/>
  <c r="AF100" i="14" s="1"/>
  <c r="AD100" i="14"/>
  <c r="T100" i="14"/>
  <c r="AE194" i="14"/>
  <c r="AF194" i="14" s="1"/>
  <c r="AD194" i="14"/>
  <c r="T194" i="14"/>
  <c r="AE215" i="14"/>
  <c r="AF215" i="14" s="1"/>
  <c r="AD215" i="14"/>
  <c r="T215" i="14"/>
  <c r="AE295" i="14"/>
  <c r="AF295" i="14" s="1"/>
  <c r="AD295" i="14"/>
  <c r="T295" i="14"/>
  <c r="AE294" i="14"/>
  <c r="AF294" i="14" s="1"/>
  <c r="AD294" i="14"/>
  <c r="T294" i="14"/>
  <c r="AE293" i="14"/>
  <c r="AF293" i="14" s="1"/>
  <c r="AD293" i="14"/>
  <c r="T293" i="14"/>
  <c r="AE292" i="14"/>
  <c r="AF292" i="14" s="1"/>
  <c r="AD292" i="14"/>
  <c r="T292" i="14"/>
  <c r="AE109" i="14"/>
  <c r="AF109" i="14" s="1"/>
  <c r="AD109" i="14"/>
  <c r="T109" i="14"/>
  <c r="AE291" i="14"/>
  <c r="AF291" i="14" s="1"/>
  <c r="AD291" i="14"/>
  <c r="T291" i="14"/>
  <c r="AE290" i="14"/>
  <c r="AF290" i="14" s="1"/>
  <c r="AD290" i="14"/>
  <c r="T290" i="14"/>
  <c r="AE289" i="14"/>
  <c r="AF289" i="14" s="1"/>
  <c r="AD289" i="14"/>
  <c r="T289" i="14"/>
  <c r="AE288" i="14"/>
  <c r="AF288" i="14" s="1"/>
  <c r="AD288" i="14"/>
  <c r="T288" i="14"/>
  <c r="AE287" i="14"/>
  <c r="AF287" i="14" s="1"/>
  <c r="AD287" i="14"/>
  <c r="T287" i="14"/>
  <c r="AE254" i="14"/>
  <c r="AF254" i="14" s="1"/>
  <c r="AD254" i="14"/>
  <c r="T254" i="14"/>
  <c r="AE285" i="14"/>
  <c r="AF285" i="14" s="1"/>
  <c r="AD285" i="14"/>
  <c r="T285" i="14"/>
  <c r="AE284" i="14"/>
  <c r="AF284" i="14" s="1"/>
  <c r="AD284" i="14"/>
  <c r="T284" i="14"/>
  <c r="AE283" i="14"/>
  <c r="AF283" i="14" s="1"/>
  <c r="AD283" i="14"/>
  <c r="T283" i="14"/>
  <c r="AE282" i="14"/>
  <c r="AF282" i="14" s="1"/>
  <c r="AD282" i="14"/>
  <c r="T282" i="14"/>
  <c r="AE252" i="14"/>
  <c r="AF252" i="14" s="1"/>
  <c r="AD252" i="14"/>
  <c r="T252" i="14"/>
  <c r="AE280" i="14"/>
  <c r="AF280" i="14" s="1"/>
  <c r="AD280" i="14"/>
  <c r="T280" i="14"/>
  <c r="AE248" i="14"/>
  <c r="AF248" i="14" s="1"/>
  <c r="AD248" i="14"/>
  <c r="T248" i="14"/>
  <c r="AE247" i="14"/>
  <c r="AF247" i="14" s="1"/>
  <c r="AD247" i="14"/>
  <c r="T247" i="14"/>
  <c r="AE277" i="14"/>
  <c r="AF277" i="14" s="1"/>
  <c r="AD277" i="14"/>
  <c r="T277" i="14"/>
  <c r="AE192" i="14"/>
  <c r="AF192" i="14" s="1"/>
  <c r="AD192" i="14"/>
  <c r="T192" i="14"/>
  <c r="AE189" i="14"/>
  <c r="AF189" i="14" s="1"/>
  <c r="AD189" i="14"/>
  <c r="T189" i="14"/>
  <c r="AE276" i="14"/>
  <c r="AF276" i="14" s="1"/>
  <c r="AD276" i="14"/>
  <c r="T276" i="14"/>
  <c r="AE246" i="14"/>
  <c r="AF246" i="14" s="1"/>
  <c r="AD246" i="14"/>
  <c r="T246" i="14"/>
  <c r="AE305" i="14"/>
  <c r="AF305" i="14" s="1"/>
  <c r="T305" i="14"/>
  <c r="AE275" i="14"/>
  <c r="AF275" i="14" s="1"/>
  <c r="T275" i="14"/>
  <c r="AE244" i="14"/>
  <c r="AF244" i="14" s="1"/>
  <c r="T244" i="14"/>
  <c r="AE243" i="14"/>
  <c r="AF243" i="14" s="1"/>
  <c r="T243" i="14"/>
  <c r="AE241" i="14"/>
  <c r="AF241" i="14" s="1"/>
  <c r="AD241" i="14"/>
  <c r="T241" i="14"/>
  <c r="AE103" i="14"/>
  <c r="AF103" i="14" s="1"/>
  <c r="AD103" i="14"/>
  <c r="T103" i="14"/>
  <c r="AE240" i="14"/>
  <c r="AF240" i="14" s="1"/>
  <c r="AD240" i="14"/>
  <c r="T240" i="14"/>
  <c r="AE239" i="14"/>
  <c r="AF239" i="14" s="1"/>
  <c r="AD239" i="14"/>
  <c r="T239" i="14"/>
  <c r="AE238" i="14"/>
  <c r="AF238" i="14" s="1"/>
  <c r="AD238" i="14"/>
  <c r="T238" i="14"/>
  <c r="AE107" i="14"/>
  <c r="AF107" i="14" s="1"/>
  <c r="AD107" i="14"/>
  <c r="T107" i="14"/>
  <c r="AE266" i="14"/>
  <c r="AF266" i="14" s="1"/>
  <c r="AD266" i="14"/>
  <c r="T266" i="14"/>
  <c r="AE101" i="14"/>
  <c r="AF101" i="14" s="1"/>
  <c r="AD101" i="14"/>
  <c r="T101" i="14"/>
  <c r="AE61" i="14"/>
  <c r="AF61" i="14" s="1"/>
  <c r="AD61" i="14"/>
  <c r="T61" i="14"/>
  <c r="AE84" i="14"/>
  <c r="AF84" i="14" s="1"/>
  <c r="AD84" i="14"/>
  <c r="T84" i="14"/>
  <c r="AE265" i="14"/>
  <c r="AF265" i="14" s="1"/>
  <c r="AD265" i="14"/>
  <c r="T265" i="14"/>
  <c r="AE264" i="14"/>
  <c r="AF264" i="14" s="1"/>
  <c r="AD264" i="14"/>
  <c r="T264" i="14"/>
  <c r="AE237" i="14"/>
  <c r="AF237" i="14" s="1"/>
  <c r="AD237" i="14"/>
  <c r="T237" i="14"/>
  <c r="AE83" i="14"/>
  <c r="AF83" i="14" s="1"/>
  <c r="AD83" i="14"/>
  <c r="T83" i="14"/>
  <c r="AE262" i="14"/>
  <c r="AF262" i="14" s="1"/>
  <c r="AD262" i="14"/>
  <c r="T262" i="14"/>
  <c r="AE261" i="14"/>
  <c r="AF261" i="14" s="1"/>
  <c r="AD261" i="14"/>
  <c r="T261" i="14"/>
  <c r="AE36" i="14"/>
  <c r="AF36" i="14" s="1"/>
  <c r="AD36" i="14"/>
  <c r="T36" i="14"/>
  <c r="AE203" i="14"/>
  <c r="AF203" i="14" s="1"/>
  <c r="AD203" i="14"/>
  <c r="T203" i="14"/>
  <c r="AE298" i="14"/>
  <c r="AF298" i="14" s="1"/>
  <c r="AD298" i="14"/>
  <c r="T298" i="14"/>
  <c r="AE202" i="14"/>
  <c r="AF202" i="14" s="1"/>
  <c r="AD202" i="14"/>
  <c r="T202" i="14"/>
  <c r="AE200" i="14"/>
  <c r="AF200" i="14" s="1"/>
  <c r="AD200" i="14"/>
  <c r="T200" i="14"/>
  <c r="AE199" i="14"/>
  <c r="AF199" i="14" s="1"/>
  <c r="AD199" i="14"/>
  <c r="T199" i="14"/>
  <c r="AE190" i="14"/>
  <c r="AF190" i="14" s="1"/>
  <c r="AD190" i="14"/>
  <c r="T190" i="14"/>
  <c r="AE198" i="14"/>
  <c r="AF198" i="14" s="1"/>
  <c r="AD198" i="14"/>
  <c r="T198" i="14"/>
  <c r="AE82" i="14"/>
  <c r="AF82" i="14" s="1"/>
  <c r="AD82" i="14"/>
  <c r="T82" i="14"/>
  <c r="AE212" i="14"/>
  <c r="AF212" i="14" s="1"/>
  <c r="AD212" i="14"/>
  <c r="T212" i="14"/>
  <c r="AE260" i="14"/>
  <c r="AF260" i="14" s="1"/>
  <c r="AD260" i="14"/>
  <c r="T260" i="14"/>
  <c r="AE210" i="14"/>
  <c r="AF210" i="14" s="1"/>
  <c r="AD210" i="14"/>
  <c r="T210" i="14"/>
  <c r="AE197" i="14"/>
  <c r="AF197" i="14" s="1"/>
  <c r="AD197" i="14"/>
  <c r="T197" i="14"/>
  <c r="AE195" i="14"/>
  <c r="AF195" i="14" s="1"/>
  <c r="AD195" i="14"/>
  <c r="T195" i="14"/>
  <c r="AE207" i="14"/>
  <c r="AF207" i="14" s="1"/>
  <c r="AD207" i="14"/>
  <c r="T207" i="14"/>
  <c r="AE193" i="14"/>
  <c r="AF193" i="14" s="1"/>
  <c r="AD193" i="14"/>
  <c r="T193" i="14"/>
  <c r="AE205" i="14"/>
  <c r="AF205" i="14" s="1"/>
  <c r="AD205" i="14"/>
  <c r="T205" i="14"/>
  <c r="AE188" i="14"/>
  <c r="AF188" i="14" s="1"/>
  <c r="AD188" i="14"/>
  <c r="T188" i="14"/>
  <c r="AE180" i="14"/>
  <c r="AF180" i="14" s="1"/>
  <c r="AD180" i="14"/>
  <c r="T180" i="14"/>
  <c r="AE178" i="14"/>
  <c r="AF178" i="14" s="1"/>
  <c r="AD178" i="14"/>
  <c r="T178" i="14"/>
  <c r="AE201" i="14"/>
  <c r="AF201" i="14" s="1"/>
  <c r="AD201" i="14"/>
  <c r="T201" i="14"/>
  <c r="AE177" i="14"/>
  <c r="AF177" i="14" s="1"/>
  <c r="AD177" i="14"/>
  <c r="T177" i="14"/>
  <c r="AE172" i="14"/>
  <c r="AF172" i="14" s="1"/>
  <c r="AD172" i="14"/>
  <c r="T172" i="14"/>
  <c r="AE169" i="14"/>
  <c r="AF169" i="14" s="1"/>
  <c r="AD169" i="14"/>
  <c r="T169" i="14"/>
  <c r="AE168" i="14"/>
  <c r="AF168" i="14" s="1"/>
  <c r="AD168" i="14"/>
  <c r="T168" i="14"/>
  <c r="AE131" i="14"/>
  <c r="AF131" i="14" s="1"/>
  <c r="AD131" i="14"/>
  <c r="T131" i="14"/>
  <c r="AE167" i="14"/>
  <c r="AF167" i="14" s="1"/>
  <c r="AD167" i="14"/>
  <c r="T167" i="14"/>
  <c r="AE179" i="14"/>
  <c r="AF179" i="14" s="1"/>
  <c r="AD179" i="14"/>
  <c r="T179" i="14"/>
  <c r="AE166" i="14"/>
  <c r="AF166" i="14" s="1"/>
  <c r="AD166" i="14"/>
  <c r="T166" i="14"/>
  <c r="AE176" i="14"/>
  <c r="AF176" i="14" s="1"/>
  <c r="AD176" i="14"/>
  <c r="T176" i="14"/>
  <c r="AE259" i="14"/>
  <c r="AF259" i="14" s="1"/>
  <c r="AD259" i="14"/>
  <c r="T259" i="14"/>
  <c r="AE236" i="14"/>
  <c r="AF236" i="14" s="1"/>
  <c r="AD236" i="14"/>
  <c r="T236" i="14"/>
  <c r="AE257" i="14"/>
  <c r="AF257" i="14" s="1"/>
  <c r="AD257" i="14"/>
  <c r="T257" i="14"/>
  <c r="AE286" i="14"/>
  <c r="AF286" i="14" s="1"/>
  <c r="AD286" i="14"/>
  <c r="T286" i="14"/>
  <c r="AE130" i="14"/>
  <c r="AF130" i="14" s="1"/>
  <c r="AD130" i="14"/>
  <c r="T130" i="14"/>
  <c r="AE19" i="14"/>
  <c r="AF19" i="14" s="1"/>
  <c r="AD19" i="14"/>
  <c r="T19" i="14"/>
  <c r="AE150" i="14"/>
  <c r="AF150" i="14" s="1"/>
  <c r="AD150" i="14"/>
  <c r="T150" i="14"/>
  <c r="AE235" i="14"/>
  <c r="AF235" i="14" s="1"/>
  <c r="AD235" i="14"/>
  <c r="T235" i="14"/>
  <c r="AE175" i="14"/>
  <c r="AF175" i="14" s="1"/>
  <c r="AD175" i="14"/>
  <c r="T175" i="14"/>
  <c r="AE211" i="14"/>
  <c r="AF211" i="14" s="1"/>
  <c r="AD211" i="14"/>
  <c r="T211" i="14"/>
  <c r="AE234" i="14"/>
  <c r="AF234" i="14" s="1"/>
  <c r="AD234" i="14"/>
  <c r="T234" i="14"/>
  <c r="AE165" i="14"/>
  <c r="AF165" i="14" s="1"/>
  <c r="AD165" i="14"/>
  <c r="T165" i="14"/>
  <c r="AE233" i="14"/>
  <c r="AF233" i="14" s="1"/>
  <c r="AD233" i="14"/>
  <c r="T233" i="14"/>
  <c r="AE164" i="14"/>
  <c r="AF164" i="14" s="1"/>
  <c r="AD164" i="14"/>
  <c r="T164" i="14"/>
  <c r="AE163" i="14"/>
  <c r="AF163" i="14" s="1"/>
  <c r="AD163" i="14"/>
  <c r="T163" i="14"/>
  <c r="AE253" i="14"/>
  <c r="AF253" i="14" s="1"/>
  <c r="AD253" i="14"/>
  <c r="T253" i="14"/>
  <c r="AE232" i="14"/>
  <c r="AF232" i="14" s="1"/>
  <c r="AD232" i="14"/>
  <c r="T232" i="14"/>
  <c r="AE59" i="14"/>
  <c r="AF59" i="14" s="1"/>
  <c r="AD59" i="14"/>
  <c r="T59" i="14"/>
  <c r="AE37" i="14"/>
  <c r="AF37" i="14" s="1"/>
  <c r="AD37" i="14"/>
  <c r="T37" i="14"/>
  <c r="AE162" i="14"/>
  <c r="AF162" i="14" s="1"/>
  <c r="AD162" i="14"/>
  <c r="T162" i="14"/>
  <c r="AE171" i="14"/>
  <c r="AF171" i="14" s="1"/>
  <c r="AD171" i="14"/>
  <c r="T171" i="14"/>
  <c r="AE170" i="14"/>
  <c r="AF170" i="14" s="1"/>
  <c r="AD170" i="14"/>
  <c r="T170" i="14"/>
  <c r="AE157" i="14"/>
  <c r="AF157" i="14" s="1"/>
  <c r="AD157" i="14"/>
  <c r="T157" i="14"/>
  <c r="AE155" i="14"/>
  <c r="AF155" i="14" s="1"/>
  <c r="AD155" i="14"/>
  <c r="T155" i="14"/>
  <c r="AE154" i="14"/>
  <c r="AF154" i="14" s="1"/>
  <c r="AD154" i="14"/>
  <c r="T154" i="14"/>
  <c r="AE151" i="14"/>
  <c r="AF151" i="14" s="1"/>
  <c r="AD151" i="14"/>
  <c r="T151" i="14"/>
  <c r="AE149" i="14"/>
  <c r="AF149" i="14" s="1"/>
  <c r="AD149" i="14"/>
  <c r="T149" i="14"/>
  <c r="AE147" i="14"/>
  <c r="AF147" i="14" s="1"/>
  <c r="AD147" i="14"/>
  <c r="T147" i="14"/>
  <c r="AE142" i="14"/>
  <c r="AF142" i="14" s="1"/>
  <c r="AD142" i="14"/>
  <c r="T142" i="14"/>
  <c r="AE141" i="14"/>
  <c r="AF141" i="14" s="1"/>
  <c r="AD141" i="14"/>
  <c r="T141" i="14"/>
  <c r="AE88" i="14"/>
  <c r="AF88" i="14" s="1"/>
  <c r="AD88" i="14"/>
  <c r="T88" i="14"/>
  <c r="AE85" i="14"/>
  <c r="AF85" i="14" s="1"/>
  <c r="AD85" i="14"/>
  <c r="T85" i="14"/>
  <c r="AE86" i="14"/>
  <c r="AF86" i="14" s="1"/>
  <c r="AD86" i="14"/>
  <c r="T86" i="14"/>
  <c r="AE89" i="14"/>
  <c r="AF89" i="14" s="1"/>
  <c r="AD89" i="14"/>
  <c r="T89" i="14"/>
  <c r="AE140" i="14"/>
  <c r="AF140" i="14" s="1"/>
  <c r="AD140" i="14"/>
  <c r="T140" i="14"/>
  <c r="AE139" i="14"/>
  <c r="AF139" i="14" s="1"/>
  <c r="AD139" i="14"/>
  <c r="T139" i="14"/>
  <c r="AE156" i="14"/>
  <c r="AF156" i="14" s="1"/>
  <c r="AD156" i="14"/>
  <c r="T156" i="14"/>
  <c r="AE138" i="14"/>
  <c r="AF138" i="14" s="1"/>
  <c r="AD138" i="14"/>
  <c r="T138" i="14"/>
  <c r="AE105" i="14"/>
  <c r="AF105" i="14" s="1"/>
  <c r="AD105" i="14"/>
  <c r="T105" i="14"/>
  <c r="AE137" i="14"/>
  <c r="AF137" i="14" s="1"/>
  <c r="AD137" i="14"/>
  <c r="T137" i="14"/>
  <c r="AE96" i="14"/>
  <c r="AF96" i="14" s="1"/>
  <c r="AD96" i="14"/>
  <c r="T96" i="14"/>
  <c r="AE99" i="14"/>
  <c r="AF99" i="14" s="1"/>
  <c r="AD99" i="14"/>
  <c r="T99" i="14"/>
  <c r="AE152" i="14"/>
  <c r="AF152" i="14" s="1"/>
  <c r="AD152" i="14"/>
  <c r="T152" i="14"/>
  <c r="AE94" i="14"/>
  <c r="AF94" i="14" s="1"/>
  <c r="AD94" i="14"/>
  <c r="T94" i="14"/>
  <c r="AE135" i="14"/>
  <c r="AF135" i="14" s="1"/>
  <c r="AD135" i="14"/>
  <c r="T135" i="14"/>
  <c r="AE98" i="14"/>
  <c r="AF98" i="14" s="1"/>
  <c r="AD98" i="14"/>
  <c r="T98" i="14"/>
  <c r="AE97" i="14"/>
  <c r="AF97" i="14" s="1"/>
  <c r="AD97" i="14"/>
  <c r="T97" i="14"/>
  <c r="AE95" i="14"/>
  <c r="AF95" i="14" s="1"/>
  <c r="AD95" i="14"/>
  <c r="T95" i="14"/>
  <c r="AE92" i="14"/>
  <c r="AF92" i="14" s="1"/>
  <c r="AD92" i="14"/>
  <c r="T92" i="14"/>
  <c r="AE134" i="14"/>
  <c r="AF134" i="14" s="1"/>
  <c r="AD134" i="14"/>
  <c r="T134" i="14"/>
  <c r="AE133" i="14"/>
  <c r="AF133" i="14" s="1"/>
  <c r="AD133" i="14"/>
  <c r="T133" i="14"/>
  <c r="AE128" i="14"/>
  <c r="AF128" i="14" s="1"/>
  <c r="AD128" i="14"/>
  <c r="T128" i="14"/>
  <c r="AE127" i="14"/>
  <c r="AF127" i="14" s="1"/>
  <c r="AD127" i="14"/>
  <c r="T127" i="14"/>
  <c r="AE126" i="14"/>
  <c r="AF126" i="14" s="1"/>
  <c r="AD126" i="14"/>
  <c r="T126" i="14"/>
  <c r="AE125" i="14"/>
  <c r="AF125" i="14" s="1"/>
  <c r="AD125" i="14"/>
  <c r="T125" i="14"/>
  <c r="AE124" i="14"/>
  <c r="AF124" i="14" s="1"/>
  <c r="AD124" i="14"/>
  <c r="T124" i="14"/>
  <c r="AE281" i="14"/>
  <c r="AF281" i="14" s="1"/>
  <c r="AD281" i="14"/>
  <c r="T281" i="14"/>
  <c r="AE123" i="14"/>
  <c r="AF123" i="14" s="1"/>
  <c r="AD123" i="14"/>
  <c r="T123" i="14"/>
  <c r="AE122" i="14"/>
  <c r="AF122" i="14" s="1"/>
  <c r="AD122" i="14"/>
  <c r="T122" i="14"/>
  <c r="AE93" i="14"/>
  <c r="AF93" i="14" s="1"/>
  <c r="AD93" i="14"/>
  <c r="T93" i="14"/>
  <c r="T60" i="14"/>
  <c r="AE116" i="14"/>
  <c r="AF116" i="14" s="1"/>
  <c r="AD116" i="14"/>
  <c r="T116" i="14"/>
  <c r="AE183" i="14"/>
  <c r="AF183" i="14" s="1"/>
  <c r="AD183" i="14"/>
  <c r="T183" i="14"/>
  <c r="AE121" i="14"/>
  <c r="AF121" i="14" s="1"/>
  <c r="AD121" i="14"/>
  <c r="T121" i="14"/>
  <c r="AE120" i="14"/>
  <c r="AF120" i="14" s="1"/>
  <c r="AD120" i="14"/>
  <c r="T120" i="14"/>
  <c r="AE119" i="14"/>
  <c r="AF119" i="14" s="1"/>
  <c r="AD119" i="14"/>
  <c r="T119" i="14"/>
  <c r="AE118" i="14"/>
  <c r="AF118" i="14" s="1"/>
  <c r="AD118" i="14"/>
  <c r="T118" i="14"/>
  <c r="AE117" i="14"/>
  <c r="AF117" i="14" s="1"/>
  <c r="AD117" i="14"/>
  <c r="T117" i="14"/>
  <c r="AE114" i="14"/>
  <c r="AF114" i="14" s="1"/>
  <c r="AD114" i="14"/>
  <c r="T114" i="14"/>
  <c r="AE113" i="14"/>
  <c r="AF113" i="14" s="1"/>
  <c r="AD113" i="14"/>
  <c r="T113" i="14"/>
  <c r="AE111" i="14"/>
  <c r="AF111" i="14" s="1"/>
  <c r="AD111" i="14"/>
  <c r="T111" i="14"/>
  <c r="AE108" i="14"/>
  <c r="AF108" i="14" s="1"/>
  <c r="AD108" i="14"/>
  <c r="T108" i="14"/>
  <c r="AE104" i="14"/>
  <c r="AF104" i="14" s="1"/>
  <c r="AD104" i="14"/>
  <c r="T104" i="14"/>
  <c r="AE102" i="14"/>
  <c r="AF102" i="14" s="1"/>
  <c r="AD102" i="14"/>
  <c r="T102" i="14"/>
  <c r="AE90" i="14"/>
  <c r="AF90" i="14" s="1"/>
  <c r="AD90" i="14"/>
  <c r="T90" i="14"/>
  <c r="AE182" i="14"/>
  <c r="AF182" i="14" s="1"/>
  <c r="AD182" i="14"/>
  <c r="T182" i="14"/>
  <c r="AE191" i="14"/>
  <c r="AF191" i="14" s="1"/>
  <c r="AD191" i="14"/>
  <c r="T191" i="14"/>
  <c r="AE279" i="14"/>
  <c r="AF279" i="14" s="1"/>
  <c r="AD279" i="14"/>
  <c r="T279" i="14"/>
  <c r="AE81" i="14"/>
  <c r="AF81" i="14" s="1"/>
  <c r="AD81" i="14"/>
  <c r="T81" i="14"/>
  <c r="AE106" i="14"/>
  <c r="AF106" i="14" s="1"/>
  <c r="AD106" i="14"/>
  <c r="T106" i="14"/>
  <c r="AE80" i="14"/>
  <c r="AF80" i="14" s="1"/>
  <c r="AD80" i="14"/>
  <c r="T80" i="14"/>
  <c r="AE129" i="14"/>
  <c r="AF129" i="14" s="1"/>
  <c r="AD129" i="14"/>
  <c r="T129" i="14"/>
  <c r="AE132" i="14"/>
  <c r="AF132" i="14" s="1"/>
  <c r="AD132" i="14"/>
  <c r="T132" i="14"/>
  <c r="AE79" i="14"/>
  <c r="AF79" i="14" s="1"/>
  <c r="AD79" i="14"/>
  <c r="T79" i="14"/>
  <c r="AE115" i="14"/>
  <c r="AF115" i="14" s="1"/>
  <c r="AD115" i="14"/>
  <c r="T115" i="14"/>
  <c r="AE174" i="14"/>
  <c r="AF174" i="14" s="1"/>
  <c r="AD174" i="14"/>
  <c r="T174" i="14"/>
  <c r="AE76" i="14"/>
  <c r="AF76" i="14" s="1"/>
  <c r="AD76" i="14"/>
  <c r="T76" i="14"/>
  <c r="AE78" i="14"/>
  <c r="AF78" i="14" s="1"/>
  <c r="AD78" i="14"/>
  <c r="T78" i="14"/>
  <c r="AE251" i="14"/>
  <c r="AF251" i="14" s="1"/>
  <c r="AD251" i="14"/>
  <c r="T251" i="14"/>
  <c r="AE77" i="14"/>
  <c r="AF77" i="14" s="1"/>
  <c r="AD77" i="14"/>
  <c r="T77" i="14"/>
  <c r="AE250" i="14"/>
  <c r="AF250" i="14" s="1"/>
  <c r="AD250" i="14"/>
  <c r="T250" i="14"/>
  <c r="AE50" i="14"/>
  <c r="AF50" i="14" s="1"/>
  <c r="AD50" i="14"/>
  <c r="T50" i="14"/>
  <c r="AE249" i="14"/>
  <c r="AF249" i="14" s="1"/>
  <c r="AD249" i="14"/>
  <c r="T249" i="14"/>
  <c r="AE231" i="14"/>
  <c r="AF231" i="14" s="1"/>
  <c r="AD231" i="14"/>
  <c r="T231" i="14"/>
  <c r="AE187" i="14"/>
  <c r="AF187" i="14" s="1"/>
  <c r="AD187" i="14"/>
  <c r="T187" i="14"/>
  <c r="AE230" i="14"/>
  <c r="AF230" i="14" s="1"/>
  <c r="AD230" i="14"/>
  <c r="T230" i="14"/>
  <c r="AE161" i="14"/>
  <c r="AF161" i="14" s="1"/>
  <c r="AD161" i="14"/>
  <c r="T161" i="14"/>
  <c r="AE229" i="14"/>
  <c r="AF229" i="14" s="1"/>
  <c r="AD229" i="14"/>
  <c r="T229" i="14"/>
  <c r="AE48" i="14"/>
  <c r="AF48" i="14" s="1"/>
  <c r="AD48" i="14"/>
  <c r="T48" i="14"/>
  <c r="AE245" i="14"/>
  <c r="AF245" i="14" s="1"/>
  <c r="AD245" i="14"/>
  <c r="T245" i="14"/>
  <c r="AE228" i="14"/>
  <c r="AF228" i="14" s="1"/>
  <c r="AD228" i="14"/>
  <c r="T228" i="14"/>
  <c r="AE75" i="14"/>
  <c r="AF75" i="14" s="1"/>
  <c r="AD75" i="14"/>
  <c r="T75" i="14"/>
  <c r="AE159" i="14"/>
  <c r="AF159" i="14" s="1"/>
  <c r="AD159" i="14"/>
  <c r="T159" i="14"/>
  <c r="AE153" i="14"/>
  <c r="AF153" i="14" s="1"/>
  <c r="AD153" i="14"/>
  <c r="T153" i="14"/>
  <c r="AE136" i="14"/>
  <c r="AF136" i="14" s="1"/>
  <c r="AD136" i="14"/>
  <c r="T136" i="14"/>
  <c r="AE87" i="14"/>
  <c r="AF87" i="14" s="1"/>
  <c r="AD87" i="14"/>
  <c r="T87" i="14"/>
  <c r="AE196" i="14"/>
  <c r="AF196" i="14" s="1"/>
  <c r="AD196" i="14"/>
  <c r="T196" i="14"/>
  <c r="AE112" i="14"/>
  <c r="AF112" i="14" s="1"/>
  <c r="AD112" i="14"/>
  <c r="T112" i="14"/>
  <c r="AE145" i="14"/>
  <c r="AF145" i="14" s="1"/>
  <c r="AD145" i="14"/>
  <c r="T145" i="14"/>
  <c r="AE160" i="14"/>
  <c r="AF160" i="14" s="1"/>
  <c r="AD160" i="14"/>
  <c r="T160" i="14"/>
  <c r="AE74" i="14"/>
  <c r="AF74" i="14" s="1"/>
  <c r="AD74" i="14"/>
  <c r="T74" i="14"/>
  <c r="AE73" i="14"/>
  <c r="AF73" i="14" s="1"/>
  <c r="AD73" i="14"/>
  <c r="T73" i="14"/>
  <c r="AE72" i="14"/>
  <c r="AF72" i="14" s="1"/>
  <c r="AD72" i="14"/>
  <c r="T72" i="14"/>
  <c r="AE71" i="14"/>
  <c r="AF71" i="14" s="1"/>
  <c r="AD71" i="14"/>
  <c r="T71" i="14"/>
  <c r="AE70" i="14"/>
  <c r="AF70" i="14" s="1"/>
  <c r="AD70" i="14"/>
  <c r="T70" i="14"/>
  <c r="AE184" i="14"/>
  <c r="AF184" i="14" s="1"/>
  <c r="AD184" i="14"/>
  <c r="T184" i="14"/>
  <c r="AE69" i="14"/>
  <c r="AF69" i="14" s="1"/>
  <c r="AD69" i="14"/>
  <c r="T69" i="14"/>
  <c r="AE68" i="14"/>
  <c r="AF68" i="14" s="1"/>
  <c r="AD68" i="14"/>
  <c r="T68" i="14"/>
  <c r="AE64" i="14"/>
  <c r="AF64" i="14" s="1"/>
  <c r="AD64" i="14"/>
  <c r="T64" i="14"/>
  <c r="AE63" i="14"/>
  <c r="AF63" i="14" s="1"/>
  <c r="AD63" i="14"/>
  <c r="T63" i="14"/>
  <c r="AE58" i="14"/>
  <c r="AF58" i="14" s="1"/>
  <c r="AD58" i="14"/>
  <c r="T58" i="14"/>
  <c r="AE56" i="14"/>
  <c r="AF56" i="14" s="1"/>
  <c r="AD56" i="14"/>
  <c r="T56" i="14"/>
  <c r="AE55" i="14"/>
  <c r="AF55" i="14" s="1"/>
  <c r="AD55" i="14"/>
  <c r="T55" i="14"/>
  <c r="AE54" i="14"/>
  <c r="AF54" i="14" s="1"/>
  <c r="AD54" i="14"/>
  <c r="T54" i="14"/>
  <c r="AE67" i="14"/>
  <c r="AF67" i="14" s="1"/>
  <c r="AD67" i="14"/>
  <c r="T67" i="14"/>
  <c r="AE66" i="14"/>
  <c r="AF66" i="14" s="1"/>
  <c r="AD66" i="14"/>
  <c r="T66" i="14"/>
  <c r="AE65" i="14"/>
  <c r="AF65" i="14" s="1"/>
  <c r="AD65" i="14"/>
  <c r="T65" i="14"/>
  <c r="AE53" i="14"/>
  <c r="AF53" i="14" s="1"/>
  <c r="AD53" i="14"/>
  <c r="T53" i="14"/>
  <c r="AE52" i="14"/>
  <c r="AF52" i="14" s="1"/>
  <c r="AD52" i="14"/>
  <c r="T52" i="14"/>
  <c r="AE62" i="14"/>
  <c r="AF62" i="14" s="1"/>
  <c r="AD62" i="14"/>
  <c r="T62" i="14"/>
  <c r="AE186" i="14"/>
  <c r="AF186" i="14" s="1"/>
  <c r="AD186" i="14"/>
  <c r="T186" i="14"/>
  <c r="AE185" i="14"/>
  <c r="AF185" i="14" s="1"/>
  <c r="AD185" i="14"/>
  <c r="T185" i="14"/>
  <c r="AE226" i="14"/>
  <c r="AF226" i="14" s="1"/>
  <c r="AD226" i="14"/>
  <c r="T226" i="14"/>
  <c r="AE51" i="14"/>
  <c r="AF51" i="14" s="1"/>
  <c r="AD51" i="14"/>
  <c r="T51" i="14"/>
  <c r="AE242" i="14"/>
  <c r="AF242" i="14" s="1"/>
  <c r="AD242" i="14"/>
  <c r="T242" i="14"/>
  <c r="AE57" i="14"/>
  <c r="AF57" i="14" s="1"/>
  <c r="AD57" i="14"/>
  <c r="T57" i="14"/>
  <c r="AE49" i="14"/>
  <c r="AF49" i="14" s="1"/>
  <c r="AD49" i="14"/>
  <c r="T49" i="14"/>
  <c r="AE45" i="14"/>
  <c r="AF45" i="14" s="1"/>
  <c r="AD45" i="14"/>
  <c r="T45" i="14"/>
  <c r="AE44" i="14"/>
  <c r="AF44" i="14" s="1"/>
  <c r="AD44" i="14"/>
  <c r="T44" i="14"/>
  <c r="AE43" i="14"/>
  <c r="AF43" i="14" s="1"/>
  <c r="AD43" i="14"/>
  <c r="T43" i="14"/>
  <c r="AE42" i="14"/>
  <c r="AF42" i="14" s="1"/>
  <c r="AD42" i="14"/>
  <c r="T42" i="14"/>
  <c r="AE41" i="14"/>
  <c r="AF41" i="14" s="1"/>
  <c r="AD41" i="14"/>
  <c r="T41" i="14"/>
  <c r="AE278" i="14"/>
  <c r="AF278" i="14" s="1"/>
  <c r="AD278" i="14"/>
  <c r="T278" i="14"/>
  <c r="AE91" i="14"/>
  <c r="AF91" i="14" s="1"/>
  <c r="AD91" i="14"/>
  <c r="T91" i="14"/>
  <c r="AE47" i="14"/>
  <c r="AF47" i="14" s="1"/>
  <c r="AD47" i="14"/>
  <c r="T47" i="14"/>
  <c r="AE143" i="14"/>
  <c r="AF143" i="14" s="1"/>
  <c r="AD143" i="14"/>
  <c r="T143" i="14"/>
  <c r="AE274" i="14"/>
  <c r="AF274" i="14" s="1"/>
  <c r="AD274" i="14"/>
  <c r="T274" i="14"/>
  <c r="AE40" i="14"/>
  <c r="AF40" i="14" s="1"/>
  <c r="AD40" i="14"/>
  <c r="T40" i="14"/>
  <c r="AE273" i="14"/>
  <c r="AF273" i="14" s="1"/>
  <c r="AD273" i="14"/>
  <c r="T273" i="14"/>
  <c r="AE272" i="14"/>
  <c r="AF272" i="14" s="1"/>
  <c r="AD272" i="14"/>
  <c r="T272" i="14"/>
  <c r="AE271" i="14"/>
  <c r="AF271" i="14" s="1"/>
  <c r="AD271" i="14"/>
  <c r="T271" i="14"/>
  <c r="AE39" i="14"/>
  <c r="AF39" i="14" s="1"/>
  <c r="AD39" i="14"/>
  <c r="T39" i="14"/>
  <c r="AE35" i="14"/>
  <c r="AF35" i="14" s="1"/>
  <c r="AD35" i="14"/>
  <c r="T35" i="14"/>
  <c r="AE224" i="14"/>
  <c r="AF224" i="14" s="1"/>
  <c r="AD224" i="14"/>
  <c r="T224" i="14"/>
  <c r="AE146" i="14"/>
  <c r="AF146" i="14" s="1"/>
  <c r="AD146" i="14"/>
  <c r="T146" i="14"/>
  <c r="AE213" i="14"/>
  <c r="AF213" i="14" s="1"/>
  <c r="AD213" i="14"/>
  <c r="T213" i="14"/>
  <c r="AE34" i="14"/>
  <c r="AF34" i="14" s="1"/>
  <c r="AD34" i="14"/>
  <c r="T34" i="14"/>
  <c r="AE33" i="14"/>
  <c r="AF33" i="14" s="1"/>
  <c r="AD33" i="14"/>
  <c r="T33" i="14"/>
  <c r="AE32" i="14"/>
  <c r="AF32" i="14" s="1"/>
  <c r="AD32" i="14"/>
  <c r="T32" i="14"/>
  <c r="AE31" i="14"/>
  <c r="AF31" i="14" s="1"/>
  <c r="AD31" i="14"/>
  <c r="T31" i="14"/>
  <c r="AE30" i="14"/>
  <c r="AF30" i="14" s="1"/>
  <c r="T30" i="14"/>
  <c r="AE29" i="14"/>
  <c r="AF29" i="14" s="1"/>
  <c r="AD29" i="14"/>
  <c r="T29" i="14"/>
  <c r="AE27" i="14"/>
  <c r="AF27" i="14" s="1"/>
  <c r="AD27" i="14"/>
  <c r="T27" i="14"/>
  <c r="AE28" i="14"/>
  <c r="AF28" i="14" s="1"/>
  <c r="AD28" i="14"/>
  <c r="T28" i="14"/>
  <c r="AE26" i="14"/>
  <c r="AF26" i="14" s="1"/>
  <c r="AD26" i="14"/>
  <c r="T26" i="14"/>
  <c r="AE25" i="14"/>
  <c r="AF25" i="14" s="1"/>
  <c r="AD25" i="14"/>
  <c r="T25" i="14"/>
  <c r="AE23" i="14"/>
  <c r="AF23" i="14" s="1"/>
  <c r="AD23" i="14"/>
  <c r="T23" i="14"/>
  <c r="AE24" i="14"/>
  <c r="AF24" i="14" s="1"/>
  <c r="AD24" i="14"/>
  <c r="T24" i="14"/>
  <c r="AE22" i="14"/>
  <c r="AF22" i="14" s="1"/>
  <c r="AD22" i="14"/>
  <c r="T22" i="14"/>
  <c r="AE21" i="14"/>
  <c r="AF21" i="14" s="1"/>
  <c r="AD21" i="14"/>
  <c r="T21" i="14"/>
  <c r="AE20" i="14"/>
  <c r="AF20" i="14" s="1"/>
  <c r="AD20" i="14"/>
  <c r="T20" i="14"/>
  <c r="AE18" i="14"/>
  <c r="AF18" i="14" s="1"/>
  <c r="AD18" i="14"/>
  <c r="T18" i="14"/>
  <c r="AE144" i="14"/>
  <c r="AF144" i="14" s="1"/>
  <c r="AD144" i="14"/>
  <c r="T144" i="14"/>
  <c r="AE17" i="14"/>
  <c r="AF17" i="14" s="1"/>
  <c r="AD17" i="14"/>
  <c r="T17" i="14"/>
  <c r="AE270" i="14"/>
  <c r="AF270" i="14" s="1"/>
  <c r="AD270" i="14"/>
  <c r="T270" i="14"/>
  <c r="AE16" i="14"/>
  <c r="AF16" i="14" s="1"/>
  <c r="AD16" i="14"/>
  <c r="T16" i="14"/>
  <c r="AE15" i="14"/>
  <c r="AF15" i="14" s="1"/>
  <c r="AD15" i="14"/>
  <c r="T15" i="14"/>
  <c r="AE14" i="14"/>
  <c r="AF14" i="14" s="1"/>
  <c r="AD14" i="14"/>
  <c r="T14" i="14"/>
  <c r="AE13" i="14"/>
  <c r="AF13" i="14" s="1"/>
  <c r="AD13" i="14"/>
  <c r="T13" i="14"/>
  <c r="AE12" i="14"/>
  <c r="AF12" i="14" s="1"/>
  <c r="AD12" i="14"/>
  <c r="T12" i="14"/>
  <c r="AE11" i="14"/>
  <c r="AF11" i="14" s="1"/>
  <c r="AD11" i="14"/>
  <c r="T11" i="14"/>
  <c r="AE10" i="14"/>
  <c r="AF10" i="14" s="1"/>
  <c r="AD10" i="14"/>
  <c r="T10" i="14"/>
  <c r="AE9" i="14"/>
  <c r="AF9" i="14" s="1"/>
  <c r="AD9" i="14"/>
  <c r="T9" i="14"/>
  <c r="AE8" i="14"/>
  <c r="AF8" i="14" s="1"/>
  <c r="AD8" i="14"/>
  <c r="T8" i="14"/>
  <c r="AE7" i="14"/>
  <c r="AF7" i="14" s="1"/>
  <c r="AD7" i="14"/>
  <c r="T7" i="14"/>
  <c r="AE6" i="14"/>
  <c r="AF6" i="14" s="1"/>
  <c r="AD6" i="14"/>
  <c r="T6" i="14"/>
  <c r="AD5" i="14"/>
  <c r="T5" i="14"/>
  <c r="AC9" i="20"/>
  <c r="AE13" i="20"/>
  <c r="AE14" i="20"/>
  <c r="AD9" i="20"/>
  <c r="AC15" i="20"/>
  <c r="AC16" i="20"/>
  <c r="AE16" i="20"/>
  <c r="AE19" i="20"/>
  <c r="AC19" i="20"/>
  <c r="AC18" i="20"/>
  <c r="AC11" i="20"/>
  <c r="AD6" i="20"/>
  <c r="AD10" i="20"/>
  <c r="AD12" i="20"/>
  <c r="AC10" i="20"/>
  <c r="AE9" i="20"/>
  <c r="AC12" i="20"/>
  <c r="AD13" i="20"/>
  <c r="AD18" i="20"/>
  <c r="AD16" i="20"/>
  <c r="AE12" i="20"/>
  <c r="AD11" i="20"/>
  <c r="AD19" i="20"/>
  <c r="AD17" i="20"/>
  <c r="AE15" i="20"/>
  <c r="AC14" i="20"/>
  <c r="AD15" i="20"/>
  <c r="AE18" i="20"/>
  <c r="AC13" i="20"/>
  <c r="AE11" i="20"/>
  <c r="AC6" i="20"/>
  <c r="AN30" i="94"/>
  <c r="AJ70" i="94"/>
  <c r="AO70" i="94" s="1"/>
  <c r="E26" i="62"/>
  <c r="F26" i="62"/>
  <c r="G48" i="94"/>
  <c r="CD3" i="62"/>
  <c r="CD8" i="62"/>
  <c r="CD2" i="62"/>
  <c r="CD7" i="62"/>
  <c r="CD6" i="62"/>
  <c r="C11" i="62"/>
  <c r="C10" i="62"/>
  <c r="C13" i="62"/>
  <c r="D20" i="62"/>
  <c r="C28" i="62"/>
  <c r="D28" i="62"/>
  <c r="D27" i="62"/>
  <c r="D18" i="62"/>
  <c r="D10" i="62"/>
  <c r="C24" i="62"/>
  <c r="D14" i="62"/>
  <c r="C16" i="62"/>
  <c r="C21" i="62"/>
  <c r="D24" i="62"/>
  <c r="D16" i="62"/>
  <c r="C26" i="62"/>
  <c r="C19" i="62"/>
  <c r="D26" i="62"/>
  <c r="D11" i="62"/>
  <c r="D21" i="62"/>
  <c r="C25" i="62"/>
  <c r="D19" i="62"/>
  <c r="C17" i="62"/>
  <c r="C22" i="62"/>
  <c r="C14" i="62"/>
  <c r="C12" i="62"/>
  <c r="D17" i="62"/>
  <c r="D23" i="62"/>
  <c r="D22" i="62"/>
  <c r="C15" i="62"/>
  <c r="C18" i="62"/>
  <c r="D25" i="62"/>
  <c r="C23" i="62"/>
  <c r="C20" i="62"/>
  <c r="C29" i="62"/>
  <c r="C27" i="62"/>
  <c r="D29" i="62"/>
  <c r="D12" i="62"/>
  <c r="D15" i="62"/>
  <c r="D13" i="62"/>
  <c r="AB11" i="43"/>
  <c r="AB17" i="43"/>
  <c r="AB16" i="43"/>
  <c r="AB10" i="43"/>
  <c r="AB19" i="43"/>
  <c r="AB15" i="43"/>
  <c r="AB14" i="43"/>
  <c r="AB13" i="43"/>
  <c r="AB18" i="43"/>
  <c r="AB12" i="43"/>
  <c r="AI25" i="66" l="1"/>
  <c r="G132" i="86"/>
  <c r="J132" i="86" s="1"/>
  <c r="AG45" i="19"/>
  <c r="AG46" i="19" s="1"/>
  <c r="E14" i="62"/>
  <c r="AF45" i="19"/>
  <c r="AF46" i="19" s="1"/>
  <c r="E12" i="62"/>
  <c r="F18" i="62"/>
  <c r="E25" i="62"/>
  <c r="F10" i="62"/>
  <c r="E15" i="62"/>
  <c r="F15" i="62"/>
  <c r="Y107" i="19"/>
  <c r="AE154" i="19"/>
  <c r="Z157" i="19"/>
  <c r="AC154" i="19"/>
  <c r="AC157" i="19" s="1"/>
  <c r="X157" i="19"/>
  <c r="AF154" i="19"/>
  <c r="AF157" i="19" s="1"/>
  <c r="AA157" i="19"/>
  <c r="AD154" i="19"/>
  <c r="AD157" i="19" s="1"/>
  <c r="Y157" i="19"/>
  <c r="AG154" i="19"/>
  <c r="AG157" i="19" s="1"/>
  <c r="AB157" i="19"/>
  <c r="I62" i="86"/>
  <c r="G95" i="86"/>
  <c r="J95" i="86" s="1"/>
  <c r="G9" i="86"/>
  <c r="J9" i="86" s="1"/>
  <c r="H72" i="86"/>
  <c r="H124" i="86"/>
  <c r="K124" i="86" s="1"/>
  <c r="G135" i="86"/>
  <c r="J135" i="86" s="1"/>
  <c r="H38" i="86"/>
  <c r="I33" i="86"/>
  <c r="H138" i="86"/>
  <c r="H48" i="94"/>
  <c r="I115" i="86"/>
  <c r="L115" i="86" s="1"/>
  <c r="I39" i="86"/>
  <c r="H82" i="86"/>
  <c r="K82" i="86" s="1"/>
  <c r="I118" i="86"/>
  <c r="L118" i="86" s="1"/>
  <c r="I4" i="86"/>
  <c r="L4" i="86" s="1"/>
  <c r="I25" i="86"/>
  <c r="G89" i="86"/>
  <c r="J89" i="86" s="1"/>
  <c r="Y21" i="66"/>
  <c r="H33" i="86"/>
  <c r="K33" i="86" s="1"/>
  <c r="G16" i="86"/>
  <c r="G14" i="86"/>
  <c r="J14" i="86" s="1"/>
  <c r="H55" i="86"/>
  <c r="K55" i="86" s="1"/>
  <c r="G49" i="86"/>
  <c r="G40" i="86"/>
  <c r="J40" i="86" s="1"/>
  <c r="G38" i="86"/>
  <c r="J38" i="86" s="1"/>
  <c r="G77" i="86"/>
  <c r="J77" i="86" s="1"/>
  <c r="H104" i="86"/>
  <c r="K104" i="86" s="1"/>
  <c r="G102" i="86"/>
  <c r="H105" i="86"/>
  <c r="K105" i="86" s="1"/>
  <c r="G133" i="86"/>
  <c r="J133" i="86" s="1"/>
  <c r="I141" i="86"/>
  <c r="L141" i="86" s="1"/>
  <c r="I151" i="86"/>
  <c r="G79" i="86"/>
  <c r="J79" i="86" s="1"/>
  <c r="G43" i="86"/>
  <c r="J43" i="86" s="1"/>
  <c r="G139" i="86"/>
  <c r="G56" i="86"/>
  <c r="G148" i="86"/>
  <c r="J148" i="86" s="1"/>
  <c r="G21" i="86"/>
  <c r="J21" i="86" s="1"/>
  <c r="G114" i="86"/>
  <c r="J114" i="86" s="1"/>
  <c r="H74" i="86"/>
  <c r="H81" i="86"/>
  <c r="K81" i="86" s="1"/>
  <c r="I51" i="86"/>
  <c r="L51" i="86" s="1"/>
  <c r="I94" i="86"/>
  <c r="L94" i="86" s="1"/>
  <c r="G53" i="86"/>
  <c r="J53" i="86" s="1"/>
  <c r="H130" i="86"/>
  <c r="K130" i="86" s="1"/>
  <c r="H103" i="86"/>
  <c r="K103" i="86" s="1"/>
  <c r="H10" i="86"/>
  <c r="K10" i="86" s="1"/>
  <c r="G111" i="86"/>
  <c r="J111" i="86" s="1"/>
  <c r="I157" i="86"/>
  <c r="L157" i="86" s="1"/>
  <c r="H153" i="86"/>
  <c r="K153" i="86" s="1"/>
  <c r="I161" i="86"/>
  <c r="L161" i="86" s="1"/>
  <c r="I23" i="86"/>
  <c r="L23" i="86" s="1"/>
  <c r="G99" i="86"/>
  <c r="J99" i="86" s="1"/>
  <c r="G15" i="86"/>
  <c r="J15" i="86" s="1"/>
  <c r="H31" i="86"/>
  <c r="K31" i="86" s="1"/>
  <c r="G26" i="86"/>
  <c r="H26" i="86"/>
  <c r="I109" i="86"/>
  <c r="L109" i="86" s="1"/>
  <c r="H63" i="86"/>
  <c r="K63" i="86" s="1"/>
  <c r="G66" i="86"/>
  <c r="J66" i="86" s="1"/>
  <c r="G63" i="86"/>
  <c r="J63" i="86" s="1"/>
  <c r="I68" i="86"/>
  <c r="L68" i="86" s="1"/>
  <c r="H157" i="86"/>
  <c r="G167" i="86"/>
  <c r="AB150" i="19"/>
  <c r="Y90" i="19"/>
  <c r="AB78" i="19"/>
  <c r="AB142" i="19"/>
  <c r="AG148" i="19"/>
  <c r="AG150" i="19" s="1"/>
  <c r="I148" i="86"/>
  <c r="L148" i="86" s="1"/>
  <c r="H4" i="86"/>
  <c r="K4" i="86" s="1"/>
  <c r="I14" i="86"/>
  <c r="I46" i="86"/>
  <c r="L46" i="86" s="1"/>
  <c r="G117" i="86"/>
  <c r="J117" i="86" s="1"/>
  <c r="H49" i="86"/>
  <c r="K49" i="86" s="1"/>
  <c r="G31" i="86"/>
  <c r="G52" i="86"/>
  <c r="J52" i="86" s="1"/>
  <c r="H113" i="86"/>
  <c r="K113" i="86" s="1"/>
  <c r="H84" i="86"/>
  <c r="K84" i="86" s="1"/>
  <c r="I80" i="86"/>
  <c r="I145" i="86"/>
  <c r="L145" i="86" s="1"/>
  <c r="G146" i="86"/>
  <c r="J146" i="86" s="1"/>
  <c r="I129" i="86"/>
  <c r="L129" i="86" s="1"/>
  <c r="H126" i="86"/>
  <c r="G22" i="86"/>
  <c r="J22" i="86" s="1"/>
  <c r="I160" i="86"/>
  <c r="L160" i="86" s="1"/>
  <c r="I139" i="86"/>
  <c r="L139" i="86" s="1"/>
  <c r="H5" i="86"/>
  <c r="K5" i="86" s="1"/>
  <c r="I165" i="86"/>
  <c r="L165" i="86" s="1"/>
  <c r="H100" i="86"/>
  <c r="K100" i="86" s="1"/>
  <c r="G97" i="86"/>
  <c r="J97" i="86" s="1"/>
  <c r="I8" i="86"/>
  <c r="H14" i="86"/>
  <c r="I7" i="86"/>
  <c r="L7" i="86" s="1"/>
  <c r="G3" i="86"/>
  <c r="I11" i="86"/>
  <c r="I2" i="86"/>
  <c r="H12" i="86"/>
  <c r="K12" i="86" s="1"/>
  <c r="I13" i="86"/>
  <c r="L13" i="86" s="1"/>
  <c r="H19" i="86"/>
  <c r="H30" i="86"/>
  <c r="K30" i="86" s="1"/>
  <c r="I37" i="86"/>
  <c r="L37" i="86" s="1"/>
  <c r="G42" i="86"/>
  <c r="H54" i="86"/>
  <c r="H111" i="86"/>
  <c r="K111" i="86" s="1"/>
  <c r="I24" i="86"/>
  <c r="L24" i="86" s="1"/>
  <c r="I31" i="86"/>
  <c r="L31" i="86" s="1"/>
  <c r="I38" i="86"/>
  <c r="L38" i="86" s="1"/>
  <c r="G45" i="86"/>
  <c r="J45" i="86" s="1"/>
  <c r="G73" i="86"/>
  <c r="J73" i="86" s="1"/>
  <c r="I98" i="86"/>
  <c r="L98" i="86" s="1"/>
  <c r="I21" i="86"/>
  <c r="L21" i="86" s="1"/>
  <c r="G32" i="86"/>
  <c r="J32" i="86" s="1"/>
  <c r="G37" i="86"/>
  <c r="J37" i="86" s="1"/>
  <c r="G46" i="86"/>
  <c r="J46" i="86" s="1"/>
  <c r="I72" i="86"/>
  <c r="L72" i="86" s="1"/>
  <c r="H102" i="86"/>
  <c r="K102" i="86" s="1"/>
  <c r="H20" i="86"/>
  <c r="K20" i="86" s="1"/>
  <c r="G30" i="86"/>
  <c r="J30" i="86" s="1"/>
  <c r="H37" i="86"/>
  <c r="K37" i="86" s="1"/>
  <c r="I45" i="86"/>
  <c r="L45" i="86" s="1"/>
  <c r="H62" i="86"/>
  <c r="K62" i="86" s="1"/>
  <c r="G115" i="86"/>
  <c r="J115" i="86" s="1"/>
  <c r="G58" i="86"/>
  <c r="H73" i="86"/>
  <c r="K73" i="86" s="1"/>
  <c r="H92" i="86"/>
  <c r="K92" i="86" s="1"/>
  <c r="G118" i="86"/>
  <c r="G64" i="86"/>
  <c r="I76" i="86"/>
  <c r="L76" i="86" s="1"/>
  <c r="I92" i="86"/>
  <c r="L92" i="86" s="1"/>
  <c r="H112" i="86"/>
  <c r="K112" i="86" s="1"/>
  <c r="I52" i="86"/>
  <c r="I59" i="86"/>
  <c r="L59" i="86" s="1"/>
  <c r="H70" i="86"/>
  <c r="K70" i="86" s="1"/>
  <c r="I83" i="86"/>
  <c r="L83" i="86" s="1"/>
  <c r="I93" i="86"/>
  <c r="I110" i="86"/>
  <c r="L110" i="86" s="1"/>
  <c r="H66" i="86"/>
  <c r="I75" i="86"/>
  <c r="L75" i="86" s="1"/>
  <c r="I87" i="86"/>
  <c r="G104" i="86"/>
  <c r="J104" i="86" s="1"/>
  <c r="I114" i="86"/>
  <c r="L114" i="86" s="1"/>
  <c r="I143" i="86"/>
  <c r="L143" i="86" s="1"/>
  <c r="G156" i="86"/>
  <c r="G122" i="86"/>
  <c r="J122" i="86" s="1"/>
  <c r="G131" i="86"/>
  <c r="J131" i="86" s="1"/>
  <c r="H142" i="86"/>
  <c r="K142" i="86" s="1"/>
  <c r="G154" i="86"/>
  <c r="J154" i="86" s="1"/>
  <c r="I166" i="86"/>
  <c r="L166" i="86" s="1"/>
  <c r="I117" i="86"/>
  <c r="L117" i="86" s="1"/>
  <c r="G126" i="86"/>
  <c r="J126" i="86" s="1"/>
  <c r="G138" i="86"/>
  <c r="J138" i="86" s="1"/>
  <c r="G152" i="86"/>
  <c r="J152" i="86" s="1"/>
  <c r="H167" i="86"/>
  <c r="K167" i="86" s="1"/>
  <c r="G125" i="86"/>
  <c r="J125" i="86" s="1"/>
  <c r="G136" i="86"/>
  <c r="J136" i="86" s="1"/>
  <c r="I146" i="86"/>
  <c r="L146" i="86" s="1"/>
  <c r="G157" i="86"/>
  <c r="J157" i="86" s="1"/>
  <c r="H135" i="86"/>
  <c r="K135" i="86" s="1"/>
  <c r="H13" i="86"/>
  <c r="G6" i="86"/>
  <c r="J6" i="86" s="1"/>
  <c r="H159" i="86"/>
  <c r="K159" i="86" s="1"/>
  <c r="I135" i="86"/>
  <c r="L135" i="86" s="1"/>
  <c r="H95" i="86"/>
  <c r="I132" i="86"/>
  <c r="L132" i="86" s="1"/>
  <c r="H88" i="86"/>
  <c r="K88" i="86" s="1"/>
  <c r="H99" i="86"/>
  <c r="K99" i="86" s="1"/>
  <c r="I3" i="86"/>
  <c r="L3" i="86" s="1"/>
  <c r="G10" i="86"/>
  <c r="J10" i="86" s="1"/>
  <c r="G4" i="86"/>
  <c r="J4" i="86" s="1"/>
  <c r="H11" i="86"/>
  <c r="K11" i="86" s="1"/>
  <c r="G8" i="86"/>
  <c r="J8" i="86" s="1"/>
  <c r="I17" i="86"/>
  <c r="L17" i="86" s="1"/>
  <c r="G5" i="86"/>
  <c r="J5" i="86" s="1"/>
  <c r="H15" i="86"/>
  <c r="K15" i="86" s="1"/>
  <c r="H17" i="86"/>
  <c r="K17" i="86" s="1"/>
  <c r="H24" i="86"/>
  <c r="K24" i="86" s="1"/>
  <c r="I32" i="86"/>
  <c r="I40" i="86"/>
  <c r="I47" i="86"/>
  <c r="G60" i="86"/>
  <c r="J60" i="86" s="1"/>
  <c r="H21" i="86"/>
  <c r="G27" i="86"/>
  <c r="J27" i="86" s="1"/>
  <c r="G34" i="86"/>
  <c r="J34" i="86" s="1"/>
  <c r="H42" i="86"/>
  <c r="K42" i="86" s="1"/>
  <c r="I50" i="86"/>
  <c r="L50" i="86" s="1"/>
  <c r="I78" i="86"/>
  <c r="L78" i="86" s="1"/>
  <c r="G127" i="86"/>
  <c r="J127" i="86" s="1"/>
  <c r="H27" i="86"/>
  <c r="K27" i="86" s="1"/>
  <c r="H34" i="86"/>
  <c r="I42" i="86"/>
  <c r="L42" i="86" s="1"/>
  <c r="G51" i="86"/>
  <c r="J51" i="86" s="1"/>
  <c r="G85" i="86"/>
  <c r="J85" i="86" s="1"/>
  <c r="G18" i="86"/>
  <c r="J18" i="86" s="1"/>
  <c r="I26" i="86"/>
  <c r="L26" i="86" s="1"/>
  <c r="H32" i="86"/>
  <c r="H40" i="86"/>
  <c r="K40" i="86" s="1"/>
  <c r="H52" i="86"/>
  <c r="K52" i="86" s="1"/>
  <c r="G76" i="86"/>
  <c r="J76" i="86" s="1"/>
  <c r="I55" i="86"/>
  <c r="L55" i="86" s="1"/>
  <c r="I63" i="86"/>
  <c r="L63" i="86" s="1"/>
  <c r="I81" i="86"/>
  <c r="L81" i="86" s="1"/>
  <c r="G112" i="86"/>
  <c r="J112" i="86" s="1"/>
  <c r="H58" i="86"/>
  <c r="G68" i="86"/>
  <c r="J68" i="86" s="1"/>
  <c r="G87" i="86"/>
  <c r="J87" i="86" s="1"/>
  <c r="I106" i="86"/>
  <c r="L106" i="86" s="1"/>
  <c r="G48" i="86"/>
  <c r="J48" i="86" s="1"/>
  <c r="H56" i="86"/>
  <c r="K56" i="86" s="1"/>
  <c r="H64" i="86"/>
  <c r="K64" i="86" s="1"/>
  <c r="G74" i="86"/>
  <c r="J74" i="86" s="1"/>
  <c r="I89" i="86"/>
  <c r="G105" i="86"/>
  <c r="J105" i="86" s="1"/>
  <c r="I112" i="86"/>
  <c r="L112" i="86" s="1"/>
  <c r="G72" i="86"/>
  <c r="G81" i="86"/>
  <c r="J81" i="86" s="1"/>
  <c r="G92" i="86"/>
  <c r="J92" i="86" s="1"/>
  <c r="I111" i="86"/>
  <c r="L111" i="86" s="1"/>
  <c r="G134" i="86"/>
  <c r="J134" i="86" s="1"/>
  <c r="H149" i="86"/>
  <c r="H166" i="86"/>
  <c r="K166" i="86" s="1"/>
  <c r="H127" i="86"/>
  <c r="K127" i="86" s="1"/>
  <c r="H134" i="86"/>
  <c r="K134" i="86" s="1"/>
  <c r="I150" i="86"/>
  <c r="I158" i="86"/>
  <c r="L158" i="86" s="1"/>
  <c r="H110" i="86"/>
  <c r="K110" i="86" s="1"/>
  <c r="H122" i="86"/>
  <c r="K122" i="86" s="1"/>
  <c r="H131" i="86"/>
  <c r="K131" i="86" s="1"/>
  <c r="G143" i="86"/>
  <c r="J143" i="86" s="1"/>
  <c r="H161" i="86"/>
  <c r="H119" i="86"/>
  <c r="K119" i="86" s="1"/>
  <c r="I128" i="86"/>
  <c r="L128" i="86" s="1"/>
  <c r="H143" i="86"/>
  <c r="K143" i="86" s="1"/>
  <c r="H152" i="86"/>
  <c r="K152" i="86" s="1"/>
  <c r="I164" i="86"/>
  <c r="L164" i="86" s="1"/>
  <c r="G120" i="86"/>
  <c r="J120" i="86" s="1"/>
  <c r="I88" i="86"/>
  <c r="L88" i="86" s="1"/>
  <c r="H147" i="86"/>
  <c r="K147" i="86" s="1"/>
  <c r="H6" i="86"/>
  <c r="K6" i="86" s="1"/>
  <c r="G82" i="86"/>
  <c r="J82" i="86" s="1"/>
  <c r="I96" i="86"/>
  <c r="L96" i="86" s="1"/>
  <c r="G103" i="86"/>
  <c r="J103" i="86" s="1"/>
  <c r="I79" i="86"/>
  <c r="L79" i="86" s="1"/>
  <c r="I97" i="86"/>
  <c r="L97" i="86" s="1"/>
  <c r="I12" i="86"/>
  <c r="L12" i="86" s="1"/>
  <c r="I5" i="86"/>
  <c r="L5" i="86" s="1"/>
  <c r="H16" i="86"/>
  <c r="K16" i="86" s="1"/>
  <c r="I10" i="86"/>
  <c r="L10" i="86" s="1"/>
  <c r="I19" i="86"/>
  <c r="L19" i="86" s="1"/>
  <c r="G7" i="86"/>
  <c r="G12" i="86"/>
  <c r="H18" i="86"/>
  <c r="K18" i="86" s="1"/>
  <c r="G28" i="86"/>
  <c r="J28" i="86" s="1"/>
  <c r="G36" i="86"/>
  <c r="J36" i="86" s="1"/>
  <c r="G41" i="86"/>
  <c r="J41" i="86" s="1"/>
  <c r="H48" i="86"/>
  <c r="K48" i="86" s="1"/>
  <c r="I107" i="86"/>
  <c r="L107" i="86" s="1"/>
  <c r="H23" i="86"/>
  <c r="K23" i="86" s="1"/>
  <c r="H28" i="86"/>
  <c r="K28" i="86" s="1"/>
  <c r="H36" i="86"/>
  <c r="K36" i="86" s="1"/>
  <c r="I44" i="86"/>
  <c r="G65" i="86"/>
  <c r="J65" i="86" s="1"/>
  <c r="G94" i="86"/>
  <c r="G20" i="86"/>
  <c r="J20" i="86" s="1"/>
  <c r="I28" i="86"/>
  <c r="L28" i="86" s="1"/>
  <c r="I36" i="86"/>
  <c r="L36" i="86" s="1"/>
  <c r="H45" i="86"/>
  <c r="G57" i="86"/>
  <c r="J57" i="86" s="1"/>
  <c r="H101" i="86"/>
  <c r="K101" i="86" s="1"/>
  <c r="G19" i="86"/>
  <c r="J19" i="86" s="1"/>
  <c r="I27" i="86"/>
  <c r="I35" i="86"/>
  <c r="G44" i="86"/>
  <c r="J44" i="86" s="1"/>
  <c r="H53" i="86"/>
  <c r="K53" i="86" s="1"/>
  <c r="I84" i="86"/>
  <c r="L84" i="86" s="1"/>
  <c r="H57" i="86"/>
  <c r="I67" i="86"/>
  <c r="L67" i="86" s="1"/>
  <c r="G90" i="86"/>
  <c r="J90" i="86" s="1"/>
  <c r="H114" i="86"/>
  <c r="H59" i="86"/>
  <c r="K59" i="86" s="1"/>
  <c r="G75" i="86"/>
  <c r="J75" i="86" s="1"/>
  <c r="H90" i="86"/>
  <c r="K90" i="86" s="1"/>
  <c r="G107" i="86"/>
  <c r="J107" i="86" s="1"/>
  <c r="H50" i="86"/>
  <c r="K50" i="86" s="1"/>
  <c r="I58" i="86"/>
  <c r="L58" i="86" s="1"/>
  <c r="H68" i="86"/>
  <c r="K68" i="86" s="1"/>
  <c r="G80" i="86"/>
  <c r="J80" i="86" s="1"/>
  <c r="I90" i="86"/>
  <c r="L90" i="86" s="1"/>
  <c r="H107" i="86"/>
  <c r="K107" i="86" s="1"/>
  <c r="H65" i="86"/>
  <c r="K65" i="86" s="1"/>
  <c r="I74" i="86"/>
  <c r="L74" i="86" s="1"/>
  <c r="G84" i="86"/>
  <c r="J84" i="86" s="1"/>
  <c r="H94" i="86"/>
  <c r="K94" i="86" s="1"/>
  <c r="I113" i="86"/>
  <c r="L113" i="86" s="1"/>
  <c r="I138" i="86"/>
  <c r="L138" i="86" s="1"/>
  <c r="H155" i="86"/>
  <c r="K155" i="86" s="1"/>
  <c r="H118" i="86"/>
  <c r="K118" i="86" s="1"/>
  <c r="G128" i="86"/>
  <c r="J128" i="86" s="1"/>
  <c r="H141" i="86"/>
  <c r="K141" i="86" s="1"/>
  <c r="G153" i="86"/>
  <c r="J153" i="86" s="1"/>
  <c r="G161" i="86"/>
  <c r="J161" i="86" s="1"/>
  <c r="H115" i="86"/>
  <c r="K115" i="86" s="1"/>
  <c r="I124" i="86"/>
  <c r="L124" i="86" s="1"/>
  <c r="I134" i="86"/>
  <c r="L134" i="86" s="1"/>
  <c r="H151" i="86"/>
  <c r="K151" i="86" s="1"/>
  <c r="G163" i="86"/>
  <c r="J163" i="86" s="1"/>
  <c r="H121" i="86"/>
  <c r="K121" i="86" s="1"/>
  <c r="I133" i="86"/>
  <c r="L133" i="86" s="1"/>
  <c r="H145" i="86"/>
  <c r="K145" i="86" s="1"/>
  <c r="I153" i="86"/>
  <c r="L153" i="86" s="1"/>
  <c r="I167" i="86"/>
  <c r="L167" i="86" s="1"/>
  <c r="I159" i="86"/>
  <c r="L159" i="86" s="1"/>
  <c r="H2" i="86"/>
  <c r="K2" i="86" s="1"/>
  <c r="I22" i="86"/>
  <c r="L22" i="86" s="1"/>
  <c r="H43" i="86"/>
  <c r="K43" i="86" s="1"/>
  <c r="G88" i="86"/>
  <c r="J88" i="86" s="1"/>
  <c r="G158" i="86"/>
  <c r="J158" i="86" s="1"/>
  <c r="H148" i="86"/>
  <c r="G142" i="86"/>
  <c r="G147" i="86"/>
  <c r="J147" i="86" s="1"/>
  <c r="I147" i="86"/>
  <c r="H162" i="86"/>
  <c r="K162" i="86" s="1"/>
  <c r="G159" i="86"/>
  <c r="J159" i="86" s="1"/>
  <c r="I6" i="86"/>
  <c r="L6" i="86" s="1"/>
  <c r="G100" i="86"/>
  <c r="J100" i="86" s="1"/>
  <c r="G96" i="86"/>
  <c r="J96" i="86" s="1"/>
  <c r="G160" i="86"/>
  <c r="I142" i="86"/>
  <c r="L142" i="86" s="1"/>
  <c r="H160" i="86"/>
  <c r="K160" i="86" s="1"/>
  <c r="H136" i="86"/>
  <c r="K136" i="86" s="1"/>
  <c r="H79" i="86"/>
  <c r="H22" i="86"/>
  <c r="G101" i="86"/>
  <c r="J101" i="86" s="1"/>
  <c r="I100" i="86"/>
  <c r="L100" i="86" s="1"/>
  <c r="I168" i="86"/>
  <c r="L168" i="86" s="1"/>
  <c r="H163" i="86"/>
  <c r="K163" i="86" s="1"/>
  <c r="I154" i="86"/>
  <c r="L154" i="86" s="1"/>
  <c r="G150" i="86"/>
  <c r="J150" i="86" s="1"/>
  <c r="G144" i="86"/>
  <c r="J144" i="86" s="1"/>
  <c r="H137" i="86"/>
  <c r="K137" i="86" s="1"/>
  <c r="G130" i="86"/>
  <c r="J130" i="86" s="1"/>
  <c r="G123" i="86"/>
  <c r="J123" i="86" s="1"/>
  <c r="I116" i="86"/>
  <c r="L116" i="86" s="1"/>
  <c r="H164" i="86"/>
  <c r="K164" i="86" s="1"/>
  <c r="H154" i="86"/>
  <c r="K154" i="86" s="1"/>
  <c r="H146" i="86"/>
  <c r="H140" i="86"/>
  <c r="K140" i="86" s="1"/>
  <c r="H133" i="86"/>
  <c r="K133" i="86" s="1"/>
  <c r="I127" i="86"/>
  <c r="L127" i="86" s="1"/>
  <c r="G121" i="86"/>
  <c r="J121" i="86" s="1"/>
  <c r="H116" i="86"/>
  <c r="K116" i="86" s="1"/>
  <c r="G168" i="86"/>
  <c r="J168" i="86" s="1"/>
  <c r="G164" i="86"/>
  <c r="J164" i="86" s="1"/>
  <c r="H156" i="86"/>
  <c r="K156" i="86" s="1"/>
  <c r="G151" i="86"/>
  <c r="J151" i="86" s="1"/>
  <c r="I144" i="86"/>
  <c r="I136" i="86"/>
  <c r="L136" i="86" s="1"/>
  <c r="I130" i="86"/>
  <c r="L130" i="86" s="1"/>
  <c r="I125" i="86"/>
  <c r="L125" i="86" s="1"/>
  <c r="I120" i="86"/>
  <c r="L120" i="86" s="1"/>
  <c r="G162" i="86"/>
  <c r="J162" i="86" s="1"/>
  <c r="I152" i="86"/>
  <c r="L152" i="86" s="1"/>
  <c r="H144" i="86"/>
  <c r="K144" i="86" s="1"/>
  <c r="I137" i="86"/>
  <c r="L137" i="86" s="1"/>
  <c r="G116" i="86"/>
  <c r="J116" i="86" s="1"/>
  <c r="G109" i="86"/>
  <c r="I102" i="86"/>
  <c r="L102" i="86" s="1"/>
  <c r="G91" i="86"/>
  <c r="J91" i="86" s="1"/>
  <c r="I85" i="86"/>
  <c r="L85" i="86" s="1"/>
  <c r="H78" i="86"/>
  <c r="K78" i="86" s="1"/>
  <c r="I73" i="86"/>
  <c r="L73" i="86" s="1"/>
  <c r="H67" i="86"/>
  <c r="K67" i="86" s="1"/>
  <c r="I121" i="86"/>
  <c r="L121" i="86" s="1"/>
  <c r="H109" i="86"/>
  <c r="K109" i="86" s="1"/>
  <c r="I104" i="86"/>
  <c r="L104" i="86" s="1"/>
  <c r="H91" i="86"/>
  <c r="K91" i="86" s="1"/>
  <c r="G86" i="86"/>
  <c r="J86" i="86" s="1"/>
  <c r="G78" i="86"/>
  <c r="I71" i="86"/>
  <c r="L71" i="86" s="1"/>
  <c r="I66" i="86"/>
  <c r="L66" i="86" s="1"/>
  <c r="H61" i="86"/>
  <c r="K61" i="86" s="1"/>
  <c r="G55" i="86"/>
  <c r="H51" i="86"/>
  <c r="K51" i="86" s="1"/>
  <c r="H125" i="86"/>
  <c r="K125" i="86" s="1"/>
  <c r="H108" i="86"/>
  <c r="K108" i="86" s="1"/>
  <c r="G98" i="86"/>
  <c r="J98" i="86" s="1"/>
  <c r="H89" i="86"/>
  <c r="I77" i="86"/>
  <c r="L77" i="86" s="1"/>
  <c r="G70" i="86"/>
  <c r="J70" i="86" s="1"/>
  <c r="G61" i="86"/>
  <c r="J61" i="86" s="1"/>
  <c r="I57" i="86"/>
  <c r="L57" i="86" s="1"/>
  <c r="H117" i="86"/>
  <c r="G106" i="86"/>
  <c r="J106" i="86" s="1"/>
  <c r="H85" i="86"/>
  <c r="K85" i="86" s="1"/>
  <c r="H76" i="86"/>
  <c r="K76" i="86" s="1"/>
  <c r="I65" i="86"/>
  <c r="L65" i="86" s="1"/>
  <c r="G59" i="86"/>
  <c r="I54" i="86"/>
  <c r="L54" i="86" s="1"/>
  <c r="I105" i="86"/>
  <c r="G67" i="86"/>
  <c r="J67" i="86" s="1"/>
  <c r="I56" i="86"/>
  <c r="H47" i="86"/>
  <c r="K47" i="86" s="1"/>
  <c r="I99" i="86"/>
  <c r="L99" i="86" s="1"/>
  <c r="H97" i="86"/>
  <c r="K97" i="86" s="1"/>
  <c r="H139" i="86"/>
  <c r="K139" i="86" s="1"/>
  <c r="H7" i="86"/>
  <c r="K7" i="86" s="1"/>
  <c r="G11" i="86"/>
  <c r="J11" i="86" s="1"/>
  <c r="G2" i="86"/>
  <c r="H9" i="86"/>
  <c r="K9" i="86" s="1"/>
  <c r="G17" i="86"/>
  <c r="I9" i="86"/>
  <c r="L9" i="86" s="1"/>
  <c r="I16" i="86"/>
  <c r="L16" i="86" s="1"/>
  <c r="H3" i="86"/>
  <c r="K3" i="86" s="1"/>
  <c r="H8" i="86"/>
  <c r="K8" i="86" s="1"/>
  <c r="I18" i="86"/>
  <c r="L18" i="86" s="1"/>
  <c r="I15" i="86"/>
  <c r="I20" i="86"/>
  <c r="L20" i="86" s="1"/>
  <c r="I29" i="86"/>
  <c r="L29" i="86" s="1"/>
  <c r="G33" i="86"/>
  <c r="J33" i="86" s="1"/>
  <c r="H39" i="86"/>
  <c r="K39" i="86" s="1"/>
  <c r="H44" i="86"/>
  <c r="M44" i="86" s="1"/>
  <c r="G50" i="86"/>
  <c r="I70" i="86"/>
  <c r="L70" i="86" s="1"/>
  <c r="H123" i="86"/>
  <c r="K123" i="86" s="1"/>
  <c r="G25" i="86"/>
  <c r="J25" i="86" s="1"/>
  <c r="I30" i="86"/>
  <c r="L30" i="86" s="1"/>
  <c r="G35" i="86"/>
  <c r="J35" i="86" s="1"/>
  <c r="H41" i="86"/>
  <c r="K41" i="86" s="1"/>
  <c r="I48" i="86"/>
  <c r="L48" i="86" s="1"/>
  <c r="I69" i="86"/>
  <c r="L69" i="86" s="1"/>
  <c r="I91" i="86"/>
  <c r="L91" i="86" s="1"/>
  <c r="H120" i="86"/>
  <c r="K120" i="86" s="1"/>
  <c r="H25" i="86"/>
  <c r="K25" i="86" s="1"/>
  <c r="G29" i="86"/>
  <c r="J29" i="86" s="1"/>
  <c r="H35" i="86"/>
  <c r="K35" i="86" s="1"/>
  <c r="I41" i="86"/>
  <c r="L41" i="86" s="1"/>
  <c r="G47" i="86"/>
  <c r="J47" i="86" s="1"/>
  <c r="I64" i="86"/>
  <c r="H86" i="86"/>
  <c r="K86" i="86" s="1"/>
  <c r="I119" i="86"/>
  <c r="L119" i="86" s="1"/>
  <c r="G24" i="86"/>
  <c r="H29" i="86"/>
  <c r="K29" i="86" s="1"/>
  <c r="I34" i="86"/>
  <c r="L34" i="86" s="1"/>
  <c r="G39" i="86"/>
  <c r="M39" i="86" s="1"/>
  <c r="H46" i="86"/>
  <c r="K46" i="86" s="1"/>
  <c r="I61" i="86"/>
  <c r="L61" i="86" s="1"/>
  <c r="H80" i="86"/>
  <c r="I53" i="86"/>
  <c r="H60" i="86"/>
  <c r="K60" i="86" s="1"/>
  <c r="G71" i="86"/>
  <c r="J71" i="86" s="1"/>
  <c r="G83" i="86"/>
  <c r="J83" i="86" s="1"/>
  <c r="G108" i="86"/>
  <c r="J108" i="86" s="1"/>
  <c r="I126" i="86"/>
  <c r="L126" i="86" s="1"/>
  <c r="I60" i="86"/>
  <c r="L60" i="86" s="1"/>
  <c r="H71" i="86"/>
  <c r="K71" i="86" s="1"/>
  <c r="H83" i="86"/>
  <c r="K83" i="86" s="1"/>
  <c r="G93" i="86"/>
  <c r="J93" i="86" s="1"/>
  <c r="G110" i="86"/>
  <c r="I49" i="86"/>
  <c r="L49" i="86" s="1"/>
  <c r="G54" i="86"/>
  <c r="J54" i="86" s="1"/>
  <c r="G62" i="86"/>
  <c r="H69" i="86"/>
  <c r="K69" i="86" s="1"/>
  <c r="H75" i="86"/>
  <c r="K75" i="86" s="1"/>
  <c r="H87" i="86"/>
  <c r="H98" i="86"/>
  <c r="K98" i="86" s="1"/>
  <c r="I108" i="86"/>
  <c r="G124" i="86"/>
  <c r="J124" i="86" s="1"/>
  <c r="G69" i="86"/>
  <c r="H77" i="86"/>
  <c r="I86" i="86"/>
  <c r="L86" i="86" s="1"/>
  <c r="H93" i="86"/>
  <c r="K93" i="86" s="1"/>
  <c r="H106" i="86"/>
  <c r="K106" i="86" s="1"/>
  <c r="G129" i="86"/>
  <c r="G141" i="86"/>
  <c r="J141" i="86" s="1"/>
  <c r="H150" i="86"/>
  <c r="I163" i="86"/>
  <c r="L163" i="86" s="1"/>
  <c r="I123" i="86"/>
  <c r="L123" i="86" s="1"/>
  <c r="H129" i="86"/>
  <c r="K129" i="86" s="1"/>
  <c r="G140" i="86"/>
  <c r="J140" i="86" s="1"/>
  <c r="I149" i="86"/>
  <c r="L149" i="86" s="1"/>
  <c r="I155" i="86"/>
  <c r="L155" i="86" s="1"/>
  <c r="H165" i="86"/>
  <c r="K165" i="86" s="1"/>
  <c r="G113" i="86"/>
  <c r="J113" i="86" s="1"/>
  <c r="G119" i="86"/>
  <c r="H128" i="86"/>
  <c r="K128" i="86" s="1"/>
  <c r="G137" i="86"/>
  <c r="G145" i="86"/>
  <c r="I156" i="86"/>
  <c r="H168" i="86"/>
  <c r="K168" i="86" s="1"/>
  <c r="I122" i="86"/>
  <c r="L122" i="86" s="1"/>
  <c r="I131" i="86"/>
  <c r="I140" i="86"/>
  <c r="L140" i="86" s="1"/>
  <c r="G149" i="86"/>
  <c r="G155" i="86"/>
  <c r="J155" i="86" s="1"/>
  <c r="G166" i="86"/>
  <c r="H96" i="86"/>
  <c r="K96" i="86" s="1"/>
  <c r="I103" i="86"/>
  <c r="H132" i="86"/>
  <c r="H158" i="86"/>
  <c r="K158" i="86" s="1"/>
  <c r="I162" i="86"/>
  <c r="L162" i="86" s="1"/>
  <c r="G165" i="86"/>
  <c r="G23" i="86"/>
  <c r="M23" i="86" s="1"/>
  <c r="I82" i="86"/>
  <c r="I43" i="86"/>
  <c r="G13" i="86"/>
  <c r="I95" i="86"/>
  <c r="M95" i="86" s="1"/>
  <c r="I101" i="86"/>
  <c r="H45" i="94"/>
  <c r="AI9" i="66"/>
  <c r="AI15" i="66"/>
  <c r="AI3" i="66"/>
  <c r="Y14" i="66"/>
  <c r="K14" i="86"/>
  <c r="L52" i="86"/>
  <c r="K54" i="86"/>
  <c r="J56" i="86"/>
  <c r="Y22" i="66"/>
  <c r="Y11" i="66"/>
  <c r="AI4" i="66"/>
  <c r="AI7" i="66"/>
  <c r="Y16" i="66"/>
  <c r="Y24" i="66"/>
  <c r="D49" i="94"/>
  <c r="H47" i="94"/>
  <c r="Y5" i="66"/>
  <c r="Y13" i="66"/>
  <c r="AI20" i="66"/>
  <c r="Y18" i="66"/>
  <c r="B51" i="92"/>
  <c r="E49" i="94"/>
  <c r="H46" i="94"/>
  <c r="AI10" i="66"/>
  <c r="Y19" i="66"/>
  <c r="B42" i="92"/>
  <c r="Y8" i="66"/>
  <c r="AI12" i="66"/>
  <c r="D31" i="94"/>
  <c r="E31" i="94"/>
  <c r="F49" i="94"/>
  <c r="C40" i="94"/>
  <c r="Y17" i="66"/>
  <c r="Y23" i="66"/>
  <c r="G46" i="94"/>
  <c r="G49" i="94" s="1"/>
  <c r="C49" i="94"/>
  <c r="D40" i="94"/>
  <c r="C31" i="94"/>
  <c r="Y6" i="66"/>
  <c r="X26" i="66"/>
  <c r="AG26" i="66"/>
  <c r="Z26" i="66" s="1"/>
  <c r="Z4" i="66"/>
  <c r="Q1" i="86"/>
  <c r="AB44" i="19"/>
  <c r="AG88" i="19"/>
  <c r="AG90" i="19" s="1"/>
  <c r="AB90" i="19"/>
  <c r="K74" i="86"/>
  <c r="AC144" i="19"/>
  <c r="AC147" i="19" s="1"/>
  <c r="X147" i="19"/>
  <c r="E40" i="94"/>
  <c r="X90" i="19"/>
  <c r="AA161" i="19"/>
  <c r="AF159" i="19"/>
  <c r="AF161" i="19" s="1"/>
  <c r="AF79" i="19"/>
  <c r="AF87" i="19" s="1"/>
  <c r="AA87" i="19"/>
  <c r="AA44" i="19"/>
  <c r="K19" i="86"/>
  <c r="L33" i="86"/>
  <c r="L35" i="86"/>
  <c r="L39" i="86"/>
  <c r="L47" i="86"/>
  <c r="L93" i="86"/>
  <c r="K95" i="86"/>
  <c r="AB87" i="19"/>
  <c r="AG145" i="19"/>
  <c r="AG147" i="19" s="1"/>
  <c r="AB147" i="19"/>
  <c r="AA14" i="19"/>
  <c r="J102" i="86"/>
  <c r="K126" i="86"/>
  <c r="J156" i="86"/>
  <c r="AA150" i="19"/>
  <c r="AA90" i="19"/>
  <c r="Y48" i="19"/>
  <c r="E11" i="62"/>
  <c r="F12" i="62"/>
  <c r="E13" i="62"/>
  <c r="F14" i="62"/>
  <c r="E18" i="62"/>
  <c r="E21" i="62"/>
  <c r="E23" i="62"/>
  <c r="F24" i="62"/>
  <c r="F28" i="62"/>
  <c r="AB161" i="19"/>
  <c r="X14" i="19"/>
  <c r="Y87" i="19"/>
  <c r="X46" i="19"/>
  <c r="X150" i="19"/>
  <c r="X107" i="19"/>
  <c r="AE155" i="19"/>
  <c r="Z75" i="19"/>
  <c r="Z87" i="19"/>
  <c r="Z44" i="19"/>
  <c r="Y103" i="19"/>
  <c r="Z161" i="19"/>
  <c r="AE159" i="19"/>
  <c r="AE161" i="19" s="1"/>
  <c r="X65" i="19"/>
  <c r="Z142" i="19"/>
  <c r="AD105" i="19"/>
  <c r="AD107" i="19" s="1"/>
  <c r="Y65" i="19"/>
  <c r="X103" i="19"/>
  <c r="Z183" i="19"/>
  <c r="AE162" i="19"/>
  <c r="AE183" i="19" s="1"/>
  <c r="AA142" i="19"/>
  <c r="Z14" i="19"/>
  <c r="CE6" i="62"/>
  <c r="CE8" i="62"/>
  <c r="AD103" i="19"/>
  <c r="Z65" i="19"/>
  <c r="AE50" i="19"/>
  <c r="AE65" i="19" s="1"/>
  <c r="AA183" i="19"/>
  <c r="F16" i="62"/>
  <c r="Y183" i="19"/>
  <c r="Y135" i="19"/>
  <c r="X183" i="19"/>
  <c r="X87" i="19"/>
  <c r="Z46" i="19"/>
  <c r="E22" i="62"/>
  <c r="Z135" i="19"/>
  <c r="AE108" i="19"/>
  <c r="AE135" i="19" s="1"/>
  <c r="Z90" i="19"/>
  <c r="AE89" i="19"/>
  <c r="AE90" i="19" s="1"/>
  <c r="Z107" i="19"/>
  <c r="AD45" i="19"/>
  <c r="AD46" i="19" s="1"/>
  <c r="Z103" i="19"/>
  <c r="AE92" i="19"/>
  <c r="AE103" i="19" s="1"/>
  <c r="AA103" i="19"/>
  <c r="AA75" i="19"/>
  <c r="L151" i="86"/>
  <c r="K149" i="86"/>
  <c r="L87" i="86"/>
  <c r="L89" i="86"/>
  <c r="K57" i="86"/>
  <c r="K13" i="86"/>
  <c r="L11" i="86"/>
  <c r="E16" i="62"/>
  <c r="F19" i="62"/>
  <c r="F23" i="62"/>
  <c r="E24" i="62"/>
  <c r="F25" i="62"/>
  <c r="E28" i="62"/>
  <c r="AD65" i="19"/>
  <c r="J31" i="86"/>
  <c r="AB14" i="19"/>
  <c r="Y150" i="19"/>
  <c r="Y147" i="19"/>
  <c r="Y142" i="19"/>
  <c r="Y78" i="19"/>
  <c r="X161" i="19"/>
  <c r="X78" i="19"/>
  <c r="X75" i="19"/>
  <c r="Z150" i="19"/>
  <c r="Z147" i="19"/>
  <c r="Z78" i="19"/>
  <c r="AA147" i="19"/>
  <c r="AA107" i="19"/>
  <c r="AA78" i="19"/>
  <c r="AA65" i="19"/>
  <c r="AA20" i="19"/>
  <c r="AB103" i="19"/>
  <c r="AB75" i="19"/>
  <c r="AB65" i="19"/>
  <c r="AB20" i="19"/>
  <c r="AC87" i="19"/>
  <c r="AF142" i="19"/>
  <c r="AE47" i="19"/>
  <c r="AE48" i="19" s="1"/>
  <c r="F11" i="62"/>
  <c r="F13" i="62"/>
  <c r="F17" i="62"/>
  <c r="E19" i="62"/>
  <c r="E20" i="62"/>
  <c r="F20" i="62"/>
  <c r="F21" i="62"/>
  <c r="S184" i="19"/>
  <c r="F22" i="62"/>
  <c r="AI184" i="19"/>
  <c r="E27" i="62"/>
  <c r="U184" i="19"/>
  <c r="AC14" i="19"/>
  <c r="AE14" i="19"/>
  <c r="AG14" i="19"/>
  <c r="AD161" i="19"/>
  <c r="AD150" i="19"/>
  <c r="AD147" i="19"/>
  <c r="AD135" i="19"/>
  <c r="AD90" i="19"/>
  <c r="AC150" i="19"/>
  <c r="AC142" i="19"/>
  <c r="AC65" i="19"/>
  <c r="AE150" i="19"/>
  <c r="AE107" i="19"/>
  <c r="AF183" i="19"/>
  <c r="AF147" i="19"/>
  <c r="AF103" i="19"/>
  <c r="AF20" i="19"/>
  <c r="AF14" i="19"/>
  <c r="AG107" i="19"/>
  <c r="AG78" i="19"/>
  <c r="AG65" i="19"/>
  <c r="AG44" i="19"/>
  <c r="E10" i="62"/>
  <c r="Y161" i="19"/>
  <c r="Y75" i="19"/>
  <c r="Y44" i="19"/>
  <c r="Y20" i="19"/>
  <c r="Y14" i="19"/>
  <c r="X142" i="19"/>
  <c r="X135" i="19"/>
  <c r="X44" i="19"/>
  <c r="X20" i="19"/>
  <c r="Z20" i="19"/>
  <c r="AA135" i="19"/>
  <c r="AB183" i="19"/>
  <c r="AB135" i="19"/>
  <c r="AB107" i="19"/>
  <c r="H26" i="62"/>
  <c r="CG31" i="62" s="1"/>
  <c r="CE31" i="62" s="1"/>
  <c r="AG47" i="19"/>
  <c r="AG48" i="19" s="1"/>
  <c r="Q184" i="19"/>
  <c r="F27" i="62"/>
  <c r="M184" i="19"/>
  <c r="AH184" i="19"/>
  <c r="P184" i="19"/>
  <c r="AD87" i="19"/>
  <c r="AD75" i="19"/>
  <c r="AC183" i="19"/>
  <c r="AF135" i="19"/>
  <c r="W184" i="19"/>
  <c r="F29" i="62"/>
  <c r="L25" i="86"/>
  <c r="O184" i="19"/>
  <c r="K184" i="19"/>
  <c r="N184" i="19"/>
  <c r="AC107" i="19"/>
  <c r="I184" i="19"/>
  <c r="T184" i="19"/>
  <c r="L184" i="19"/>
  <c r="AD142" i="19"/>
  <c r="AD44" i="19"/>
  <c r="AD20" i="19"/>
  <c r="AD14" i="19"/>
  <c r="AC135" i="19"/>
  <c r="AC78" i="19"/>
  <c r="AC47" i="19"/>
  <c r="AC48" i="19" s="1"/>
  <c r="X48" i="19"/>
  <c r="AC20" i="19"/>
  <c r="AE147" i="19"/>
  <c r="AE142" i="19"/>
  <c r="AE87" i="19"/>
  <c r="AE75" i="19"/>
  <c r="AE44" i="19"/>
  <c r="AE20" i="19"/>
  <c r="AF78" i="19"/>
  <c r="AF65" i="19"/>
  <c r="AA48" i="19"/>
  <c r="AF47" i="19"/>
  <c r="AF48" i="19" s="1"/>
  <c r="AF44" i="19"/>
  <c r="AG183" i="19"/>
  <c r="AG161" i="19"/>
  <c r="AG142" i="19"/>
  <c r="AG103" i="19"/>
  <c r="AG87" i="19"/>
  <c r="AG75" i="19"/>
  <c r="G26" i="62"/>
  <c r="E17" i="62"/>
  <c r="E29" i="62"/>
  <c r="H184" i="19"/>
  <c r="V184" i="19"/>
  <c r="R184" i="19"/>
  <c r="J184" i="19"/>
  <c r="AD183" i="19"/>
  <c r="AD78" i="19"/>
  <c r="AC161" i="19"/>
  <c r="AC103" i="19"/>
  <c r="AC90" i="19"/>
  <c r="AC75" i="19"/>
  <c r="AC44" i="19"/>
  <c r="AE78" i="19"/>
  <c r="AF150" i="19"/>
  <c r="AF107" i="19"/>
  <c r="AF90" i="19"/>
  <c r="AF75" i="19"/>
  <c r="AG135" i="19"/>
  <c r="AG20" i="19"/>
  <c r="C30" i="62"/>
  <c r="D30" i="62"/>
  <c r="J167" i="86"/>
  <c r="AD14" i="43"/>
  <c r="AE14" i="43" s="1"/>
  <c r="AC14" i="43"/>
  <c r="AD18" i="43"/>
  <c r="AE18" i="43" s="1"/>
  <c r="AC18" i="43"/>
  <c r="AD17" i="43"/>
  <c r="AE17" i="43" s="1"/>
  <c r="AC17" i="43"/>
  <c r="AD15" i="43"/>
  <c r="AE15" i="43" s="1"/>
  <c r="AC15" i="43"/>
  <c r="AC11" i="43"/>
  <c r="AD11" i="43"/>
  <c r="AE11" i="43" s="1"/>
  <c r="AC12" i="43"/>
  <c r="AD12" i="43"/>
  <c r="AE12" i="43" s="1"/>
  <c r="AD16" i="43"/>
  <c r="AE16" i="43" s="1"/>
  <c r="AC16" i="43"/>
  <c r="AC13" i="43"/>
  <c r="AD13" i="43"/>
  <c r="AE13" i="43" s="1"/>
  <c r="AD10" i="43"/>
  <c r="AE10" i="43" s="1"/>
  <c r="AC10" i="43"/>
  <c r="AC19" i="43"/>
  <c r="AD19" i="43"/>
  <c r="AE19" i="43" s="1"/>
  <c r="K26" i="86"/>
  <c r="J58" i="86"/>
  <c r="L2" i="86"/>
  <c r="J64" i="86"/>
  <c r="L144" i="86"/>
  <c r="J16" i="86"/>
  <c r="L150" i="86"/>
  <c r="K32" i="86"/>
  <c r="K72" i="86"/>
  <c r="L14" i="86"/>
  <c r="L62" i="86"/>
  <c r="L80" i="86"/>
  <c r="J26" i="86"/>
  <c r="K58" i="86"/>
  <c r="L44" i="86"/>
  <c r="L8" i="86"/>
  <c r="M64" i="86" l="1"/>
  <c r="M56" i="86"/>
  <c r="M72" i="86"/>
  <c r="M50" i="86"/>
  <c r="M55" i="86"/>
  <c r="M92" i="86"/>
  <c r="M26" i="86"/>
  <c r="M58" i="86"/>
  <c r="M21" i="86"/>
  <c r="M59" i="86"/>
  <c r="J39" i="86"/>
  <c r="M66" i="86"/>
  <c r="M37" i="86"/>
  <c r="K66" i="86"/>
  <c r="M133" i="86"/>
  <c r="M62" i="86"/>
  <c r="J72" i="86"/>
  <c r="M142" i="86"/>
  <c r="J142" i="86"/>
  <c r="J59" i="86"/>
  <c r="M135" i="86"/>
  <c r="M97" i="86"/>
  <c r="M52" i="86"/>
  <c r="J50" i="86"/>
  <c r="M111" i="86"/>
  <c r="M166" i="86"/>
  <c r="M79" i="86"/>
  <c r="M45" i="86"/>
  <c r="M94" i="86"/>
  <c r="M40" i="86"/>
  <c r="M118" i="86"/>
  <c r="M3" i="86"/>
  <c r="M157" i="86"/>
  <c r="M38" i="86"/>
  <c r="M147" i="86"/>
  <c r="H25" i="62"/>
  <c r="M139" i="86"/>
  <c r="M49" i="86"/>
  <c r="M10" i="86"/>
  <c r="K38" i="86"/>
  <c r="M115" i="86"/>
  <c r="M13" i="86"/>
  <c r="M46" i="86"/>
  <c r="M63" i="86"/>
  <c r="M138" i="86"/>
  <c r="M42" i="86"/>
  <c r="J42" i="86"/>
  <c r="L40" i="86"/>
  <c r="J139" i="86"/>
  <c r="M104" i="86"/>
  <c r="K157" i="86"/>
  <c r="M57" i="86"/>
  <c r="M5" i="86"/>
  <c r="G14" i="62"/>
  <c r="H14" i="62"/>
  <c r="G12" i="62"/>
  <c r="H12" i="62"/>
  <c r="CG19" i="62" s="1"/>
  <c r="CE19" i="62" s="1"/>
  <c r="H18" i="62"/>
  <c r="CF23" i="62" s="1"/>
  <c r="G15" i="62"/>
  <c r="H10" i="62"/>
  <c r="CG17" i="62" s="1"/>
  <c r="CE17" i="62" s="1"/>
  <c r="G22" i="62"/>
  <c r="G25" i="62"/>
  <c r="H15" i="62"/>
  <c r="CF20" i="62" s="1"/>
  <c r="J118" i="86"/>
  <c r="K138" i="86"/>
  <c r="J3" i="86"/>
  <c r="J62" i="86"/>
  <c r="M126" i="86"/>
  <c r="J94" i="86"/>
  <c r="M20" i="86"/>
  <c r="M143" i="86"/>
  <c r="M15" i="86"/>
  <c r="M2" i="86"/>
  <c r="L56" i="86"/>
  <c r="L147" i="86"/>
  <c r="J49" i="86"/>
  <c r="M25" i="86"/>
  <c r="M132" i="86"/>
  <c r="M110" i="86"/>
  <c r="M17" i="86"/>
  <c r="M47" i="86"/>
  <c r="M78" i="86"/>
  <c r="M109" i="86"/>
  <c r="M146" i="86"/>
  <c r="M148" i="86"/>
  <c r="M90" i="86"/>
  <c r="M7" i="86"/>
  <c r="M161" i="86"/>
  <c r="M112" i="86"/>
  <c r="M34" i="86"/>
  <c r="M32" i="86"/>
  <c r="M4" i="86"/>
  <c r="K146" i="86"/>
  <c r="K21" i="86"/>
  <c r="J7" i="86"/>
  <c r="K148" i="86"/>
  <c r="J55" i="86"/>
  <c r="M152" i="86"/>
  <c r="K34" i="86"/>
  <c r="M19" i="86"/>
  <c r="M30" i="86"/>
  <c r="M100" i="86"/>
  <c r="M103" i="86"/>
  <c r="M128" i="86"/>
  <c r="M24" i="86"/>
  <c r="M130" i="86"/>
  <c r="L64" i="86"/>
  <c r="K161" i="86"/>
  <c r="M29" i="86"/>
  <c r="L32" i="86"/>
  <c r="M81" i="86"/>
  <c r="M136" i="86"/>
  <c r="M68" i="86"/>
  <c r="M156" i="86"/>
  <c r="M87" i="86"/>
  <c r="M53" i="86"/>
  <c r="M65" i="86"/>
  <c r="M117" i="86"/>
  <c r="M168" i="86"/>
  <c r="M164" i="86"/>
  <c r="M22" i="86"/>
  <c r="M88" i="86"/>
  <c r="M159" i="86"/>
  <c r="M153" i="86"/>
  <c r="M120" i="86"/>
  <c r="M48" i="86"/>
  <c r="M51" i="86"/>
  <c r="M8" i="86"/>
  <c r="M154" i="86"/>
  <c r="M31" i="86"/>
  <c r="M14" i="86"/>
  <c r="M102" i="86"/>
  <c r="J109" i="86"/>
  <c r="M85" i="86"/>
  <c r="M114" i="86"/>
  <c r="G21" i="62"/>
  <c r="H11" i="62"/>
  <c r="CG18" i="62" s="1"/>
  <c r="CE18" i="62" s="1"/>
  <c r="AE157" i="19"/>
  <c r="AE184" i="19" s="1"/>
  <c r="J24" i="86"/>
  <c r="K22" i="86"/>
  <c r="J17" i="86"/>
  <c r="J78" i="86"/>
  <c r="K44" i="86"/>
  <c r="M67" i="86"/>
  <c r="M101" i="86"/>
  <c r="M82" i="86"/>
  <c r="M131" i="86"/>
  <c r="M145" i="86"/>
  <c r="M113" i="86"/>
  <c r="M150" i="86"/>
  <c r="M75" i="86"/>
  <c r="M83" i="86"/>
  <c r="M80" i="86"/>
  <c r="M35" i="86"/>
  <c r="M11" i="86"/>
  <c r="M105" i="86"/>
  <c r="M89" i="86"/>
  <c r="M125" i="86"/>
  <c r="M151" i="86"/>
  <c r="M160" i="86"/>
  <c r="M121" i="86"/>
  <c r="M107" i="86"/>
  <c r="M84" i="86"/>
  <c r="M27" i="86"/>
  <c r="M41" i="86"/>
  <c r="M12" i="86"/>
  <c r="M16" i="86"/>
  <c r="M134" i="86"/>
  <c r="M74" i="86"/>
  <c r="J2" i="86"/>
  <c r="L156" i="86"/>
  <c r="K117" i="86"/>
  <c r="L15" i="86"/>
  <c r="M137" i="86"/>
  <c r="K87" i="86"/>
  <c r="L53" i="86"/>
  <c r="M123" i="86"/>
  <c r="M77" i="86"/>
  <c r="L105" i="86"/>
  <c r="M73" i="86"/>
  <c r="M124" i="86"/>
  <c r="M33" i="86"/>
  <c r="J12" i="86"/>
  <c r="K150" i="86"/>
  <c r="K80" i="86"/>
  <c r="L27" i="86"/>
  <c r="L103" i="86"/>
  <c r="J160" i="86"/>
  <c r="K79" i="86"/>
  <c r="J166" i="86"/>
  <c r="K114" i="86"/>
  <c r="M70" i="86"/>
  <c r="M158" i="86"/>
  <c r="M76" i="86"/>
  <c r="M18" i="86"/>
  <c r="M99" i="86"/>
  <c r="M9" i="86"/>
  <c r="M91" i="86"/>
  <c r="M127" i="86"/>
  <c r="M43" i="86"/>
  <c r="M162" i="86"/>
  <c r="M119" i="86"/>
  <c r="M106" i="86"/>
  <c r="M6" i="86"/>
  <c r="K77" i="86"/>
  <c r="K89" i="86"/>
  <c r="K45" i="86"/>
  <c r="M93" i="86"/>
  <c r="M108" i="86"/>
  <c r="M60" i="86"/>
  <c r="M71" i="86"/>
  <c r="M61" i="86"/>
  <c r="J145" i="86"/>
  <c r="J137" i="86"/>
  <c r="J23" i="86"/>
  <c r="L43" i="86"/>
  <c r="M149" i="86"/>
  <c r="M122" i="86"/>
  <c r="L108" i="86"/>
  <c r="J110" i="86"/>
  <c r="K132" i="86"/>
  <c r="M141" i="86"/>
  <c r="M86" i="86"/>
  <c r="M165" i="86"/>
  <c r="M129" i="86"/>
  <c r="L101" i="86"/>
  <c r="M155" i="86"/>
  <c r="M140" i="86"/>
  <c r="M69" i="86"/>
  <c r="M54" i="86"/>
  <c r="L95" i="86"/>
  <c r="G11" i="62"/>
  <c r="G24" i="62"/>
  <c r="G18" i="62"/>
  <c r="G28" i="62"/>
  <c r="J13" i="86"/>
  <c r="J129" i="86"/>
  <c r="M98" i="86"/>
  <c r="M163" i="86"/>
  <c r="L82" i="86"/>
  <c r="J69" i="86"/>
  <c r="L131" i="86"/>
  <c r="J149" i="86"/>
  <c r="M167" i="86"/>
  <c r="M96" i="86"/>
  <c r="M28" i="86"/>
  <c r="J119" i="86"/>
  <c r="M144" i="86"/>
  <c r="M36" i="86"/>
  <c r="M116" i="86"/>
  <c r="J165" i="86"/>
  <c r="H49" i="94"/>
  <c r="I45" i="94" s="1"/>
  <c r="B52" i="92"/>
  <c r="E41" i="94"/>
  <c r="Y26" i="66"/>
  <c r="AC26" i="66" s="1"/>
  <c r="D41" i="94"/>
  <c r="C41" i="94"/>
  <c r="H24" i="62"/>
  <c r="CG29" i="62" s="1"/>
  <c r="CE29" i="62" s="1"/>
  <c r="G23" i="62"/>
  <c r="G16" i="62"/>
  <c r="G13" i="62"/>
  <c r="CG23" i="62"/>
  <c r="CE23" i="62" s="1"/>
  <c r="G20" i="62"/>
  <c r="G19" i="62"/>
  <c r="H16" i="62"/>
  <c r="CF21" i="62" s="1"/>
  <c r="H19" i="62"/>
  <c r="CF24" i="62" s="1"/>
  <c r="AF184" i="19"/>
  <c r="AD184" i="19"/>
  <c r="H28" i="62"/>
  <c r="H21" i="62"/>
  <c r="CF26" i="62" s="1"/>
  <c r="Z184" i="19"/>
  <c r="H22" i="62"/>
  <c r="CG27" i="62" s="1"/>
  <c r="CE27" i="62" s="1"/>
  <c r="H23" i="62"/>
  <c r="F30" i="62"/>
  <c r="H6" i="62" s="1"/>
  <c r="G10" i="62"/>
  <c r="Y184" i="19"/>
  <c r="H20" i="62"/>
  <c r="CF25" i="62" s="1"/>
  <c r="AA184" i="19"/>
  <c r="G27" i="62"/>
  <c r="X184" i="19"/>
  <c r="H27" i="62"/>
  <c r="CG32" i="62" s="1"/>
  <c r="CE32" i="62" s="1"/>
  <c r="H13" i="62"/>
  <c r="AB184" i="19"/>
  <c r="G17" i="62"/>
  <c r="H17" i="62"/>
  <c r="CF22" i="62" s="1"/>
  <c r="AG184" i="19"/>
  <c r="AC184" i="19"/>
  <c r="H29" i="62"/>
  <c r="G29" i="62"/>
  <c r="E30" i="62"/>
  <c r="CG20" i="62" l="1"/>
  <c r="CE20" i="62" s="1"/>
  <c r="CG30" i="62"/>
  <c r="CG26" i="62"/>
  <c r="CE26" i="62" s="1"/>
  <c r="H30" i="62"/>
  <c r="AB26" i="66"/>
  <c r="I48" i="94"/>
  <c r="I46" i="94"/>
  <c r="I50" i="94"/>
  <c r="I49" i="94"/>
  <c r="I47" i="94"/>
  <c r="AA26" i="66"/>
  <c r="AD26" i="66"/>
  <c r="CG21" i="62"/>
  <c r="CE21" i="62" s="1"/>
  <c r="CG24" i="62"/>
  <c r="CE24" i="62" s="1"/>
  <c r="CG25" i="62"/>
  <c r="CE25" i="62" s="1"/>
  <c r="CG22" i="62"/>
  <c r="CE22" i="62" s="1"/>
  <c r="CF30" i="62"/>
  <c r="CG28" i="62"/>
  <c r="CE28" i="62" s="1"/>
  <c r="G30" i="62"/>
  <c r="H7" i="62" s="1"/>
  <c r="CE30" i="62" l="1"/>
</calcChain>
</file>

<file path=xl/comments1.xml><?xml version="1.0" encoding="utf-8"?>
<comments xmlns="http://schemas.openxmlformats.org/spreadsheetml/2006/main">
  <authors>
    <author>Cc Ting Lum</author>
  </authors>
  <commentList>
    <comment ref="R42" authorId="0" shapeId="0">
      <text>
        <r>
          <rPr>
            <b/>
            <sz val="9"/>
            <color indexed="81"/>
            <rFont val="Tahoma"/>
            <family val="2"/>
          </rPr>
          <t>Cc Ting Lum:</t>
        </r>
        <r>
          <rPr>
            <sz val="9"/>
            <color indexed="81"/>
            <rFont val="Tahoma"/>
            <family val="2"/>
          </rPr>
          <t xml:space="preserve">
17 HH 166 PP moved to San Lun village,Man Si township</t>
        </r>
      </text>
    </comment>
    <comment ref="R166" authorId="0" shapeId="0">
      <text>
        <r>
          <rPr>
            <b/>
            <sz val="9"/>
            <color indexed="81"/>
            <rFont val="Tahoma"/>
            <family val="2"/>
          </rPr>
          <t>Cc Ting Lum:</t>
        </r>
        <r>
          <rPr>
            <sz val="9"/>
            <color indexed="81"/>
            <rFont val="Tahoma"/>
            <family val="2"/>
          </rPr>
          <t xml:space="preserve">
11 HH 77 PP returned to village of Origin</t>
        </r>
      </text>
    </comment>
    <comment ref="R301" authorId="0" shapeId="0">
      <text>
        <r>
          <rPr>
            <b/>
            <sz val="9"/>
            <color indexed="81"/>
            <rFont val="Tahoma"/>
            <family val="2"/>
          </rPr>
          <t>Cc Ting Lum:</t>
        </r>
        <r>
          <rPr>
            <sz val="9"/>
            <color indexed="81"/>
            <rFont val="Tahoma"/>
            <family val="2"/>
          </rPr>
          <t xml:space="preserve">
Added list IDPs stayed in Host community ( 27 HHs with 117 PP)
</t>
        </r>
      </text>
    </comment>
  </commentList>
</comments>
</file>

<file path=xl/comments2.xml><?xml version="1.0" encoding="utf-8"?>
<comments xmlns="http://schemas.openxmlformats.org/spreadsheetml/2006/main">
  <authors>
    <author>Soe Moe Kyi</author>
    <author>Deepika Bhardwaj</author>
  </authors>
  <commentList>
    <comment ref="M8" authorId="0" shapeId="0">
      <text>
        <r>
          <rPr>
            <b/>
            <sz val="9"/>
            <color indexed="81"/>
            <rFont val="Tahoma"/>
            <family val="2"/>
          </rPr>
          <t>Soe Moe Kyi:</t>
        </r>
        <r>
          <rPr>
            <sz val="9"/>
            <color indexed="81"/>
            <rFont val="Tahoma"/>
            <family val="2"/>
          </rPr>
          <t xml:space="preserve">
Individual house</t>
        </r>
      </text>
    </comment>
    <comment ref="M38" authorId="0" shapeId="0">
      <text>
        <r>
          <rPr>
            <b/>
            <sz val="9"/>
            <color indexed="81"/>
            <rFont val="Tahoma"/>
            <family val="2"/>
          </rPr>
          <t>Soe Moe Kyi:</t>
        </r>
        <r>
          <rPr>
            <sz val="9"/>
            <color indexed="81"/>
            <rFont val="Tahoma"/>
            <family val="2"/>
          </rPr>
          <t xml:space="preserve">
UNHCR 25
MHF     25</t>
        </r>
      </text>
    </comment>
    <comment ref="N38" authorId="0" shapeId="0">
      <text>
        <r>
          <rPr>
            <b/>
            <sz val="9"/>
            <color indexed="81"/>
            <rFont val="Tahoma"/>
            <family val="2"/>
          </rPr>
          <t>Soe Moe Kyi:</t>
        </r>
        <r>
          <rPr>
            <sz val="9"/>
            <color indexed="81"/>
            <rFont val="Tahoma"/>
            <family val="2"/>
          </rPr>
          <t xml:space="preserve">
UNHCR 25
MHF     25</t>
        </r>
      </text>
    </comment>
    <comment ref="Q52" authorId="0" shapeId="0">
      <text>
        <r>
          <rPr>
            <b/>
            <sz val="9"/>
            <color indexed="81"/>
            <rFont val="Tahoma"/>
            <family val="2"/>
          </rPr>
          <t>Soe Moe Kyi:</t>
        </r>
        <r>
          <rPr>
            <sz val="9"/>
            <color indexed="81"/>
            <rFont val="Tahoma"/>
            <family val="2"/>
          </rPr>
          <t xml:space="preserve">
C hall for renovation.</t>
        </r>
      </text>
    </comment>
    <comment ref="M57" authorId="0" shapeId="0">
      <text>
        <r>
          <rPr>
            <b/>
            <sz val="9"/>
            <color indexed="81"/>
            <rFont val="Tahoma"/>
            <family val="2"/>
          </rPr>
          <t>Soe Moe Kyi:</t>
        </r>
        <r>
          <rPr>
            <sz val="9"/>
            <color indexed="81"/>
            <rFont val="Tahoma"/>
            <family val="2"/>
          </rPr>
          <t xml:space="preserve">
individual housing by KMSSL-MHF1st will start in May 2019.</t>
        </r>
      </text>
    </comment>
    <comment ref="M60" authorId="0" shapeId="0">
      <text>
        <r>
          <rPr>
            <b/>
            <sz val="9"/>
            <color indexed="81"/>
            <rFont val="Tahoma"/>
            <family val="2"/>
          </rPr>
          <t>Soe Moe Kyi:</t>
        </r>
        <r>
          <rPr>
            <sz val="9"/>
            <color indexed="81"/>
            <rFont val="Tahoma"/>
            <family val="2"/>
          </rPr>
          <t xml:space="preserve">
MHF 24 units
ICRC 38 units</t>
        </r>
      </text>
    </comment>
    <comment ref="N60" authorId="0" shapeId="0">
      <text>
        <r>
          <rPr>
            <b/>
            <sz val="9"/>
            <color indexed="81"/>
            <rFont val="Tahoma"/>
            <family val="2"/>
          </rPr>
          <t>Soe Moe Kyi:</t>
        </r>
        <r>
          <rPr>
            <sz val="9"/>
            <color indexed="81"/>
            <rFont val="Tahoma"/>
            <family val="2"/>
          </rPr>
          <t xml:space="preserve">
MHF 24 units
ICRC 38 units</t>
        </r>
      </text>
    </comment>
    <comment ref="M62" authorId="0" shapeId="0">
      <text>
        <r>
          <rPr>
            <b/>
            <sz val="9"/>
            <color indexed="81"/>
            <rFont val="Tahoma"/>
            <family val="2"/>
          </rPr>
          <t>Soe Moe Kyi:</t>
        </r>
        <r>
          <rPr>
            <sz val="9"/>
            <color indexed="81"/>
            <rFont val="Tahoma"/>
            <family val="2"/>
          </rPr>
          <t xml:space="preserve">
24 Individual housing by KMSS-L/MHF1st. (on going)
27 Individual housing by KMSS-L/Cordaid.(completed)</t>
        </r>
      </text>
    </comment>
    <comment ref="M64" authorId="0" shapeId="0">
      <text>
        <r>
          <rPr>
            <b/>
            <sz val="9"/>
            <color indexed="81"/>
            <rFont val="Tahoma"/>
            <family val="2"/>
          </rPr>
          <t>Soe Moe Kyi:</t>
        </r>
        <r>
          <rPr>
            <sz val="9"/>
            <color indexed="81"/>
            <rFont val="Tahoma"/>
            <family val="2"/>
          </rPr>
          <t xml:space="preserve">
Individual housing.</t>
        </r>
      </text>
    </comment>
    <comment ref="H66" authorId="0" shapeId="0">
      <text>
        <r>
          <rPr>
            <b/>
            <sz val="9"/>
            <color indexed="81"/>
            <rFont val="Tahoma"/>
            <family val="2"/>
          </rPr>
          <t>author</t>
        </r>
        <r>
          <rPr>
            <sz val="9"/>
            <color indexed="81"/>
            <rFont val="Tahoma"/>
            <family val="2"/>
          </rPr>
          <t xml:space="preserve">
IRRC report 2019</t>
        </r>
      </text>
    </comment>
    <comment ref="J66" authorId="0" shapeId="0">
      <text>
        <r>
          <rPr>
            <b/>
            <sz val="9"/>
            <color indexed="81"/>
            <rFont val="Tahoma"/>
            <family val="2"/>
          </rPr>
          <t>Author</t>
        </r>
        <r>
          <rPr>
            <sz val="9"/>
            <color indexed="81"/>
            <rFont val="Tahoma"/>
            <family val="2"/>
          </rPr>
          <t xml:space="preserve">
IRRC report 2019</t>
        </r>
      </text>
    </comment>
    <comment ref="M70" authorId="0" shapeId="0">
      <text>
        <r>
          <rPr>
            <b/>
            <sz val="9"/>
            <color indexed="81"/>
            <rFont val="Tahoma"/>
            <family val="2"/>
          </rPr>
          <t>Soe Moe Kyi:</t>
        </r>
        <r>
          <rPr>
            <sz val="9"/>
            <color indexed="81"/>
            <rFont val="Tahoma"/>
            <family val="2"/>
          </rPr>
          <t xml:space="preserve">
NRC/MHF</t>
        </r>
      </text>
    </comment>
    <comment ref="P70" authorId="0" shapeId="0">
      <text>
        <r>
          <rPr>
            <b/>
            <sz val="9"/>
            <color indexed="81"/>
            <rFont val="Tahoma"/>
            <family val="2"/>
          </rPr>
          <t>Soe Moe Kyi:</t>
        </r>
        <r>
          <rPr>
            <sz val="9"/>
            <color indexed="81"/>
            <rFont val="Tahoma"/>
            <family val="2"/>
          </rPr>
          <t xml:space="preserve">
KMSS-BMO/UNHCR</t>
        </r>
      </text>
    </comment>
    <comment ref="AF79" authorId="0" shapeId="0">
      <text>
        <r>
          <rPr>
            <b/>
            <sz val="9"/>
            <color indexed="81"/>
            <rFont val="Tahoma"/>
            <family val="2"/>
          </rPr>
          <t>Soe Moe Kyi:</t>
        </r>
        <r>
          <rPr>
            <sz val="9"/>
            <color indexed="81"/>
            <rFont val="Tahoma"/>
            <family val="2"/>
          </rPr>
          <t xml:space="preserve">
0 units in July report</t>
        </r>
      </text>
    </comment>
    <comment ref="M83" authorId="0" shapeId="0">
      <text>
        <r>
          <rPr>
            <b/>
            <sz val="9"/>
            <color indexed="81"/>
            <rFont val="Tahoma"/>
            <family val="2"/>
          </rPr>
          <t>Soe Moe Kyi:</t>
        </r>
        <r>
          <rPr>
            <sz val="9"/>
            <color indexed="81"/>
            <rFont val="Tahoma"/>
            <family val="2"/>
          </rPr>
          <t xml:space="preserve">
KBC-MHF1st on going.</t>
        </r>
      </text>
    </comment>
    <comment ref="N83" authorId="0" shapeId="0">
      <text>
        <r>
          <rPr>
            <b/>
            <sz val="9"/>
            <color indexed="81"/>
            <rFont val="Tahoma"/>
            <family val="2"/>
          </rPr>
          <t>Soe Moe Kyi:</t>
        </r>
        <r>
          <rPr>
            <sz val="9"/>
            <color indexed="81"/>
            <rFont val="Tahoma"/>
            <family val="2"/>
          </rPr>
          <t xml:space="preserve">
KBC-MHF1st on going.</t>
        </r>
      </text>
    </comment>
    <comment ref="O83" authorId="0" shapeId="0">
      <text>
        <r>
          <rPr>
            <b/>
            <sz val="9"/>
            <color indexed="81"/>
            <rFont val="Tahoma"/>
            <family val="2"/>
          </rPr>
          <t>Soe Moe Kyi:</t>
        </r>
        <r>
          <rPr>
            <sz val="9"/>
            <color indexed="81"/>
            <rFont val="Tahoma"/>
            <family val="2"/>
          </rPr>
          <t xml:space="preserve">
KBC-MHF1st on going.</t>
        </r>
      </text>
    </comment>
    <comment ref="L91" authorId="0" shapeId="0">
      <text>
        <r>
          <rPr>
            <b/>
            <sz val="9"/>
            <color indexed="81"/>
            <rFont val="Tahoma"/>
            <family val="2"/>
          </rPr>
          <t>Author</t>
        </r>
        <r>
          <rPr>
            <sz val="9"/>
            <color indexed="81"/>
            <rFont val="Tahoma"/>
            <family val="2"/>
          </rPr>
          <t xml:space="preserve">
gap for ware house.
Reported by KMSS-M in June report.</t>
        </r>
      </text>
    </comment>
    <comment ref="H92" authorId="0" shapeId="0">
      <text>
        <r>
          <rPr>
            <b/>
            <sz val="9"/>
            <color indexed="81"/>
            <rFont val="Tahoma"/>
            <family val="2"/>
          </rPr>
          <t>Author</t>
        </r>
        <r>
          <rPr>
            <sz val="9"/>
            <color indexed="81"/>
            <rFont val="Tahoma"/>
            <family val="2"/>
          </rPr>
          <t xml:space="preserve">
IRRC report 2019
294 units</t>
        </r>
      </text>
    </comment>
    <comment ref="J92" authorId="0" shapeId="0">
      <text>
        <r>
          <rPr>
            <b/>
            <sz val="9"/>
            <color indexed="81"/>
            <rFont val="Tahoma"/>
            <family val="2"/>
          </rPr>
          <t>author</t>
        </r>
        <r>
          <rPr>
            <sz val="9"/>
            <color indexed="81"/>
            <rFont val="Tahoma"/>
            <family val="2"/>
          </rPr>
          <t xml:space="preserve">
IRRC report 2019</t>
        </r>
      </text>
    </comment>
    <comment ref="M98" authorId="0" shapeId="0">
      <text>
        <r>
          <rPr>
            <b/>
            <sz val="9"/>
            <color indexed="81"/>
            <rFont val="Tahoma"/>
            <family val="2"/>
          </rPr>
          <t>Soe Moe Kyi:</t>
        </r>
        <r>
          <rPr>
            <sz val="9"/>
            <color indexed="81"/>
            <rFont val="Tahoma"/>
            <family val="2"/>
          </rPr>
          <t xml:space="preserve">
UNHCR 17
NRC     10</t>
        </r>
      </text>
    </comment>
    <comment ref="N98" authorId="0" shapeId="0">
      <text>
        <r>
          <rPr>
            <b/>
            <sz val="9"/>
            <color indexed="81"/>
            <rFont val="Tahoma"/>
            <family val="2"/>
          </rPr>
          <t>Soe Moe Kyi:</t>
        </r>
        <r>
          <rPr>
            <sz val="9"/>
            <color indexed="81"/>
            <rFont val="Tahoma"/>
            <family val="2"/>
          </rPr>
          <t xml:space="preserve">
UNHCR 17
NRC     10</t>
        </r>
      </text>
    </comment>
    <comment ref="H100" authorId="0" shapeId="0">
      <text>
        <r>
          <rPr>
            <b/>
            <sz val="9"/>
            <color indexed="81"/>
            <rFont val="Tahoma"/>
            <family val="2"/>
          </rPr>
          <t xml:space="preserve">Author
</t>
        </r>
        <r>
          <rPr>
            <sz val="9"/>
            <color indexed="81"/>
            <rFont val="Tahoma"/>
            <family val="2"/>
          </rPr>
          <t>IRRC report 2019
150 units</t>
        </r>
      </text>
    </comment>
    <comment ref="H101" authorId="0" shapeId="0">
      <text>
        <r>
          <rPr>
            <sz val="9"/>
            <color indexed="81"/>
            <rFont val="Tahoma"/>
            <family val="2"/>
          </rPr>
          <t>author
IRRC report 2019
481 units</t>
        </r>
      </text>
    </comment>
    <comment ref="M105" authorId="0" shapeId="0">
      <text>
        <r>
          <rPr>
            <b/>
            <sz val="9"/>
            <color indexed="81"/>
            <rFont val="Tahoma"/>
            <family val="2"/>
          </rPr>
          <t>Soe Moe Kyi:</t>
        </r>
        <r>
          <rPr>
            <sz val="9"/>
            <color indexed="81"/>
            <rFont val="Tahoma"/>
            <family val="2"/>
          </rPr>
          <t xml:space="preserve">
Individual house.</t>
        </r>
      </text>
    </comment>
    <comment ref="K109" authorId="0" shapeId="0">
      <text>
        <r>
          <rPr>
            <b/>
            <sz val="9"/>
            <color indexed="81"/>
            <rFont val="Tahoma"/>
            <family val="2"/>
          </rPr>
          <t>Soe Moe Kyi:</t>
        </r>
        <r>
          <rPr>
            <sz val="9"/>
            <color indexed="81"/>
            <rFont val="Tahoma"/>
            <family val="2"/>
          </rPr>
          <t xml:space="preserve">
105 shleter
3 kitchen</t>
        </r>
      </text>
    </comment>
    <comment ref="P109" authorId="0" shapeId="0">
      <text>
        <r>
          <rPr>
            <b/>
            <sz val="9"/>
            <color indexed="81"/>
            <rFont val="Tahoma"/>
            <family val="2"/>
          </rPr>
          <t>Soe Moe Kyi:</t>
        </r>
        <r>
          <rPr>
            <sz val="9"/>
            <color indexed="81"/>
            <rFont val="Tahoma"/>
            <family val="2"/>
          </rPr>
          <t xml:space="preserve">
105 shleter
3 kitchen</t>
        </r>
      </text>
    </comment>
    <comment ref="L114" authorId="0" shapeId="0">
      <text>
        <r>
          <rPr>
            <b/>
            <sz val="9"/>
            <color indexed="81"/>
            <rFont val="Tahoma"/>
            <family val="2"/>
          </rPr>
          <t>Soe Moe Kyi:</t>
        </r>
        <r>
          <rPr>
            <sz val="9"/>
            <color indexed="81"/>
            <rFont val="Tahoma"/>
            <family val="2"/>
          </rPr>
          <t xml:space="preserve">
C&amp;M only</t>
        </r>
      </text>
    </comment>
    <comment ref="K130" authorId="0" shapeId="0">
      <text>
        <r>
          <rPr>
            <b/>
            <sz val="9"/>
            <color indexed="81"/>
            <rFont val="Tahoma"/>
            <family val="2"/>
          </rPr>
          <t>Soe Moe Kyi:</t>
        </r>
        <r>
          <rPr>
            <sz val="9"/>
            <color indexed="81"/>
            <rFont val="Tahoma"/>
            <family val="2"/>
          </rPr>
          <t xml:space="preserve">
kitchen only.</t>
        </r>
      </text>
    </comment>
    <comment ref="O130" authorId="0" shapeId="0">
      <text>
        <r>
          <rPr>
            <b/>
            <sz val="9"/>
            <color indexed="81"/>
            <rFont val="Tahoma"/>
            <family val="2"/>
          </rPr>
          <t>Soe Moe Kyi:</t>
        </r>
        <r>
          <rPr>
            <sz val="9"/>
            <color indexed="81"/>
            <rFont val="Tahoma"/>
            <family val="2"/>
          </rPr>
          <t xml:space="preserve">
Kitchen only.</t>
        </r>
      </text>
    </comment>
    <comment ref="H143" authorId="0" shapeId="0">
      <text>
        <r>
          <rPr>
            <b/>
            <sz val="9"/>
            <color indexed="81"/>
            <rFont val="Tahoma"/>
            <family val="2"/>
          </rPr>
          <t>Soe Moe Kyi:</t>
        </r>
        <r>
          <rPr>
            <sz val="9"/>
            <color indexed="81"/>
            <rFont val="Tahoma"/>
            <family val="2"/>
          </rPr>
          <t xml:space="preserve">
11 out of 17 moved to Seng Ja village.</t>
        </r>
      </text>
    </comment>
    <comment ref="L144" authorId="0" shapeId="0">
      <text>
        <r>
          <rPr>
            <b/>
            <sz val="9"/>
            <color indexed="81"/>
            <rFont val="Tahoma"/>
            <family val="2"/>
          </rPr>
          <t>Soe Moe Kyi:</t>
        </r>
        <r>
          <rPr>
            <sz val="9"/>
            <color indexed="81"/>
            <rFont val="Tahoma"/>
            <family val="2"/>
          </rPr>
          <t xml:space="preserve">
for renovation.</t>
        </r>
      </text>
    </comment>
    <comment ref="L149" authorId="0" shapeId="0">
      <text>
        <r>
          <rPr>
            <b/>
            <sz val="9"/>
            <color indexed="81"/>
            <rFont val="Tahoma"/>
            <family val="2"/>
          </rPr>
          <t>Soe Moe Kyi:</t>
        </r>
        <r>
          <rPr>
            <sz val="9"/>
            <color indexed="81"/>
            <rFont val="Tahoma"/>
            <family val="2"/>
          </rPr>
          <t xml:space="preserve">
C&amp;M only</t>
        </r>
      </text>
    </comment>
    <comment ref="Q149" authorId="0" shapeId="0">
      <text>
        <r>
          <rPr>
            <b/>
            <sz val="9"/>
            <color indexed="81"/>
            <rFont val="Tahoma"/>
            <family val="2"/>
          </rPr>
          <t>Soe Moe Kyi:</t>
        </r>
        <r>
          <rPr>
            <sz val="9"/>
            <color indexed="81"/>
            <rFont val="Tahoma"/>
            <family val="2"/>
          </rPr>
          <t xml:space="preserve">
C&amp;M only</t>
        </r>
      </text>
    </comment>
    <comment ref="M160" authorId="0" shapeId="0">
      <text>
        <r>
          <rPr>
            <b/>
            <sz val="9"/>
            <color indexed="81"/>
            <rFont val="Tahoma"/>
            <family val="2"/>
          </rPr>
          <t>Soe Moe Kyi:</t>
        </r>
        <r>
          <rPr>
            <sz val="9"/>
            <color indexed="81"/>
            <rFont val="Tahoma"/>
            <family val="2"/>
          </rPr>
          <t xml:space="preserve">
UNHCR 25
MHF     60</t>
        </r>
      </text>
    </comment>
    <comment ref="N160" authorId="0" shapeId="0">
      <text>
        <r>
          <rPr>
            <b/>
            <sz val="9"/>
            <color indexed="81"/>
            <rFont val="Tahoma"/>
            <family val="2"/>
          </rPr>
          <t>Soe Moe Kyi:</t>
        </r>
        <r>
          <rPr>
            <sz val="9"/>
            <color indexed="81"/>
            <rFont val="Tahoma"/>
            <family val="2"/>
          </rPr>
          <t xml:space="preserve">
UNHCR 25
MHF     60</t>
        </r>
      </text>
    </comment>
    <comment ref="H164" authorId="0" shapeId="0">
      <text>
        <r>
          <rPr>
            <b/>
            <sz val="9"/>
            <color indexed="81"/>
            <rFont val="Tahoma"/>
            <family val="2"/>
          </rPr>
          <t>Author:</t>
        </r>
        <r>
          <rPr>
            <sz val="9"/>
            <color indexed="81"/>
            <rFont val="Tahoma"/>
            <family val="2"/>
          </rPr>
          <t xml:space="preserve">
IRRC report 2019
 9 units</t>
        </r>
      </text>
    </comment>
    <comment ref="J164" authorId="0" shapeId="0">
      <text>
        <r>
          <rPr>
            <b/>
            <sz val="9"/>
            <color indexed="81"/>
            <rFont val="Tahoma"/>
            <family val="2"/>
          </rPr>
          <t>Author</t>
        </r>
        <r>
          <rPr>
            <sz val="9"/>
            <color indexed="81"/>
            <rFont val="Tahoma"/>
            <family val="2"/>
          </rPr>
          <t xml:space="preserve">
IRRC report 2019</t>
        </r>
      </text>
    </comment>
    <comment ref="H166" authorId="0" shapeId="0">
      <text>
        <r>
          <rPr>
            <b/>
            <sz val="9"/>
            <color indexed="81"/>
            <rFont val="Tahoma"/>
            <family val="2"/>
          </rPr>
          <t>Soe Moe Kyi:</t>
        </r>
        <r>
          <rPr>
            <sz val="9"/>
            <color indexed="81"/>
            <rFont val="Tahoma"/>
            <family val="2"/>
          </rPr>
          <t xml:space="preserve">
IRRC report 2019
268 units</t>
        </r>
      </text>
    </comment>
    <comment ref="H172" authorId="0" shapeId="0">
      <text>
        <r>
          <rPr>
            <b/>
            <sz val="9"/>
            <color indexed="81"/>
            <rFont val="Tahoma"/>
            <family val="2"/>
          </rPr>
          <t>Author</t>
        </r>
        <r>
          <rPr>
            <sz val="9"/>
            <color indexed="81"/>
            <rFont val="Tahoma"/>
            <family val="2"/>
          </rPr>
          <t xml:space="preserve">
IRRC report 2019
36 units</t>
        </r>
      </text>
    </comment>
    <comment ref="J173" authorId="0" shapeId="0">
      <text>
        <r>
          <rPr>
            <b/>
            <sz val="9"/>
            <color indexed="81"/>
            <rFont val="Tahoma"/>
            <family val="2"/>
          </rPr>
          <t>Author:</t>
        </r>
        <r>
          <rPr>
            <sz val="9"/>
            <color indexed="81"/>
            <rFont val="Tahoma"/>
            <family val="2"/>
          </rPr>
          <t xml:space="preserve">
IRRC report 2019</t>
        </r>
      </text>
    </comment>
    <comment ref="H176" authorId="1" shapeId="0">
      <text>
        <r>
          <rPr>
            <b/>
            <sz val="9"/>
            <color indexed="81"/>
            <rFont val="Tahoma"/>
            <family val="2"/>
          </rPr>
          <t>Total HH is 36 however because of the family size shelter needed is 55</t>
        </r>
      </text>
    </comment>
    <comment ref="M176" authorId="1" shapeId="0">
      <text>
        <r>
          <rPr>
            <sz val="9"/>
            <color indexed="81"/>
            <rFont val="Tahoma"/>
            <family val="2"/>
          </rPr>
          <t>NRC/MHF: 20 
Shalom/UNHCR: 35</t>
        </r>
      </text>
    </comment>
    <comment ref="H182" authorId="0" shapeId="0">
      <text>
        <r>
          <rPr>
            <sz val="9"/>
            <color indexed="81"/>
            <rFont val="Tahoma"/>
            <family val="2"/>
          </rPr>
          <t xml:space="preserve">Author:
700 HH host family living in host couldn’t afford the room rental fees any more.
IRRC report 2019
209 units
</t>
        </r>
      </text>
    </comment>
    <comment ref="I182" authorId="0" shapeId="0">
      <text>
        <r>
          <rPr>
            <b/>
            <sz val="9"/>
            <color indexed="81"/>
            <rFont val="Tahoma"/>
            <family val="2"/>
          </rPr>
          <t>Author:</t>
        </r>
        <r>
          <rPr>
            <sz val="9"/>
            <color indexed="81"/>
            <rFont val="Tahoma"/>
            <family val="2"/>
          </rPr>
          <t xml:space="preserve">
733 units in KMSS-M's June report.</t>
        </r>
      </text>
    </comment>
  </commentList>
</comments>
</file>

<file path=xl/comments3.xml><?xml version="1.0" encoding="utf-8"?>
<comments xmlns="http://schemas.openxmlformats.org/spreadsheetml/2006/main">
  <authors>
    <author>Cc Ting Lum</author>
  </authors>
  <commentList>
    <comment ref="BO4" authorId="0" shapeId="0">
      <text>
        <r>
          <rPr>
            <b/>
            <sz val="9"/>
            <color indexed="81"/>
            <rFont val="Tahoma"/>
            <family val="2"/>
          </rPr>
          <t>Cc Ting Lum:</t>
        </r>
        <r>
          <rPr>
            <sz val="9"/>
            <color indexed="81"/>
            <rFont val="Tahoma"/>
            <family val="2"/>
          </rPr>
          <t xml:space="preserve">
UNIQLO</t>
        </r>
      </text>
    </comment>
    <comment ref="BO8" authorId="0" shapeId="0">
      <text>
        <r>
          <rPr>
            <b/>
            <sz val="9"/>
            <color indexed="81"/>
            <rFont val="Tahoma"/>
            <family val="2"/>
          </rPr>
          <t>Cc Ting Lum:</t>
        </r>
        <r>
          <rPr>
            <sz val="9"/>
            <color indexed="81"/>
            <rFont val="Tahoma"/>
            <family val="2"/>
          </rPr>
          <t xml:space="preserve">
FLASH</t>
        </r>
      </text>
    </comment>
  </commentList>
</comments>
</file>

<file path=xl/comments4.xml><?xml version="1.0" encoding="utf-8"?>
<comments xmlns="http://schemas.openxmlformats.org/spreadsheetml/2006/main">
  <authors>
    <author>Cc Ting Lum</author>
    <author>Soe Moe Kyi</author>
  </authors>
  <commentList>
    <comment ref="R390" authorId="0" shapeId="0">
      <text>
        <r>
          <rPr>
            <b/>
            <sz val="9"/>
            <color indexed="81"/>
            <rFont val="Tahoma"/>
            <family val="2"/>
          </rPr>
          <t>Cc Ting Lum:</t>
        </r>
        <r>
          <rPr>
            <sz val="9"/>
            <color indexed="81"/>
            <rFont val="Tahoma"/>
            <family val="2"/>
          </rPr>
          <t xml:space="preserve">
Bra and panty</t>
        </r>
      </text>
    </comment>
    <comment ref="Z465" authorId="1" shapeId="0">
      <text>
        <r>
          <rPr>
            <b/>
            <sz val="9"/>
            <color indexed="81"/>
            <rFont val="Tahoma"/>
            <family val="2"/>
          </rPr>
          <t>Soe Moe Kyi:</t>
        </r>
        <r>
          <rPr>
            <sz val="9"/>
            <color indexed="81"/>
            <rFont val="Tahoma"/>
            <family val="2"/>
          </rPr>
          <t xml:space="preserve">
solar sheet for 22 HHs</t>
        </r>
      </text>
    </comment>
    <comment ref="AA469" authorId="1" shapeId="0">
      <text>
        <r>
          <rPr>
            <b/>
            <sz val="9"/>
            <color indexed="81"/>
            <rFont val="Tahoma"/>
            <family val="2"/>
          </rPr>
          <t>Soe Moe Kyi:</t>
        </r>
        <r>
          <rPr>
            <sz val="9"/>
            <color indexed="81"/>
            <rFont val="Tahoma"/>
            <family val="2"/>
          </rPr>
          <t xml:space="preserve">
Zinc sheet for one HH</t>
        </r>
      </text>
    </comment>
    <comment ref="P471" authorId="1" shapeId="0">
      <text>
        <r>
          <rPr>
            <b/>
            <sz val="9"/>
            <color indexed="81"/>
            <rFont val="Tahoma"/>
            <family val="2"/>
          </rPr>
          <t>Soe Moe Kyi:</t>
        </r>
        <r>
          <rPr>
            <sz val="9"/>
            <color indexed="81"/>
            <rFont val="Tahoma"/>
            <family val="2"/>
          </rPr>
          <t xml:space="preserve">
covered for 38 hhs</t>
        </r>
      </text>
    </comment>
    <comment ref="AA472" authorId="1" shapeId="0">
      <text>
        <r>
          <rPr>
            <b/>
            <sz val="9"/>
            <color indexed="81"/>
            <rFont val="Tahoma"/>
            <family val="2"/>
          </rPr>
          <t>Soe Moe Kyi:</t>
        </r>
        <r>
          <rPr>
            <sz val="9"/>
            <color indexed="81"/>
            <rFont val="Tahoma"/>
            <family val="2"/>
          </rPr>
          <t xml:space="preserve">
Zinc sheet.</t>
        </r>
      </text>
    </comment>
    <comment ref="W485" authorId="1" shapeId="0">
      <text>
        <r>
          <rPr>
            <b/>
            <sz val="9"/>
            <color indexed="81"/>
            <rFont val="Tahoma"/>
            <family val="2"/>
          </rPr>
          <t>Soe Moe Kyi:</t>
        </r>
        <r>
          <rPr>
            <sz val="9"/>
            <color indexed="81"/>
            <rFont val="Tahoma"/>
            <family val="2"/>
          </rPr>
          <t xml:space="preserve">
Benjaimin</t>
        </r>
      </text>
    </comment>
    <comment ref="O489" authorId="1" shapeId="0">
      <text>
        <r>
          <rPr>
            <b/>
            <sz val="9"/>
            <color indexed="81"/>
            <rFont val="Tahoma"/>
            <family val="2"/>
          </rPr>
          <t>Soe Moe Kyi:</t>
        </r>
        <r>
          <rPr>
            <sz val="9"/>
            <color indexed="81"/>
            <rFont val="Tahoma"/>
            <family val="2"/>
          </rPr>
          <t xml:space="preserve">
(6'x 300')/roll</t>
        </r>
      </text>
    </comment>
    <comment ref="O492" authorId="1" shapeId="0">
      <text>
        <r>
          <rPr>
            <b/>
            <sz val="9"/>
            <color indexed="81"/>
            <rFont val="Tahoma"/>
            <family val="2"/>
          </rPr>
          <t>Soe Moe Kyi:</t>
        </r>
        <r>
          <rPr>
            <sz val="9"/>
            <color indexed="81"/>
            <rFont val="Tahoma"/>
            <family val="2"/>
          </rPr>
          <t xml:space="preserve">
(12'x 21')/sheet</t>
        </r>
      </text>
    </comment>
    <comment ref="O493" authorId="1" shapeId="0">
      <text>
        <r>
          <rPr>
            <b/>
            <sz val="9"/>
            <color indexed="81"/>
            <rFont val="Tahoma"/>
            <family val="2"/>
          </rPr>
          <t>Soe Moe Kyi:</t>
        </r>
        <r>
          <rPr>
            <sz val="9"/>
            <color indexed="81"/>
            <rFont val="Tahoma"/>
            <family val="2"/>
          </rPr>
          <t xml:space="preserve">
(12'x 21')/sheet</t>
        </r>
      </text>
    </comment>
    <comment ref="O494" authorId="1" shapeId="0">
      <text>
        <r>
          <rPr>
            <b/>
            <sz val="9"/>
            <color indexed="81"/>
            <rFont val="Tahoma"/>
            <family val="2"/>
          </rPr>
          <t>Soe Moe Kyi:</t>
        </r>
        <r>
          <rPr>
            <sz val="9"/>
            <color indexed="81"/>
            <rFont val="Tahoma"/>
            <family val="2"/>
          </rPr>
          <t xml:space="preserve">
(12'x 21')/sheet</t>
        </r>
      </text>
    </comment>
    <comment ref="O495" authorId="1" shapeId="0">
      <text>
        <r>
          <rPr>
            <b/>
            <sz val="9"/>
            <color indexed="81"/>
            <rFont val="Tahoma"/>
            <family val="2"/>
          </rPr>
          <t>Soe Moe Kyi:</t>
        </r>
        <r>
          <rPr>
            <sz val="9"/>
            <color indexed="81"/>
            <rFont val="Tahoma"/>
            <family val="2"/>
          </rPr>
          <t xml:space="preserve">
(12'x 21')/sheet</t>
        </r>
      </text>
    </comment>
    <comment ref="O496" authorId="1" shapeId="0">
      <text>
        <r>
          <rPr>
            <b/>
            <sz val="9"/>
            <color indexed="81"/>
            <rFont val="Tahoma"/>
            <family val="2"/>
          </rPr>
          <t>Soe Moe Kyi:</t>
        </r>
        <r>
          <rPr>
            <sz val="9"/>
            <color indexed="81"/>
            <rFont val="Tahoma"/>
            <family val="2"/>
          </rPr>
          <t xml:space="preserve">
(12'x 21')/sheet</t>
        </r>
      </text>
    </comment>
    <comment ref="O497" authorId="1" shapeId="0">
      <text>
        <r>
          <rPr>
            <b/>
            <sz val="9"/>
            <color indexed="81"/>
            <rFont val="Tahoma"/>
            <family val="2"/>
          </rPr>
          <t>Soe Moe Kyi:</t>
        </r>
        <r>
          <rPr>
            <sz val="9"/>
            <color indexed="81"/>
            <rFont val="Tahoma"/>
            <family val="2"/>
          </rPr>
          <t xml:space="preserve">
(12'x 21')/sheet</t>
        </r>
      </text>
    </comment>
    <comment ref="O498" authorId="1" shapeId="0">
      <text>
        <r>
          <rPr>
            <b/>
            <sz val="9"/>
            <color indexed="81"/>
            <rFont val="Tahoma"/>
            <family val="2"/>
          </rPr>
          <t>Soe Moe Kyi:</t>
        </r>
        <r>
          <rPr>
            <sz val="9"/>
            <color indexed="81"/>
            <rFont val="Tahoma"/>
            <family val="2"/>
          </rPr>
          <t xml:space="preserve">
(12'x 21')/sheet</t>
        </r>
      </text>
    </comment>
    <comment ref="O499" authorId="1" shapeId="0">
      <text>
        <r>
          <rPr>
            <b/>
            <sz val="9"/>
            <color indexed="81"/>
            <rFont val="Tahoma"/>
            <family val="2"/>
          </rPr>
          <t>Soe Moe Kyi:</t>
        </r>
        <r>
          <rPr>
            <sz val="9"/>
            <color indexed="81"/>
            <rFont val="Tahoma"/>
            <family val="2"/>
          </rPr>
          <t xml:space="preserve">
(12'x 21')/sheet</t>
        </r>
      </text>
    </comment>
    <comment ref="O563" authorId="0" shapeId="0">
      <text>
        <r>
          <rPr>
            <b/>
            <sz val="9"/>
            <color indexed="81"/>
            <rFont val="Tahoma"/>
            <family val="2"/>
          </rPr>
          <t>Cc Ting Lum:</t>
        </r>
        <r>
          <rPr>
            <sz val="9"/>
            <color indexed="81"/>
            <rFont val="Tahoma"/>
            <family val="2"/>
          </rPr>
          <t xml:space="preserve">
12*21</t>
        </r>
      </text>
    </comment>
    <comment ref="W564" authorId="0" shapeId="0">
      <text>
        <r>
          <rPr>
            <b/>
            <sz val="9"/>
            <color indexed="81"/>
            <rFont val="Tahoma"/>
            <family val="2"/>
          </rPr>
          <t>Cc Ting Lum:</t>
        </r>
        <r>
          <rPr>
            <sz val="9"/>
            <color indexed="81"/>
            <rFont val="Tahoma"/>
            <family val="2"/>
          </rPr>
          <t xml:space="preserve">
Sock</t>
        </r>
      </text>
    </comment>
    <comment ref="W568" authorId="0" shapeId="0">
      <text>
        <r>
          <rPr>
            <b/>
            <sz val="9"/>
            <color indexed="81"/>
            <rFont val="Tahoma"/>
            <family val="2"/>
          </rPr>
          <t>Cc Ting Lum:</t>
        </r>
        <r>
          <rPr>
            <sz val="9"/>
            <color indexed="81"/>
            <rFont val="Tahoma"/>
            <family val="2"/>
          </rPr>
          <t xml:space="preserve">
Sock</t>
        </r>
      </text>
    </comment>
    <comment ref="O578" authorId="0" shapeId="0">
      <text>
        <r>
          <rPr>
            <b/>
            <sz val="9"/>
            <color indexed="81"/>
            <rFont val="Tahoma"/>
            <family val="2"/>
          </rPr>
          <t>Cc Ting Lum:</t>
        </r>
        <r>
          <rPr>
            <sz val="9"/>
            <color indexed="81"/>
            <rFont val="Tahoma"/>
            <family val="2"/>
          </rPr>
          <t xml:space="preserve">
Roll</t>
        </r>
      </text>
    </comment>
    <comment ref="W580" authorId="0" shapeId="0">
      <text>
        <r>
          <rPr>
            <b/>
            <sz val="9"/>
            <color indexed="81"/>
            <rFont val="Tahoma"/>
            <family val="2"/>
          </rPr>
          <t>Cc Ting Lum:</t>
        </r>
        <r>
          <rPr>
            <sz val="9"/>
            <color indexed="81"/>
            <rFont val="Tahoma"/>
            <family val="2"/>
          </rPr>
          <t xml:space="preserve">
FLASH</t>
        </r>
      </text>
    </comment>
    <comment ref="W581" authorId="0" shapeId="0">
      <text>
        <r>
          <rPr>
            <b/>
            <sz val="9"/>
            <color indexed="81"/>
            <rFont val="Tahoma"/>
            <family val="2"/>
          </rPr>
          <t>Cc Ting Lum:</t>
        </r>
        <r>
          <rPr>
            <sz val="9"/>
            <color indexed="81"/>
            <rFont val="Tahoma"/>
            <family val="2"/>
          </rPr>
          <t xml:space="preserve">
FLASH</t>
        </r>
      </text>
    </comment>
    <comment ref="AY610" authorId="0" shapeId="0">
      <text>
        <r>
          <rPr>
            <b/>
            <sz val="9"/>
            <color indexed="81"/>
            <rFont val="Tahoma"/>
            <family val="2"/>
          </rPr>
          <t>Cc Ting Lum:</t>
        </r>
        <r>
          <rPr>
            <sz val="9"/>
            <color indexed="81"/>
            <rFont val="Tahoma"/>
            <family val="2"/>
          </rPr>
          <t xml:space="preserve">
1858 Pics for Adult and Children
</t>
        </r>
      </text>
    </comment>
  </commentList>
</comments>
</file>

<file path=xl/sharedStrings.xml><?xml version="1.0" encoding="utf-8"?>
<sst xmlns="http://schemas.openxmlformats.org/spreadsheetml/2006/main" count="16756" uniqueCount="2104">
  <si>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</si>
  <si>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</si>
  <si>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</si>
  <si>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</si>
  <si>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</si>
  <si>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</si>
  <si>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</si>
  <si>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</si>
  <si>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</si>
  <si>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</si>
  <si>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</si>
  <si>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</si>
  <si>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</si>
  <si>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</si>
  <si>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</si>
  <si>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</si>
  <si>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</si>
  <si>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</si>
  <si>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</si>
  <si>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</si>
  <si>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</si>
  <si>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</si>
  <si>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</si>
  <si>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</si>
  <si>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</si>
  <si>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</si>
  <si>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</si>
  <si>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</si>
  <si>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</si>
  <si>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</si>
  <si>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</si>
  <si>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</si>
  <si>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</si>
  <si>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</si>
  <si>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</si>
  <si>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</si>
  <si>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</si>
  <si>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</si>
  <si>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</si>
  <si>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</si>
  <si>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</si>
  <si>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</si>
  <si>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</si>
  <si>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</si>
  <si>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</si>
  <si>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</si>
  <si>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</si>
  <si>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</si>
  <si>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</si>
  <si>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</si>
  <si>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</si>
  <si>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</si>
  <si>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</si>
  <si>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</si>
  <si>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</si>
  <si>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</si>
  <si>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</si>
  <si>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</si>
  <si>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</si>
  <si>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</si>
  <si>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</si>
  <si>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</si>
  <si>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</si>
  <si>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</si>
  <si>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</si>
  <si>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</si>
  <si>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</si>
  <si>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</si>
  <si>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</si>
  <si>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</si>
  <si>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</si>
  <si>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</si>
  <si>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</si>
  <si>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</si>
  <si>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</si>
  <si>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</si>
  <si>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</si>
  <si>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</si>
  <si>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</si>
  <si>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</si>
  <si>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</si>
  <si>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</si>
  <si>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</si>
  <si>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</si>
  <si>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</si>
  <si>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</si>
  <si>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</si>
  <si>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</si>
  <si>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</si>
  <si>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</si>
  <si>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</si>
  <si>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</si>
  <si>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</si>
  <si>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</si>
  <si>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</si>
  <si>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</si>
  <si>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</si>
  <si>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</si>
  <si>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</si>
  <si>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</si>
  <si>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</si>
  <si>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</si>
  <si>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</si>
  <si>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</si>
  <si>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</si>
  <si>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</si>
  <si>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</si>
  <si>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</si>
  <si>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</si>
  <si>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</si>
  <si>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</si>
  <si>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</si>
  <si>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</si>
  <si>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</si>
  <si>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</si>
  <si>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</si>
  <si>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</si>
  <si>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</si>
  <si>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</si>
  <si>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</si>
  <si>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</si>
  <si>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</si>
  <si>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</si>
  <si>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</si>
  <si>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</si>
  <si>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</si>
  <si>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</si>
  <si>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</si>
  <si>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</si>
  <si>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</si>
  <si>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</si>
  <si>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</si>
  <si>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</si>
  <si>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</si>
  <si>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</si>
  <si>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</si>
  <si>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</si>
  <si>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</si>
  <si>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</si>
  <si>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</si>
  <si>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</si>
  <si>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</si>
  <si>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</si>
  <si>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</si>
  <si>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</si>
  <si>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</si>
  <si>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</si>
  <si>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</si>
  <si>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</si>
  <si>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</si>
  <si>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</si>
  <si>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</si>
  <si>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</si>
  <si>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</si>
  <si>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</si>
  <si>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</si>
  <si>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</si>
  <si>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</si>
  <si>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</si>
  <si>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</si>
  <si>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</si>
  <si>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</si>
  <si>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</si>
  <si>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</si>
  <si>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</si>
  <si>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</si>
  <si>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</si>
  <si>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</si>
  <si>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</si>
  <si>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</si>
  <si>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</si>
  <si>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</si>
  <si>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</si>
  <si>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</si>
  <si>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</si>
  <si>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</si>
  <si>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</si>
  <si>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</si>
  <si>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</si>
  <si>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</si>
  <si>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</si>
  <si>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</si>
  <si>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</si>
  <si>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</si>
  <si>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</si>
  <si>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</si>
  <si>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</si>
  <si>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</si>
  <si>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</si>
  <si>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</si>
  <si>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</si>
  <si>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</si>
  <si>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</si>
  <si>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</si>
  <si>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</si>
  <si>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</si>
  <si>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</si>
  <si>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</si>
  <si>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</si>
  <si>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</si>
  <si>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</si>
  <si>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</si>
  <si>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</si>
  <si>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</si>
  <si>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</si>
  <si>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</si>
  <si>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</si>
  <si>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</si>
  <si>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</si>
  <si>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</si>
  <si>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</si>
  <si>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</si>
  <si>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</si>
  <si>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</si>
  <si>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</si>
  <si>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</si>
  <si>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</si>
  <si>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</si>
  <si>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</si>
  <si>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</si>
  <si>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</si>
  <si>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</si>
  <si>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</si>
  <si>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</si>
  <si>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</si>
  <si>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</si>
  <si>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</si>
  <si>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</si>
  <si>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</si>
  <si>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</si>
  <si>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</si>
  <si>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</si>
  <si>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</si>
  <si>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</si>
  <si>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</si>
  <si>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</si>
  <si>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</si>
  <si>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</si>
  <si>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</si>
  <si>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</si>
  <si>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</si>
  <si>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</si>
  <si>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</si>
  <si>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</si>
  <si>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</si>
  <si>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</si>
  <si>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</si>
  <si>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</si>
  <si>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</si>
  <si>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</si>
  <si>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</si>
  <si>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</si>
  <si>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</si>
  <si>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</si>
  <si>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</si>
  <si>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</si>
  <si>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</si>
  <si>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</si>
  <si>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</si>
  <si>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</si>
  <si>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</si>
  <si>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</si>
  <si>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</si>
  <si>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</si>
  <si>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</si>
  <si>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</si>
  <si>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</si>
  <si>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</si>
  <si>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</si>
  <si>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</si>
  <si>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</si>
  <si>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</si>
  <si>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</si>
  <si>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</si>
  <si>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</si>
  <si>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</si>
  <si>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</si>
  <si>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</si>
  <si>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</si>
  <si>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</si>
  <si>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</si>
  <si>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</si>
  <si>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</si>
  <si>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</si>
  <si>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</si>
  <si>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</si>
  <si>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</si>
  <si>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</si>
  <si>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</si>
  <si>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</si>
  <si>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</si>
  <si>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</si>
  <si>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</si>
  <si>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</si>
  <si>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</si>
  <si>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</si>
  <si>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</si>
  <si>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</si>
  <si>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</si>
  <si>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</si>
  <si>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</si>
  <si>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</si>
  <si>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</si>
  <si>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</si>
  <si>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</si>
  <si>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</si>
  <si>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</si>
  <si>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</si>
  <si>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</si>
  <si>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</si>
  <si>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</si>
  <si>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</si>
  <si>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</si>
  <si>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</si>
  <si>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</si>
  <si>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</si>
  <si>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</si>
  <si>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</si>
  <si>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</si>
  <si>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</si>
  <si>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</si>
  <si>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</si>
  <si>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</si>
  <si>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</si>
  <si>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</si>
  <si>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</si>
  <si>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</si>
  <si>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</si>
  <si>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</si>
  <si>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</si>
  <si>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</si>
  <si>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</si>
  <si>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</si>
  <si>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</si>
  <si>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</si>
  <si>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</si>
  <si>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</si>
  <si>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</si>
  <si>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</si>
  <si>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</si>
  <si>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</si>
  <si>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</si>
  <si>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</si>
  <si>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</si>
  <si>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</si>
  <si>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</si>
  <si>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</si>
  <si>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</si>
  <si>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</si>
  <si>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</si>
  <si>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</si>
  <si>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</si>
  <si>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</si>
  <si>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</si>
  <si>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</si>
  <si>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</si>
  <si>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</si>
  <si>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</si>
  <si>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</si>
  <si>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</si>
  <si>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</si>
  <si>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</si>
  <si>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</si>
  <si>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</si>
  <si>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</si>
  <si>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</si>
  <si>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</si>
  <si>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</si>
  <si>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</si>
  <si>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</si>
  <si>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</si>
  <si>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</si>
  <si>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</si>
  <si>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</si>
  <si>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</si>
  <si>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</si>
  <si>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</si>
  <si>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</si>
  <si>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</si>
  <si>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</si>
  <si>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</si>
  <si>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</si>
  <si>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</si>
  <si>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</si>
  <si>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</si>
  <si>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</si>
  <si>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</si>
  <si>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</si>
  <si>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</si>
  <si>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</si>
  <si>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</si>
  <si>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</si>
  <si>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State</t>
  </si>
  <si>
    <t>Collective Center</t>
  </si>
  <si>
    <t>Individual (non hosted)</t>
  </si>
  <si>
    <t>Planned Camp</t>
  </si>
  <si>
    <t>Privately Hosted</t>
  </si>
  <si>
    <t>Self Settled Camp</t>
  </si>
  <si>
    <t>Type of Accomodation</t>
  </si>
  <si>
    <t>Organization</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</si>
  <si>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</si>
  <si>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</si>
  <si>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</si>
  <si>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</si>
  <si>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</si>
  <si>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</si>
  <si>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</si>
  <si>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</si>
  <si>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</si>
  <si>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</si>
  <si>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</si>
  <si>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</si>
  <si>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</si>
  <si>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(Select State)</t>
  </si>
  <si>
    <t>NFI TRACKING SHEET</t>
  </si>
  <si>
    <t>Blanket</t>
  </si>
  <si>
    <t>Kitchen Set</t>
  </si>
  <si>
    <t>Coverage</t>
  </si>
  <si>
    <t>Shelter</t>
  </si>
  <si>
    <t>NFI</t>
  </si>
  <si>
    <t>UNHCR</t>
  </si>
  <si>
    <t>Hygiene Kit</t>
  </si>
  <si>
    <t>Sanitary Kit</t>
  </si>
  <si>
    <t>Tarpaulin</t>
  </si>
  <si>
    <t>KBC</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</si>
  <si>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</si>
  <si>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</si>
  <si>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</si>
  <si>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</si>
  <si>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</si>
  <si>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</si>
  <si>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</si>
  <si>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</si>
  <si>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</si>
  <si>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</si>
  <si>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</si>
  <si>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</si>
  <si>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</si>
  <si>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</si>
  <si>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</si>
  <si>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</si>
  <si>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</si>
  <si>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</si>
  <si>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</si>
  <si>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</si>
  <si>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</si>
  <si>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Label</t>
  </si>
  <si>
    <t>Stock</t>
  </si>
  <si>
    <t>Distribution</t>
  </si>
  <si>
    <t>NB</t>
  </si>
  <si>
    <t>Expiration (month)</t>
  </si>
  <si>
    <t>Avg</t>
  </si>
  <si>
    <t>Source</t>
  </si>
  <si>
    <t>Not Accessible</t>
  </si>
  <si>
    <t>Accessible by All</t>
  </si>
  <si>
    <t>Accessibility Restricted</t>
  </si>
  <si>
    <t>Comment</t>
  </si>
  <si>
    <t>Accessibility</t>
  </si>
  <si>
    <t>Status</t>
  </si>
  <si>
    <t>Camp_Acessibility</t>
  </si>
  <si>
    <t>Open</t>
  </si>
  <si>
    <t>Update Date</t>
  </si>
  <si>
    <t>Shalom</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</si>
  <si>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</si>
  <si>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</si>
  <si>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</si>
  <si>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</si>
  <si>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</si>
  <si>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</si>
  <si>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</si>
  <si>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</si>
  <si>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</si>
  <si>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</si>
  <si>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</si>
  <si>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</si>
  <si>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</si>
  <si>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</si>
  <si>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</si>
  <si>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</si>
  <si>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</si>
  <si>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</si>
  <si>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</si>
  <si>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</si>
  <si>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</si>
  <si>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</si>
  <si>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</si>
  <si>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</si>
  <si>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</si>
  <si>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</si>
  <si>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</si>
  <si>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</si>
  <si>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</si>
  <si>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</si>
  <si>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</si>
  <si>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</si>
  <si>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</si>
  <si>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</si>
  <si>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</si>
  <si>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</si>
  <si>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</si>
  <si>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</si>
  <si>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</si>
  <si>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</si>
  <si>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</si>
  <si>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</si>
  <si>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</si>
  <si>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</si>
  <si>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</si>
  <si>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Hygiene</t>
  </si>
  <si>
    <t>Core</t>
  </si>
  <si>
    <t>Sanitary</t>
  </si>
  <si>
    <t>Pcode</t>
  </si>
  <si>
    <t>Lat.</t>
  </si>
  <si>
    <t>Long.</t>
  </si>
  <si>
    <t>Y</t>
  </si>
  <si>
    <t>X</t>
  </si>
  <si>
    <t>HS</t>
  </si>
  <si>
    <t>Pop</t>
  </si>
  <si>
    <t>Column1</t>
  </si>
  <si>
    <t>Kachin/Shan</t>
  </si>
  <si>
    <t>27.00</t>
  </si>
  <si>
    <t>96.00</t>
  </si>
  <si>
    <t>IRRC</t>
  </si>
  <si>
    <t>Dum Bung</t>
  </si>
  <si>
    <t>N_cps</t>
  </si>
  <si>
    <t>Plastic Bucket</t>
  </si>
  <si>
    <t>Plastic Mat</t>
  </si>
  <si>
    <t>NFI_Plastic_Bucket_Track</t>
  </si>
  <si>
    <t>NFI_Plastic_Mat_Track</t>
  </si>
  <si>
    <t>NFI_Plastic_Bucket_Stock</t>
  </si>
  <si>
    <t>NFI_Plastic_Mat_Stock</t>
  </si>
  <si>
    <t>NFI_Plastic_Bucket_Pipeline</t>
  </si>
  <si>
    <t>NFI_Plastic_Mat_Pipeline</t>
  </si>
  <si>
    <t>Kachin &amp; Northern Shan Shelter Coverage &amp; Gaps</t>
  </si>
  <si>
    <t>Nam Tu RC</t>
  </si>
  <si>
    <t>Narte</t>
  </si>
  <si>
    <t>Mosquito net</t>
  </si>
  <si>
    <t>(All)</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</si>
  <si>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</si>
  <si>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</si>
  <si>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</si>
  <si>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</si>
  <si>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</si>
  <si>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</si>
  <si>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</si>
  <si>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</si>
  <si>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</si>
  <si>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</si>
  <si>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</si>
  <si>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</si>
  <si>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</si>
  <si>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</si>
  <si>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</si>
  <si>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</si>
  <si>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</si>
  <si>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</si>
  <si>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</si>
  <si>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</si>
  <si>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</si>
  <si>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</si>
  <si>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</si>
  <si>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</si>
  <si>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</si>
  <si>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</si>
  <si>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</si>
  <si>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</si>
  <si>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</si>
  <si>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</si>
  <si>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</si>
  <si>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</si>
  <si>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</si>
  <si>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</si>
  <si>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</si>
  <si>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</si>
  <si>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</si>
  <si>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</si>
  <si>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</si>
  <si>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</si>
  <si>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</si>
  <si>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</si>
  <si>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</si>
  <si>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</si>
  <si>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</si>
  <si>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</si>
  <si>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</si>
  <si>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</si>
  <si>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</si>
  <si>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</si>
  <si>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</si>
  <si>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</si>
  <si>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</si>
  <si>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</si>
  <si>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</si>
  <si>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</si>
  <si>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</si>
  <si>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</si>
  <si>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</si>
  <si>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</si>
  <si>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</si>
  <si>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</si>
  <si>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</si>
  <si>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</si>
  <si>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</si>
  <si>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</si>
  <si>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</si>
  <si>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</si>
  <si>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</si>
  <si>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</si>
  <si>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</si>
  <si>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</si>
  <si>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</si>
  <si>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</si>
  <si>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</si>
  <si>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</si>
  <si>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</si>
  <si>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</si>
  <si>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</si>
  <si>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</si>
  <si>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</si>
  <si>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</si>
  <si>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</si>
  <si>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</si>
  <si>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</si>
  <si>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</si>
  <si>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</si>
  <si>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</si>
  <si>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</si>
  <si>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</si>
  <si>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</si>
  <si>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</si>
  <si>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</si>
  <si>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</si>
  <si>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</si>
  <si>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</si>
  <si>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</si>
  <si>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</si>
  <si>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</si>
  <si>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</si>
  <si>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</si>
  <si>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</si>
  <si>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</si>
  <si>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</si>
  <si>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</si>
  <si>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</si>
  <si>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</si>
  <si>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</si>
  <si>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</si>
  <si>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</si>
  <si>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</si>
  <si>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</si>
  <si>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</si>
  <si>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</si>
  <si>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</si>
  <si>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</si>
  <si>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</si>
  <si>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</si>
  <si>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</si>
  <si>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</si>
  <si>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</si>
  <si>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</si>
  <si>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</si>
  <si>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</si>
  <si>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</si>
  <si>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</si>
  <si>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</si>
  <si>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</si>
  <si>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</si>
  <si>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</si>
  <si>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</si>
  <si>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</si>
  <si>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</si>
  <si>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</si>
  <si>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</si>
  <si>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</si>
  <si>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</si>
  <si>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</si>
  <si>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</si>
  <si>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</si>
  <si>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</si>
  <si>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</si>
  <si>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</si>
  <si>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</si>
  <si>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</si>
  <si>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</si>
  <si>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</si>
  <si>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</si>
  <si>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</si>
  <si>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</si>
  <si>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</si>
  <si>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</si>
  <si>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</si>
  <si>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</si>
  <si>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</si>
  <si>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</si>
  <si>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</si>
  <si>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</si>
  <si>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</si>
  <si>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</si>
  <si>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</si>
  <si>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</si>
  <si>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</si>
  <si>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</si>
  <si>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</si>
  <si>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</si>
  <si>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</si>
  <si>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</si>
  <si>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</si>
  <si>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</si>
  <si>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</si>
  <si>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</si>
  <si>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</si>
  <si>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</si>
  <si>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</si>
  <si>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</si>
  <si>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</si>
  <si>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</si>
  <si>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</si>
  <si>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</si>
  <si>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</si>
  <si>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</si>
  <si>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</si>
  <si>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</si>
  <si>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</si>
  <si>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</si>
  <si>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</si>
  <si>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</si>
  <si>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</si>
  <si>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</si>
  <si>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</si>
  <si>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</si>
  <si>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</si>
  <si>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</si>
  <si>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</si>
  <si>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</si>
  <si>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</si>
  <si>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</si>
  <si>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</si>
  <si>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</si>
  <si>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</si>
  <si>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</si>
  <si>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</si>
  <si>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</si>
  <si>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Urban</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</si>
  <si>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</si>
  <si>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</si>
  <si>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</si>
  <si>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</si>
  <si>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</si>
  <si>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</si>
  <si>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</si>
  <si>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</si>
  <si>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</si>
  <si>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</si>
  <si>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</si>
  <si>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</si>
  <si>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</si>
  <si>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</si>
  <si>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</si>
  <si>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</si>
  <si>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</si>
  <si>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</si>
  <si>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</si>
  <si>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</si>
  <si>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</si>
  <si>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</si>
  <si>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 Requirement</t>
  </si>
  <si>
    <t>% Requirement</t>
  </si>
  <si>
    <t># Pipeline</t>
  </si>
  <si>
    <t>% Pipeline</t>
  </si>
  <si>
    <t># Remaining Need</t>
  </si>
  <si>
    <t>% Remaining Need</t>
  </si>
  <si>
    <t>MMR015CMP139</t>
  </si>
  <si>
    <t>MMR015CMP207</t>
  </si>
  <si>
    <t>RRD</t>
  </si>
  <si>
    <t>IP</t>
  </si>
  <si>
    <t>Closed</t>
  </si>
  <si>
    <t>Changed to closed</t>
  </si>
  <si>
    <t xml:space="preserve">This IDP are registered in Nam Lim pa (Boarder) (MMR001CMP204). We should not calculate this number in total. </t>
  </si>
  <si>
    <t>Metta</t>
  </si>
  <si>
    <t>Kachin Total</t>
  </si>
  <si>
    <t>Altitude</t>
  </si>
  <si>
    <t>Type of Location</t>
  </si>
  <si>
    <t>Opening Date</t>
  </si>
  <si>
    <t>MMR001CMP211</t>
  </si>
  <si>
    <t>Rural</t>
  </si>
  <si>
    <t>Forest/bush</t>
  </si>
  <si>
    <t>Kachin &amp; Northern Shan States - IDPs Location List</t>
  </si>
  <si>
    <t>(blank)</t>
  </si>
  <si>
    <t>Individual</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</si>
  <si>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</si>
  <si>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</si>
  <si>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</si>
  <si>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</si>
  <si>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</si>
  <si>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</si>
  <si>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</si>
  <si>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</si>
  <si>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</si>
  <si>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</si>
  <si>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</si>
  <si>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</si>
  <si>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</si>
  <si>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</si>
  <si>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</si>
  <si>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</si>
  <si>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</si>
  <si>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</si>
  <si>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</si>
  <si>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</si>
  <si>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</si>
  <si>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</si>
  <si>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</si>
  <si>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</si>
  <si>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</si>
  <si>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</si>
  <si>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Naung Khaing</t>
  </si>
  <si>
    <t>MMR001CMP220</t>
  </si>
  <si>
    <t>Machanbaw</t>
  </si>
  <si>
    <t>MMR001016</t>
  </si>
  <si>
    <t>Machanbaw - KBC</t>
  </si>
  <si>
    <t>MMR001CMP221</t>
  </si>
  <si>
    <t>MMR001CMP222</t>
  </si>
  <si>
    <t>St. Patrick Church, Bhamo</t>
  </si>
  <si>
    <t>RRD Office</t>
  </si>
  <si>
    <t>Warra Zup</t>
  </si>
  <si>
    <t>MRCS</t>
  </si>
  <si>
    <t>Solidarities</t>
  </si>
  <si>
    <t>S_Pcode</t>
  </si>
  <si>
    <t>D_Pcode</t>
  </si>
  <si>
    <t>T_Pcode</t>
  </si>
  <si>
    <t>VillageTracKTown</t>
  </si>
  <si>
    <t>VTT_Pcode</t>
  </si>
  <si>
    <t>VW_Pcode</t>
  </si>
  <si>
    <t>CP_Pcode</t>
  </si>
  <si>
    <t>Responsible Agency</t>
  </si>
  <si>
    <t>Close (Source: OCHA)</t>
  </si>
  <si>
    <t>Galeng</t>
  </si>
  <si>
    <t>Galeng (Kachin)</t>
  </si>
  <si>
    <t>MMR015CMP211</t>
  </si>
  <si>
    <t>MMR015CMP212</t>
  </si>
  <si>
    <t>Close: Duplicate Camp (MMR015CMP020 - Zup Aung Camp) 21-Jan-14</t>
  </si>
  <si>
    <t>Closed: Source UNHCR-Bhamo</t>
  </si>
  <si>
    <t>UNOCHA</t>
  </si>
  <si>
    <t>Closed : Source, OCHA</t>
  </si>
  <si>
    <t>MMR001CMP223</t>
  </si>
  <si>
    <t>Maing Khaung Catholic Church</t>
  </si>
  <si>
    <t>Source OCHA</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</si>
  <si>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</si>
  <si>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</si>
  <si>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</si>
  <si>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</si>
  <si>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</si>
  <si>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</si>
  <si>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</si>
  <si>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</si>
  <si>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</si>
  <si>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</si>
  <si>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</si>
  <si>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</si>
  <si>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</si>
  <si>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</si>
  <si>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</si>
  <si>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</si>
  <si>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Sum of Coverage</t>
  </si>
  <si>
    <t/>
  </si>
  <si>
    <t>Closed. Rellocated to Man Win and La Ga Yaung</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</si>
  <si>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</si>
  <si>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</si>
  <si>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</si>
  <si>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</si>
  <si>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</si>
  <si>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</si>
  <si>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</si>
  <si>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</si>
  <si>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</si>
  <si>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</si>
  <si>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</si>
  <si>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</si>
  <si>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</si>
  <si>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</si>
  <si>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</si>
  <si>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Lang Taung</t>
  </si>
  <si>
    <t>MMR001014009</t>
  </si>
  <si>
    <t>Nawng Hkaing</t>
  </si>
  <si>
    <t>Doke Tan Ward</t>
  </si>
  <si>
    <t>MMR001014701509</t>
  </si>
  <si>
    <t>Bum Tsit Pa Camp II</t>
  </si>
  <si>
    <t>MMR001CMP226</t>
  </si>
  <si>
    <t>Move to Nant Ma Hpit Catholic Church.</t>
  </si>
  <si>
    <t>Inn Lel Yan</t>
  </si>
  <si>
    <t>Inn Lel Yan -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</si>
  <si>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</si>
  <si>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</si>
  <si>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</si>
  <si>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</si>
  <si>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</si>
  <si>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</si>
  <si>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</si>
  <si>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</si>
  <si>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</si>
  <si>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</si>
  <si>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</si>
  <si>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</si>
  <si>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</si>
  <si>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</si>
  <si>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</si>
  <si>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</si>
  <si>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</si>
  <si>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</si>
  <si>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</si>
  <si>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</si>
  <si>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</si>
  <si>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</si>
  <si>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</si>
  <si>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</si>
  <si>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</si>
  <si>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Mone Paw Nam Chet (Zay) (Pang Hseng (Kyu Koke)) Sub-township</t>
  </si>
  <si>
    <t>MMR015009033</t>
  </si>
  <si>
    <t>Mone Paw Nam Chet</t>
  </si>
  <si>
    <t>Man Pying (Pang Hseng (Kyu Koke)) Sub-township</t>
  </si>
  <si>
    <t>MMR015009038</t>
  </si>
  <si>
    <t>Hawwa</t>
  </si>
  <si>
    <t>MMR001012013</t>
  </si>
  <si>
    <t>Khon Sint</t>
  </si>
  <si>
    <t>Priority</t>
  </si>
  <si>
    <t>Ind</t>
  </si>
  <si>
    <t>WC_Adult_Gap</t>
  </si>
  <si>
    <t>WI_Other_Gap</t>
  </si>
  <si>
    <t>WC_Child_Gap</t>
  </si>
  <si>
    <t>Sum of WC_Adult_Gap</t>
  </si>
  <si>
    <t>Sum of WC_Child_Gap</t>
  </si>
  <si>
    <t>Sum of WI_Other_Gap</t>
  </si>
  <si>
    <t>Check1</t>
  </si>
  <si>
    <t>KMSS-BMO</t>
  </si>
  <si>
    <t>KMSS-MYT</t>
  </si>
  <si>
    <t>Planned Distribution</t>
  </si>
  <si>
    <t>Man Wing Baptist Church Cultural Compound</t>
  </si>
  <si>
    <t>MMR001CMP230</t>
  </si>
  <si>
    <t>Closed. Duplicate with (Nawng Ing (Indawgyi) Baptist Church)</t>
  </si>
  <si>
    <t>Closed. Source: Save The Children</t>
  </si>
  <si>
    <t>MMR015CMP217</t>
  </si>
  <si>
    <t>Mungji Pa Dabang (Catholic Church)</t>
  </si>
  <si>
    <t>CpPcode</t>
  </si>
  <si>
    <t>ResponsibleAgency</t>
  </si>
  <si>
    <t>HouseHold</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</si>
  <si>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</si>
  <si>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</si>
  <si>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</si>
  <si>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</si>
  <si>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</si>
  <si>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</si>
  <si>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</si>
  <si>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</si>
  <si>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</si>
  <si>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</si>
  <si>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</si>
  <si>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</si>
  <si>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Nam Si In (Karmaing Sub-township)</t>
  </si>
  <si>
    <t>Mohnyin Town</t>
  </si>
  <si>
    <t>Ma Hkan Tee</t>
  </si>
  <si>
    <t>MMR015009013</t>
  </si>
  <si>
    <t>MMR015019701</t>
  </si>
  <si>
    <t>opening_date</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</si>
  <si>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</si>
  <si>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</si>
  <si>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</si>
  <si>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</si>
  <si>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</si>
  <si>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</si>
  <si>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</si>
  <si>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</si>
  <si>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</si>
  <si>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</si>
  <si>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</si>
  <si>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</si>
  <si>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</si>
  <si>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</si>
  <si>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</si>
  <si>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</si>
  <si>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</si>
  <si>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</si>
  <si>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#Gap</t>
  </si>
  <si>
    <t>Hopin Host Families</t>
  </si>
  <si>
    <t>Moenyin Host Families</t>
  </si>
  <si>
    <t>MMR001CMP232</t>
  </si>
  <si>
    <t>MMR001CMP233</t>
  </si>
  <si>
    <t>Hpakant Total</t>
  </si>
  <si>
    <t>Myitkyina Total</t>
  </si>
  <si>
    <t>V1</t>
  </si>
  <si>
    <t>V2</t>
  </si>
  <si>
    <t>V3</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</si>
  <si>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</si>
  <si>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</si>
  <si>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</si>
  <si>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</si>
  <si>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</si>
  <si>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</si>
  <si>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</si>
  <si>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</si>
  <si>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</si>
  <si>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</si>
  <si>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</si>
  <si>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</si>
  <si>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</si>
  <si>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</si>
  <si>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</si>
  <si>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</si>
  <si>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</si>
  <si>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</si>
  <si>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</si>
  <si>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</si>
  <si>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</si>
  <si>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</si>
  <si>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</si>
  <si>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Clothes Kit</t>
  </si>
  <si>
    <t>Clothes Kit_LS</t>
  </si>
  <si>
    <t>NFI_Clothes_Track</t>
  </si>
  <si>
    <t>NFI_Clothes_Stock</t>
  </si>
  <si>
    <t>NFI_Clothes_Pipeline</t>
  </si>
  <si>
    <t xml:space="preserve">Mosquito net </t>
  </si>
  <si>
    <t xml:space="preserve">Plastic Bucket </t>
  </si>
  <si>
    <t xml:space="preserve">Plastic Mat </t>
  </si>
  <si>
    <t>Core Kit</t>
  </si>
  <si>
    <t>Winter Items</t>
  </si>
  <si>
    <t>#Camps</t>
  </si>
  <si>
    <t>27-Mar-15 (Closed. Source: UNHCR-Bhamo)
New Camp</t>
  </si>
  <si>
    <t>2-Apr-15 (Closed. Source: GAD)
Responsible Agency update. KMSS-BMO to KMSS-MYT.</t>
  </si>
  <si>
    <t># of IDP Loc.</t>
  </si>
  <si>
    <t>Pajau - Jan Mai</t>
  </si>
  <si>
    <t>Tat Kone COC Baptist - Tat Kone Htoi San</t>
  </si>
  <si>
    <t>Zai Awng - Mung Ga Zup</t>
  </si>
  <si>
    <t>Moke Lwe Village - Hkar Shi</t>
  </si>
  <si>
    <t>Nawng Si Paw Village - Inn Lay</t>
  </si>
  <si>
    <t>Laiza Market 3 - Laiza Gat</t>
  </si>
  <si>
    <t>Affected Population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</si>
  <si>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</si>
  <si>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</si>
  <si>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</si>
  <si>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</si>
  <si>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</si>
  <si>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</si>
  <si>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</si>
  <si>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</si>
  <si>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</si>
  <si>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</si>
  <si>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</si>
  <si>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</si>
  <si>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</si>
  <si>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</si>
  <si>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</si>
  <si>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</si>
  <si>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</si>
  <si>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</si>
  <si>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</si>
  <si>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</si>
  <si>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</si>
  <si>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Sar Hmaw</t>
  </si>
  <si>
    <t>MMR001008018</t>
  </si>
  <si>
    <t>Nam Sa Larp</t>
  </si>
  <si>
    <t>MMR015002021</t>
  </si>
  <si>
    <t>Sar Hmaw - KBC</t>
  </si>
  <si>
    <t>Sar Hmaw - ICM</t>
  </si>
  <si>
    <t>19-Aug-15 Close. Source: CCCM Unit.
Population source: KMSS-BMO</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</si>
  <si>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</si>
  <si>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</si>
  <si>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</si>
  <si>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Salang Yang</t>
  </si>
  <si>
    <t>MMR001CMP239</t>
  </si>
  <si>
    <t>Replacement</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</si>
  <si>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</si>
  <si>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</si>
  <si>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</si>
  <si>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</si>
  <si>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</si>
  <si>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</si>
  <si>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</si>
  <si>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</si>
  <si>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</si>
  <si>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</si>
  <si>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</si>
  <si>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</si>
  <si>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</si>
  <si>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Latitude</t>
  </si>
  <si>
    <t>Shelter Tool kit</t>
  </si>
  <si>
    <t>Tent</t>
  </si>
  <si>
    <t>3/Mar/2016. Closed Camp. Data source: January report from KBC.
28/Jan/2016. Population update. Data source: KBC (mail by maran)
2/Dec/2015 (Population update. Data source: Monthly report by KBC).
25-Jun-2015 Update population. Data Source: KBC
Changed to Boarding School.</t>
  </si>
  <si>
    <t xml:space="preserve">Tent </t>
  </si>
  <si>
    <t>KMSS_Myitkyina</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</si>
  <si>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</si>
  <si>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</si>
  <si>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</si>
  <si>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</si>
  <si>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</si>
  <si>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</si>
  <si>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</si>
  <si>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</si>
  <si>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</si>
  <si>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</si>
  <si>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</si>
  <si>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</si>
  <si>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</si>
  <si>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</si>
  <si>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</si>
  <si>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</si>
  <si>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</si>
  <si>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</si>
  <si>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</si>
  <si>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</si>
  <si>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</si>
  <si>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</si>
  <si>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</si>
  <si>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</si>
  <si>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</si>
  <si>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</si>
  <si>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</si>
  <si>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</si>
  <si>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</si>
  <si>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</si>
  <si>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</si>
  <si>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MMR015CMP220</t>
  </si>
  <si>
    <t>MMR015CMP221</t>
  </si>
  <si>
    <t>MMR015CMP222</t>
  </si>
  <si>
    <t>MMR015CMP223</t>
  </si>
  <si>
    <t>MMR015CMP224</t>
  </si>
  <si>
    <t>MMR015CMP225</t>
  </si>
  <si>
    <t>MMR015CMP226</t>
  </si>
  <si>
    <t>MMR015CMP227</t>
  </si>
  <si>
    <t>Mong Wee Ta'ang</t>
  </si>
  <si>
    <t>Mong Wee Shan</t>
  </si>
  <si>
    <t>Nam Hpak Ka Ta'ang</t>
  </si>
  <si>
    <t>MMR001CMP241</t>
  </si>
  <si>
    <t>Wara Zup KBC Church</t>
  </si>
  <si>
    <t>MMR001CMP242</t>
  </si>
  <si>
    <t>MMR001004</t>
  </si>
  <si>
    <t>Tanai</t>
  </si>
  <si>
    <t>Pan Ta Pyae</t>
  </si>
  <si>
    <t>MMR015015011</t>
  </si>
  <si>
    <t>Pang Tha Pyay</t>
  </si>
  <si>
    <t>Man Sa</t>
  </si>
  <si>
    <t>Mong Wee</t>
  </si>
  <si>
    <t>MMR015010036</t>
  </si>
  <si>
    <t>Tsan Lun - Namjarap</t>
  </si>
  <si>
    <t>Kawng Wein</t>
  </si>
  <si>
    <t>MMR015002026</t>
  </si>
  <si>
    <t xml:space="preserve">Mung Hawm </t>
  </si>
  <si>
    <t>Mung Hawm</t>
  </si>
  <si>
    <t xml:space="preserve">Htoi San Yang </t>
  </si>
  <si>
    <t>State/Township</t>
  </si>
  <si>
    <t>Northern Shan</t>
  </si>
  <si>
    <t>Northern Shan Total</t>
  </si>
  <si>
    <t>Wa Ra Zut</t>
  </si>
  <si>
    <t>MMR001009009</t>
  </si>
  <si>
    <t>A Lo Taw Pyae monastery</t>
  </si>
  <si>
    <t>Thar Ta Na Aung San monastery</t>
  </si>
  <si>
    <t>Muyin church (Aung Yar pre-school compound)</t>
  </si>
  <si>
    <t>Shar Du Zut RC church</t>
  </si>
  <si>
    <t xml:space="preserve">Shar Du Zut KBC church </t>
  </si>
  <si>
    <t>Shar Du Zut</t>
  </si>
  <si>
    <t>MMR001CMP243</t>
  </si>
  <si>
    <t>MMR001CMP244</t>
  </si>
  <si>
    <t>MMR001CMP245</t>
  </si>
  <si>
    <t>MMR001CMP246</t>
  </si>
  <si>
    <t>MMR001CMP247</t>
  </si>
  <si>
    <t>16/Sep/2016: Changes camp status. Actually it was not closed. It was combined as one camp with Bum Tsit Pa. Data source: KMSS_Bhamo.
28/Jan/2016. Population update. Data source: KBC
Population Update. Source: Save The Children.</t>
  </si>
  <si>
    <t>WFP</t>
  </si>
  <si>
    <t>Shelter Tool kit_LS</t>
  </si>
  <si>
    <t>Tent_LS</t>
  </si>
  <si>
    <t>MMR015CMP228</t>
  </si>
  <si>
    <t>MMR015CMP229</t>
  </si>
  <si>
    <t>MMR015CMP230</t>
  </si>
  <si>
    <t>MMR015CMP231</t>
  </si>
  <si>
    <t>MMR015CMP232</t>
  </si>
  <si>
    <t>MMR015CMP233</t>
  </si>
  <si>
    <t>MMR015CMP234</t>
  </si>
  <si>
    <t>MMR015CMP235</t>
  </si>
  <si>
    <t>MMR015CMP236</t>
  </si>
  <si>
    <t>MMR015CMP237</t>
  </si>
  <si>
    <t>MMR015CMP238</t>
  </si>
  <si>
    <t>MMR015CMP239</t>
  </si>
  <si>
    <t>MMR015CMP240</t>
  </si>
  <si>
    <t>MMR015CMP241</t>
  </si>
  <si>
    <t>MMR015CMP242</t>
  </si>
  <si>
    <t>MMR015CMP243</t>
  </si>
  <si>
    <t>MMR015CMP244</t>
  </si>
  <si>
    <t xml:space="preserve">Shwe Myint Thar Monastry </t>
  </si>
  <si>
    <t>17-01-2017: New added camp. Missing data will be collected from partners and present in next Report.</t>
  </si>
  <si>
    <t>Namtu RC</t>
  </si>
  <si>
    <t>Namtu KBC 1</t>
  </si>
  <si>
    <t>Namtu KBC 2</t>
  </si>
  <si>
    <t>Lisu Church Namtu</t>
  </si>
  <si>
    <t>St. Peter Church (Ho Mun ward)</t>
  </si>
  <si>
    <t>Gawrakha Youth Association</t>
  </si>
  <si>
    <t>B.E.H.S 2 (Ho Mun ward)</t>
  </si>
  <si>
    <t>B.E.H.S 4 (Ho Mun ward)</t>
  </si>
  <si>
    <t xml:space="preserve">Wein Sai Church </t>
  </si>
  <si>
    <t>Man Kaung/Naung Ti Kyar Village</t>
  </si>
  <si>
    <t>KBC (Ho Mun Ward)</t>
  </si>
  <si>
    <t>Jwan Jaw KBC</t>
  </si>
  <si>
    <t>Hsipaw</t>
  </si>
  <si>
    <t>MMR015014</t>
  </si>
  <si>
    <t>Myauk Ward</t>
  </si>
  <si>
    <t>MMR015009701505</t>
  </si>
  <si>
    <t>Taung Ward</t>
  </si>
  <si>
    <t>MMR015009701503</t>
  </si>
  <si>
    <t>Swei Taw Ward</t>
  </si>
  <si>
    <t>MMR015009701507</t>
  </si>
  <si>
    <t>Monastery (Myauk Kyaung)_North ward</t>
  </si>
  <si>
    <t>Kamahtan Kyaung_(South ward)</t>
  </si>
  <si>
    <t>Aung Mingalar_(Swan Saw ward)</t>
  </si>
  <si>
    <t>Nam Pang</t>
  </si>
  <si>
    <t>MMR015009001</t>
  </si>
  <si>
    <t>Nam Hkon</t>
  </si>
  <si>
    <t>Namt Hkun monastery</t>
  </si>
  <si>
    <t>Nawng Tha Kyar</t>
  </si>
  <si>
    <t>Moe Tay</t>
  </si>
  <si>
    <t>MMR015014024</t>
  </si>
  <si>
    <t>Closed Camp
Update data from OCHA IDPs List</t>
  </si>
  <si>
    <t>SUMIFS(Table_NFI[Mosquito net_LS],Table_NFI[opening_date],1,Table_NFI[Status],"open")</t>
  </si>
  <si>
    <t>0</t>
  </si>
  <si>
    <t>IFERROR(VLOOKUP([@[Camp Name]],CL,2,0),"")</t>
  </si>
  <si>
    <t>Mosquito  net</t>
  </si>
  <si>
    <t xml:space="preserve">Tarpaulin </t>
  </si>
  <si>
    <t xml:space="preserve">Blanket </t>
  </si>
  <si>
    <t xml:space="preserve">Kitchen Set </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</si>
  <si>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</si>
  <si>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</si>
  <si>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6/April/2017: Changed the camp stutas as "Closed". Data source CCCM and comfirmed by partner (KBC). And it was updated since 3/March/2017
Change to Host Families.</t>
  </si>
  <si>
    <t>MMR015011701506</t>
  </si>
  <si>
    <t>No (6) Ward</t>
  </si>
  <si>
    <t>MMR015CMP245</t>
  </si>
  <si>
    <t>Kutkai downtown (KBC Church-2)</t>
  </si>
  <si>
    <t>24/Apr/2017: Changed camp status as "closed". Data source: KMSS_Myitkyina and CCCM unit.
16/Sep/2016: New added camp. There no responsible organization.</t>
  </si>
  <si>
    <t>Data source: KMSS_Bhamo. Data was received when the camps status was changed as "Closed"</t>
  </si>
  <si>
    <t>Update date: 24/April/2017. Data source: KMSS_Myitkyina/under Feb_2017_CAR</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</si>
  <si>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</si>
  <si>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Update date: 27/April/2017. Data source: Programme Unit_UNHCR</t>
  </si>
  <si>
    <t>3/May/2017: Update NFI distribution data. Data source: Shalom (CAR_March data)</t>
  </si>
  <si>
    <t>Man Loi</t>
  </si>
  <si>
    <t>MMR015CMP246</t>
  </si>
  <si>
    <t>Kawng Hkar Man Pying</t>
  </si>
  <si>
    <t>MMR015011002</t>
  </si>
  <si>
    <t>MMR015CMP247</t>
  </si>
  <si>
    <t>2/June/2017: Changed camp status as "Closed" according to UNHCR_Lashio information.
17-01-2017: New added camp. Missing data will be collected from partners and present in next Report.</t>
  </si>
  <si>
    <t>2/June/2017: Changed camp status as "Closed". Data source: UNOCHA and confirmed by CCCM unit.
25/Jul/2016: Added as new camp according to KBC data. Data was given by Jade</t>
  </si>
  <si>
    <t>Moke Lwe</t>
  </si>
  <si>
    <t>MMR001002002</t>
  </si>
  <si>
    <t>Khar Shi</t>
  </si>
  <si>
    <t>MMR001CMP248</t>
  </si>
  <si>
    <t>2/June/2017: Update blanket data. Data source: KBC</t>
  </si>
  <si>
    <t>Update date: 2/June/2017. Data source: CAR_April</t>
  </si>
  <si>
    <t>Hka Shi</t>
  </si>
  <si>
    <t>WV</t>
  </si>
  <si>
    <t>2/June/2017: New added camp. Data source: WASH cluster, WV (World Vision).</t>
  </si>
  <si>
    <t xml:space="preserve">Update date: 15/May/2017. Data source: SI </t>
  </si>
  <si>
    <t>Update date: 15/May/2017. Data source: SI and confirmed by CCCM unit.</t>
  </si>
  <si>
    <t>Sadung</t>
  </si>
  <si>
    <t>NRC</t>
  </si>
  <si>
    <t>Update date: 16/May/2017. Data source: NRC</t>
  </si>
  <si>
    <t>Update date: 15/May/2017. Data source: SI (IDP site)</t>
  </si>
  <si>
    <t>MMR001CMP249</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</si>
  <si>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</si>
  <si>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Sha-It Yang</t>
  </si>
  <si>
    <t>19/May/2017: Population update. Data source: Shelter Associate (UNHCR)
Changed Camp to Host Families. Source: Camp Profile Questionnaire.</t>
  </si>
  <si>
    <t>no</t>
  </si>
  <si>
    <t>Lel Pyin</t>
  </si>
  <si>
    <t>MMR001CMP250</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</si>
  <si>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</si>
  <si>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</si>
  <si>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</si>
  <si>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Pang Hkawng Yang</t>
  </si>
  <si>
    <t>Update date: 3/Jul/2017. Data source NRC. Distribution for Storm affected villages.</t>
  </si>
  <si>
    <t>3/Jul/2017: Updated NFI distribution. Data source NRC.</t>
  </si>
  <si>
    <t>MMR015CMP248</t>
  </si>
  <si>
    <t>Kyu Sot</t>
  </si>
  <si>
    <t>Lawng Hkang Shait Yang Camp​ ( Lel Pyin)​ </t>
  </si>
  <si>
    <t>11/Jul/2017: Change status to Close as no update available since December 2016</t>
  </si>
  <si>
    <t>11/Jul/2017: Change status to Close as no update available since June 2014
Geo-Info, HH/Pop data was updated from Google Earth.</t>
  </si>
  <si>
    <t>11/Jul/17: Change status to Close as no update available.</t>
  </si>
  <si>
    <t>11/Jul/2017: Change status to Close as no update available since June/2017.
Geo-Info, HH/Pop data was updated from Google Earth.</t>
  </si>
  <si>
    <t>11/Jul/2017: Change status to Close as no update available since Jan/2017.
Update from OCHA Data (2 Jan 2014)</t>
  </si>
  <si>
    <t>11/Jul/2017: Closed camp. No update information since Nov 2015.
9/Nov/2015. Population update. Data source: mail from WFP.
New added Boarding School</t>
  </si>
  <si>
    <t>11/Jul/2017: Camp status change into closed. KBC said Camp will be combine with Nam Sa Larp. DATA Source: KBC
25/Jul/2016: Added as new camp according to KBC data. Data was given by Jade</t>
  </si>
  <si>
    <t>11/Jul/2017: Change status to Close as no update available.</t>
  </si>
  <si>
    <t>11/Jul/2017: Closed camp. No update information.
25-Jun-2015 (New host families. Source: RRD)</t>
  </si>
  <si>
    <t>11/Jul/2017: Change status into closed: Data source: KBC
25/Jul/2016: Added as new camp according to KBC data. Data was given by Jade</t>
  </si>
  <si>
    <t>11/Jul/2017: Change status to Close as no update available
Geo-Info, HH/Pop data was updated from Google Earth.</t>
  </si>
  <si>
    <t>DETAILED LIST OF IDP LOCATIONS</t>
  </si>
  <si>
    <t>CMA</t>
  </si>
  <si>
    <t>P-Code</t>
  </si>
  <si>
    <t>Land Available</t>
  </si>
  <si>
    <t>New shelter</t>
  </si>
  <si>
    <t>New Kitchen</t>
  </si>
  <si>
    <t>Renovation</t>
  </si>
  <si>
    <t>C&amp;M</t>
  </si>
  <si>
    <t>Communal Hall</t>
  </si>
  <si>
    <t>Agency</t>
  </si>
  <si>
    <t>Unit</t>
  </si>
  <si>
    <t>Name(s)</t>
  </si>
  <si>
    <t>KMSS-Bhamo</t>
  </si>
  <si>
    <t>reported by KBC</t>
  </si>
  <si>
    <t>Lisu Boarding House</t>
  </si>
  <si>
    <t>yes</t>
  </si>
  <si>
    <t>KMSS-M</t>
  </si>
  <si>
    <t>Dhama Rakhita, Nyein Chan Tar Yar Ward (Lon Kin)</t>
  </si>
  <si>
    <t>Lisu Baptist Church, Maw Shan Vil, Seik Mu</t>
  </si>
  <si>
    <t>Nam Ma Phyit Catholic Church</t>
  </si>
  <si>
    <t>Rawan Baptist Church, Maw Shan Vil, Seik Mu.</t>
  </si>
  <si>
    <t>Ward 2 Sai Taung Baptist Church, Seik Mu</t>
  </si>
  <si>
    <t>Yumar Baptist</t>
  </si>
  <si>
    <t>5 Ward RC Church (Lon Kin)</t>
  </si>
  <si>
    <t>NSS</t>
  </si>
  <si>
    <t>uncovered</t>
  </si>
  <si>
    <t>Reported by NRC</t>
  </si>
  <si>
    <t>Manloi</t>
  </si>
  <si>
    <t>Mungji Pa Dabang (Baptist Church)</t>
  </si>
  <si>
    <t>Zup Aung Camp - Galeng Kachin</t>
  </si>
  <si>
    <t>Bum Tsit Pa</t>
  </si>
  <si>
    <t>Maing Khaung KBC</t>
  </si>
  <si>
    <t>Reported by KMSS-Bmo</t>
  </si>
  <si>
    <t>Man Wing Catholic I</t>
  </si>
  <si>
    <t>Man Wing Catholic II</t>
  </si>
  <si>
    <t>La Na Zup ja</t>
  </si>
  <si>
    <t>Uncovered</t>
  </si>
  <si>
    <t>Manton Catholic Church</t>
  </si>
  <si>
    <t>Kyun Taw Baptist camp</t>
  </si>
  <si>
    <t>Reported by KBC</t>
  </si>
  <si>
    <t>Sar Maw (KBC)</t>
  </si>
  <si>
    <t>Nat Gyi Kone Baptist Church</t>
  </si>
  <si>
    <t>Nawng Ing (Indawgyi) Baptist Church</t>
  </si>
  <si>
    <t>St.Patrick Catholic Church</t>
  </si>
  <si>
    <t>Je Yang Kha</t>
  </si>
  <si>
    <t>Loi Je Catholic Church (R.C)</t>
  </si>
  <si>
    <t>Loi Je Nyaung Na Pin</t>
  </si>
  <si>
    <t>N'hkawng Pa</t>
  </si>
  <si>
    <t>Nyaung Na Pin</t>
  </si>
  <si>
    <t>Pa Ka Tawng</t>
  </si>
  <si>
    <t>Seng Ja</t>
  </si>
  <si>
    <t>Dukahtaung Baptist Church</t>
  </si>
  <si>
    <t>Jan Mai Kaung Baptist Church</t>
  </si>
  <si>
    <t>Jan Mai Kaung Catholic Church</t>
  </si>
  <si>
    <t>Le Kone Ziun Baptist Church</t>
  </si>
  <si>
    <t>Nan Kway St.John Catholic Church</t>
  </si>
  <si>
    <t>Njang Dung Baptist</t>
  </si>
  <si>
    <t>Pa Dauk Myaing (pa La Na)</t>
  </si>
  <si>
    <t>Nam Hkam</t>
  </si>
  <si>
    <t>Nam Hkam - (KBC Jaw wang)_2</t>
  </si>
  <si>
    <t>Nam Hkam - Pang Long KBC</t>
  </si>
  <si>
    <t>Nam Hkam Catholic Church (St. Thomas)</t>
  </si>
  <si>
    <t>Reported by KMSS-LSO</t>
  </si>
  <si>
    <t>Shwe Gu</t>
  </si>
  <si>
    <t>Sumbrabum</t>
  </si>
  <si>
    <t>Boarder Post 8</t>
  </si>
  <si>
    <t>Khat Cho</t>
  </si>
  <si>
    <t>Maga Yang</t>
  </si>
  <si>
    <t>Maina Catholic Church (St.Joseph)</t>
  </si>
  <si>
    <t>BP6</t>
  </si>
  <si>
    <t>Qtr 2 Lhaovo Baptist Church</t>
  </si>
  <si>
    <t>Qtr 2 Myoma Baptist Church</t>
  </si>
  <si>
    <t>Qtr 3 Mu yin Baptist Church</t>
  </si>
  <si>
    <t>Waingmaw A.G Church</t>
  </si>
  <si>
    <t>Woi Chai</t>
  </si>
  <si>
    <t xml:space="preserve">TOTAL </t>
  </si>
  <si>
    <t># Individuals</t>
  </si>
  <si>
    <t># HHs</t>
  </si>
  <si>
    <t># Shelters planned</t>
  </si>
  <si>
    <t>Nam Kham</t>
  </si>
  <si>
    <t xml:space="preserve">Nam Jarap ( Nam Sa Larp) </t>
  </si>
  <si>
    <t># Shelters needed</t>
  </si>
  <si>
    <t># Shelter gap*</t>
  </si>
  <si>
    <t>*Shelters are considered to be; new units, renovation and C&amp;M</t>
  </si>
  <si>
    <t>SI</t>
  </si>
  <si>
    <t>Cash for NFI (# of HHs covered)</t>
  </si>
  <si>
    <t>IDP locations SUMMARY</t>
  </si>
  <si>
    <t>Data source MRCS</t>
  </si>
  <si>
    <t>Data source Metta</t>
  </si>
  <si>
    <t>Solidarites</t>
  </si>
  <si>
    <t>Camp like setting</t>
  </si>
  <si>
    <t xml:space="preserve">Legend for HH and Population figures: </t>
  </si>
  <si>
    <t>7/April/2017: Population update. Data source: WFP
9/Nov/15. Population update. Data source: WFP
Update IDP increased in Oct and Nov 2013 (UNHCR - Bhamo)</t>
  </si>
  <si>
    <t>Not updated due to lack of access.
New host families.</t>
  </si>
  <si>
    <t>18th - 19th May joint assessment of OCHA and UNHCR, population returned to place of origin. Location is closed. Change to Host Families. Source: Programme Unit.</t>
  </si>
  <si>
    <t>Definition of "Type of accommodation":</t>
  </si>
  <si>
    <t>Host families</t>
  </si>
  <si>
    <t>IDP according to state</t>
  </si>
  <si>
    <t>IDP according to accessibility</t>
  </si>
  <si>
    <t>IDP locations per township</t>
  </si>
  <si>
    <t xml:space="preserve">Tanai AG Church </t>
  </si>
  <si>
    <t>Tanai CoC</t>
  </si>
  <si>
    <t>Solar lamps</t>
  </si>
  <si>
    <t>Kachin &amp; Nothern Shan NFI Coverage</t>
  </si>
  <si>
    <t>NRC/KBC</t>
  </si>
  <si>
    <t>UNHCR/Shalom</t>
  </si>
  <si>
    <t># of distributions</t>
  </si>
  <si>
    <t># distributions</t>
  </si>
  <si>
    <t xml:space="preserve">Tanai RC Church - Kinsa Ra </t>
  </si>
  <si>
    <t>Total number of IDPs</t>
  </si>
  <si>
    <t>Total number of IDP locations</t>
  </si>
  <si>
    <t>MMR001CMP251</t>
  </si>
  <si>
    <t>MMR001CMP252</t>
  </si>
  <si>
    <t>MMR001CMP253</t>
  </si>
  <si>
    <t>MMR001CMP254</t>
  </si>
  <si>
    <t>Household</t>
  </si>
  <si>
    <t>Kachin &amp; Northern Shan CCCM Dashboard</t>
  </si>
  <si>
    <t>1-100</t>
  </si>
  <si>
    <t>100-1k</t>
  </si>
  <si>
    <t>1k-5k</t>
  </si>
  <si>
    <t>5k-10k</t>
  </si>
  <si>
    <t># of HH</t>
  </si>
  <si>
    <t># of IDPs</t>
  </si>
  <si>
    <t>Unknown</t>
  </si>
  <si>
    <t># of camps by Size of Population</t>
  </si>
  <si>
    <t>1k - 5k</t>
  </si>
  <si>
    <t># Camps</t>
  </si>
  <si>
    <t>Select State:</t>
  </si>
  <si>
    <t>Breakdown of IDP population by township</t>
  </si>
  <si>
    <t>Breakdown of IDP population by Accessibility</t>
  </si>
  <si>
    <t>Population breakdown by Accomodation Type &amp; Accessibility</t>
  </si>
  <si>
    <t>Camps breakdown by Accomodation Type &amp; Accessibility</t>
  </si>
  <si>
    <t>Percent %</t>
  </si>
  <si>
    <t># IDP locations (shelter interventions)</t>
  </si>
  <si>
    <t xml:space="preserve"> Solar lamps</t>
  </si>
  <si>
    <t xml:space="preserve"> Plastic Mat</t>
  </si>
  <si>
    <t xml:space="preserve"> Plastic Bucket</t>
  </si>
  <si>
    <t xml:space="preserve"> Kitchen Set</t>
  </si>
  <si>
    <t xml:space="preserve"> Blanket</t>
  </si>
  <si>
    <t xml:space="preserve"> Tarpaulin</t>
  </si>
  <si>
    <t xml:space="preserve"> Mosquito net</t>
  </si>
  <si>
    <t xml:space="preserve"> Sanitary Kit</t>
  </si>
  <si>
    <t xml:space="preserve"> NFI Core Kit</t>
  </si>
  <si>
    <t xml:space="preserve"> Cash for NFI (# of HHs covered)</t>
  </si>
  <si>
    <t>Values</t>
  </si>
  <si>
    <t>Count of Township</t>
  </si>
  <si>
    <t># of distribution</t>
  </si>
  <si>
    <t>Type of Accomodation / Accessibility</t>
  </si>
  <si>
    <t>Individuals</t>
  </si>
  <si>
    <t># of Camps</t>
  </si>
  <si>
    <t>%</t>
  </si>
  <si>
    <t xml:space="preserve">        dropdown</t>
  </si>
  <si>
    <t>All</t>
  </si>
  <si>
    <t>NFI Stock/pipeline tracking</t>
  </si>
  <si>
    <t>Hygiene Family Kit</t>
  </si>
  <si>
    <t>Clothes Kits</t>
  </si>
  <si>
    <t>ES kit</t>
  </si>
  <si>
    <t>Shelter tool kit</t>
  </si>
  <si>
    <t>Jerry can</t>
  </si>
  <si>
    <t>Camp name</t>
  </si>
  <si>
    <t>Camp ID</t>
  </si>
  <si>
    <t>type of shelter</t>
  </si>
  <si>
    <t>CESVI</t>
  </si>
  <si>
    <t>AD-2000</t>
  </si>
  <si>
    <t>New Unit (single and barrack)</t>
  </si>
  <si>
    <t>Yes</t>
  </si>
  <si>
    <t>DRC</t>
  </si>
  <si>
    <t>Communal kitchen</t>
  </si>
  <si>
    <t>No</t>
  </si>
  <si>
    <t>Communal hall</t>
  </si>
  <si>
    <t>Extension attached kitchen</t>
  </si>
  <si>
    <t xml:space="preserve">Nant Hlaing </t>
  </si>
  <si>
    <t>KMSS-Lashio</t>
  </si>
  <si>
    <t>KMSS-Myitkyina</t>
  </si>
  <si>
    <t>Aung Thar Church Kbc</t>
  </si>
  <si>
    <t>Myanmar Red Cresent</t>
  </si>
  <si>
    <t>World vision</t>
  </si>
  <si>
    <t>Border Post ( 6 )Hpare</t>
  </si>
  <si>
    <t>5 Ward RC Church (Lon Khin)</t>
  </si>
  <si>
    <t>Hlai Nawng( Ka Mai)</t>
  </si>
  <si>
    <t>Baptist Church Hmaw si sar ( Lon Hkin)</t>
  </si>
  <si>
    <t>Lawng Hkang Shait Yang (lonekhin + Kate maw)</t>
  </si>
  <si>
    <t>Seng Ngai Baptish Church, Maw Shan Vil., Seki Mu</t>
  </si>
  <si>
    <t xml:space="preserve"> Seng Tawng Baptist Church</t>
  </si>
  <si>
    <t>Madung KBC Camp (Aung Ra Nursery School)</t>
  </si>
  <si>
    <t>Hpakant Baptist church (Nam Ma Hpyit)</t>
  </si>
  <si>
    <t>Shadu Zup KBC</t>
  </si>
  <si>
    <t>Dhama Rakhita ,Nyein Chan Tar Yar Ward (LonKhin )</t>
  </si>
  <si>
    <t>Mai Hkawng RC</t>
  </si>
  <si>
    <t>Manwin  RC ( 1 )</t>
  </si>
  <si>
    <t>Manwin  RC ( 2 )</t>
  </si>
  <si>
    <t>Man Win Gyi(KBC)</t>
  </si>
  <si>
    <t xml:space="preserve">Mai Hkawng </t>
  </si>
  <si>
    <t>Man Win Gyi ( Htung Hkring Wang )</t>
  </si>
  <si>
    <t>Ma Hawng Baptist Church</t>
  </si>
  <si>
    <t>Loi Je RC</t>
  </si>
  <si>
    <t>Seng Ja (Loi Je)</t>
  </si>
  <si>
    <t>N-Hkawng Pa</t>
  </si>
  <si>
    <t>Tat Kone Sanpra Baptist Church</t>
  </si>
  <si>
    <t>Shatapru (Sut Ngai Tawng )</t>
  </si>
  <si>
    <t>Dukahtawng Baptist Church</t>
  </si>
  <si>
    <t>Le Kone Bethlehem Baptist Church</t>
  </si>
  <si>
    <t>Wai Maw AG Church</t>
  </si>
  <si>
    <t>Hkau Shu (BP 12)</t>
  </si>
  <si>
    <t>Laiza Muklum Hpyen  Yen Mungshawa ni</t>
  </si>
  <si>
    <t xml:space="preserve">Sha it yang ( Zai Awng Munga zup) </t>
  </si>
  <si>
    <t xml:space="preserve">Nam Jarap </t>
  </si>
  <si>
    <t xml:space="preserve"> Galeng Zup Aung ( Kachin)</t>
  </si>
  <si>
    <t>Mung Sii Catholic Church</t>
  </si>
  <si>
    <t xml:space="preserve">Mai Yu Lay camp II </t>
  </si>
  <si>
    <t>Kutkai KBC 2</t>
  </si>
  <si>
    <t>Man Ton Catholic Church</t>
  </si>
  <si>
    <t>Nam Kham Catholic Church
(St. Thomas)</t>
  </si>
  <si>
    <t>Nam Hkam - Chyeju Kaba Wang ( Jaw 2)</t>
  </si>
  <si>
    <t>Namhkan - Bang Lung KBC</t>
  </si>
  <si>
    <t>Kyu Sawt</t>
  </si>
  <si>
    <t>Access</t>
  </si>
  <si>
    <t>Du Kahtawng Baptist</t>
  </si>
  <si>
    <t>Closed july 2017</t>
  </si>
  <si>
    <t>Ka Bu Dam</t>
  </si>
  <si>
    <t>Ka Bu Dam CoC</t>
  </si>
  <si>
    <t>TOTAL</t>
  </si>
  <si>
    <t>Pamati AG church</t>
  </si>
  <si>
    <t>Mai Hkawng KBC Camp-2</t>
  </si>
  <si>
    <t>Pan Hkawn Yang village</t>
  </si>
  <si>
    <t>Namti</t>
  </si>
  <si>
    <t>31-08-17</t>
  </si>
  <si>
    <t>Khun Thar Ward</t>
  </si>
  <si>
    <t>Min Jong Kone Ward</t>
  </si>
  <si>
    <t>Location</t>
  </si>
  <si>
    <t>Man ma Lin village</t>
  </si>
  <si>
    <t>Lat Pan La village</t>
  </si>
  <si>
    <t>Moe Sein Tune village</t>
  </si>
  <si>
    <t>Yel Lay village</t>
  </si>
  <si>
    <t>AG Church Pa Ma Tee</t>
  </si>
  <si>
    <t>New displacement from Ka Sung</t>
  </si>
  <si>
    <t>Closed as of 1st of September 2017</t>
  </si>
  <si>
    <t>Pan Law</t>
  </si>
  <si>
    <t>IDPs returned</t>
  </si>
  <si>
    <t>Tanai RC church (kinsa Ra)</t>
  </si>
  <si>
    <t>Loi Je RC camp</t>
  </si>
  <si>
    <t>Waignmaw</t>
  </si>
  <si>
    <t>Waignmaw lhavo zonal</t>
  </si>
  <si>
    <t>Waignmaw AG</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</si>
  <si>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</si>
  <si>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21/Dec/2017: Updated NFI distribution. Data source KMSS-M</t>
  </si>
  <si>
    <t>Daw Hpum Yang Boarder Camp</t>
  </si>
  <si>
    <t>Count of Camp</t>
  </si>
  <si>
    <t>#REF!</t>
  </si>
  <si>
    <t>MMR001CMP255</t>
  </si>
  <si>
    <t>MMR001CMP256</t>
  </si>
  <si>
    <t>MMR001CMP257</t>
  </si>
  <si>
    <t>MMR001CMP258</t>
  </si>
  <si>
    <t>MMR015CMP249</t>
  </si>
  <si>
    <t># HHs still in need of shelter intervention</t>
  </si>
  <si>
    <t>SCI</t>
  </si>
  <si>
    <t>Agency name</t>
  </si>
  <si>
    <t>RRD Lashio</t>
  </si>
  <si>
    <t>9/1/2018: Updated NFI distribution. Data source SCI</t>
  </si>
  <si>
    <t xml:space="preserve">     Increased since last month             Decreased since last month</t>
  </si>
  <si>
    <t xml:space="preserve">Aup Kyin Shan </t>
  </si>
  <si>
    <t>ICRC</t>
  </si>
  <si>
    <t>Relief International ( RI)</t>
  </si>
  <si>
    <t>RI</t>
  </si>
  <si>
    <t>B.E.H.S(1)</t>
  </si>
  <si>
    <t>Aung Min Galar Monastery</t>
  </si>
  <si>
    <t>Aung Myay Thar Yar Monastery</t>
  </si>
  <si>
    <t>Warso Monastery</t>
  </si>
  <si>
    <t>Thanti Thukha Religious building</t>
  </si>
  <si>
    <t>Nam Hpak Ka Ta'ang ( Aung Tha Pyay)</t>
  </si>
  <si>
    <t>Camp Like setting</t>
  </si>
  <si>
    <t>KMSSB and NRC will cover 100 each</t>
  </si>
  <si>
    <t>Reported by Shalom</t>
  </si>
  <si>
    <t>Dignity Kits</t>
  </si>
  <si>
    <t>IRC</t>
  </si>
  <si>
    <t>UNFPA</t>
  </si>
  <si>
    <t>Dignity Kit</t>
  </si>
  <si>
    <t>CSOs</t>
  </si>
  <si>
    <t>Aung Min Galar (Monastery)</t>
  </si>
  <si>
    <t>Jawsaw</t>
  </si>
  <si>
    <t>Kaung AI (Monastery)</t>
  </si>
  <si>
    <t>Hkauk Kwe (Monastery)</t>
  </si>
  <si>
    <t>Warso ( Monastery)</t>
  </si>
  <si>
    <t>Aung Myay Thar Yar (Monastery)</t>
  </si>
  <si>
    <t>KMSS_Bhamo</t>
  </si>
  <si>
    <r>
      <t>Lawng Hkang Shait Yang Camp</t>
    </r>
    <r>
      <rPr>
        <sz val="12"/>
        <rFont val="Calibri"/>
        <family val="2"/>
        <scheme val="minor"/>
      </rPr>
      <t>​ ( Lel Pyin)​ </t>
    </r>
  </si>
  <si>
    <t>ICRC last cluster meeting</t>
  </si>
  <si>
    <t>Current Coverage</t>
  </si>
  <si>
    <t>KMSS-B and Cordaid agreement to be signed</t>
  </si>
  <si>
    <t>Bhamo Total</t>
  </si>
  <si>
    <t>Yes for 5</t>
  </si>
  <si>
    <t>Mansi Total</t>
  </si>
  <si>
    <t>Mogaung Total</t>
  </si>
  <si>
    <t>Mohnyin Total</t>
  </si>
  <si>
    <t>Momauk Total</t>
  </si>
  <si>
    <t>Puta-O Total</t>
  </si>
  <si>
    <t>Shwegu Total</t>
  </si>
  <si>
    <t>Hseni Total</t>
  </si>
  <si>
    <t>Kutkai Total</t>
  </si>
  <si>
    <t>Muse Total</t>
  </si>
  <si>
    <t>Namhkan Total</t>
  </si>
  <si>
    <t>Namtu Total</t>
  </si>
  <si>
    <t>Shan_North Total</t>
  </si>
  <si>
    <t>Mine Yu Lay village ( Old)</t>
  </si>
  <si>
    <t>Mai Yu Lay New (Ta'ang)</t>
  </si>
  <si>
    <t>2 Shelters accomdated for big families</t>
  </si>
  <si>
    <t>Firewood support included</t>
  </si>
  <si>
    <t>8 Bedsheet</t>
  </si>
  <si>
    <t>1 Bedsheet</t>
  </si>
  <si>
    <t>25 BedSheet</t>
  </si>
  <si>
    <t>Transportation charges for Bamboo Transport</t>
  </si>
  <si>
    <t>Zinc roof Sheet</t>
  </si>
  <si>
    <t>KMSS</t>
  </si>
  <si>
    <t>124 Mattress</t>
  </si>
  <si>
    <t>387 Mattress</t>
  </si>
  <si>
    <t>77 Mattress</t>
  </si>
  <si>
    <t>34 Mattress</t>
  </si>
  <si>
    <t>Reported by Metta</t>
  </si>
  <si>
    <t>NFI Kits</t>
  </si>
  <si>
    <t>Emergency Fund</t>
  </si>
  <si>
    <t>Distribution Month/Year (Auto-calculated)</t>
  </si>
  <si>
    <t>Plan Int.</t>
  </si>
  <si>
    <t>WVI</t>
  </si>
  <si>
    <t xml:space="preserve">Aung Lawt </t>
  </si>
  <si>
    <t>Hka Wan KBC</t>
  </si>
  <si>
    <t>Shangaw KBC</t>
  </si>
  <si>
    <t>Lawa RC Church</t>
  </si>
  <si>
    <t>Implementing and supporting agencies for shelter activities (2018)</t>
  </si>
  <si>
    <t>MMR001CMP259</t>
  </si>
  <si>
    <t>MMR001CMP260</t>
  </si>
  <si>
    <t>MMR001CMP261</t>
  </si>
  <si>
    <t>MMR001CMP262</t>
  </si>
  <si>
    <t>MMR001CMP263</t>
  </si>
  <si>
    <t>MMR001CMP264</t>
  </si>
  <si>
    <t>MMR001008702</t>
  </si>
  <si>
    <t>Nammatee Town</t>
  </si>
  <si>
    <t>Lan Gwa</t>
  </si>
  <si>
    <t>MMR001008036</t>
  </si>
  <si>
    <t>Myo Oo Ward</t>
  </si>
  <si>
    <t>MMR001008702502</t>
  </si>
  <si>
    <t>Myo Oo St. Dominic RC Church</t>
  </si>
  <si>
    <t>Lan Gwa St.Paul RC Church</t>
  </si>
  <si>
    <t>MMR001008702501</t>
  </si>
  <si>
    <t>Emmanuel AG Church</t>
  </si>
  <si>
    <t>Nawng Nang</t>
  </si>
  <si>
    <t>MMR001001002</t>
  </si>
  <si>
    <t>Ka War Hka</t>
  </si>
  <si>
    <t>Panmatee Town</t>
  </si>
  <si>
    <t>Tang Hpre RC Church</t>
  </si>
  <si>
    <t>Tang Hpre</t>
  </si>
  <si>
    <t>MMR001001010</t>
  </si>
  <si>
    <t>MMR001002702</t>
  </si>
  <si>
    <t>No (1) Ward</t>
  </si>
  <si>
    <t>MMR001002702501</t>
  </si>
  <si>
    <t>Pan Ma Ti Ward</t>
  </si>
  <si>
    <t>MMR001001701528</t>
  </si>
  <si>
    <t>Myo Hla Ward</t>
  </si>
  <si>
    <t>MMR001008702503</t>
  </si>
  <si>
    <t>Tanai Town</t>
  </si>
  <si>
    <t>MMR001004701</t>
  </si>
  <si>
    <t>Sinbo  Town</t>
  </si>
  <si>
    <t>MMR001001702</t>
  </si>
  <si>
    <t>Inn Thar</t>
  </si>
  <si>
    <t>Yit Law Hkaung Ward</t>
  </si>
  <si>
    <t>MMR001005701501</t>
  </si>
  <si>
    <t>Sinbo Town</t>
  </si>
  <si>
    <t>22/May/2017: Camp status change to Closed. Data Source: KBC 
2/June/2017: Population updated. Data source: WASH Cluster (dated 7/April_outlook mail)
Change to Host Families.</t>
  </si>
  <si>
    <t>MMR001CMP265</t>
  </si>
  <si>
    <t>MMR001CMP266</t>
  </si>
  <si>
    <t>MMR001CMP267</t>
  </si>
  <si>
    <t>MMR001CMP268</t>
  </si>
  <si>
    <t>MMR001CMP269</t>
  </si>
  <si>
    <t>MMR001CMP270</t>
  </si>
  <si>
    <t>In Jang Yang</t>
  </si>
  <si>
    <t>Ti Yang Zup</t>
  </si>
  <si>
    <t>Ti Yang Zug</t>
  </si>
  <si>
    <t>MMR001001012</t>
  </si>
  <si>
    <t>La War</t>
  </si>
  <si>
    <t>MMR001009006</t>
  </si>
  <si>
    <t>La Wa</t>
  </si>
  <si>
    <t>Karmaing RC Church</t>
  </si>
  <si>
    <t>MMR001009702</t>
  </si>
  <si>
    <t>Kamaing Ward</t>
  </si>
  <si>
    <t>MMR001009702501</t>
  </si>
  <si>
    <t>MMR001002701501</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</si>
  <si>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</si>
  <si>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5/June/2018: Data Source Metta NSS
No update information since Jul/2016, KBC to follow up
25/Jul/2016: Added as new camp according to KBC data.</t>
  </si>
  <si>
    <t>5/June/2018: Data Updated
17-01-2017: New added camp. Missing data will be collected from partners and present in next Report.</t>
  </si>
  <si>
    <t>5/June/2018. Data Updated.
6/May/2017: New added camp. Data source: KBC. Camp was confirmed by CCCM unit. The missing informaiton will be updated as soon as possible.</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</si>
  <si>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</si>
  <si>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Emergency shelter for new displaced HHs , Completed</t>
  </si>
  <si>
    <t>Emergency Shelter for new displaced HHs, Planned</t>
  </si>
  <si>
    <t xml:space="preserve">Barracks </t>
  </si>
  <si>
    <t>KMSSB 36units completed in March18,  KBC 231 units completed</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</si>
  <si>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</si>
  <si>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30/June /2018: Population update. Data source: UNHCR/Cluster partners
30/May/2018: Population update. Data source: UNHCR/Cluster partners
30/May/2018: Added as new camp</t>
  </si>
  <si>
    <t>MMR001CMP271</t>
  </si>
  <si>
    <t>Pa Dauk Myaing(Pa La Na)-II</t>
  </si>
  <si>
    <t>50 units gaps in June report.</t>
  </si>
  <si>
    <t>52 units gaps in KMSS-M's June report.</t>
  </si>
  <si>
    <t>Tanai KBC Camp</t>
  </si>
  <si>
    <t>Namti Labraw Yang KBC Camp</t>
  </si>
  <si>
    <t>Trinity Camp</t>
  </si>
  <si>
    <t>Jaw Ma Sat Camp</t>
  </si>
  <si>
    <t xml:space="preserve">DDM </t>
  </si>
  <si>
    <t>Relocated</t>
  </si>
  <si>
    <t xml:space="preserve">Open </t>
  </si>
  <si>
    <t>Individual House</t>
  </si>
  <si>
    <t>Maina Relocation Site</t>
  </si>
  <si>
    <t>MMR001CMP272</t>
  </si>
  <si>
    <t>09/July/2018: Added as new site. Population figure as of joint assessment report (estimated)</t>
  </si>
  <si>
    <t>Waimaw Baptist Zonal Office 2</t>
  </si>
  <si>
    <t>Sumprabum Total</t>
  </si>
  <si>
    <t>Tanai Total</t>
  </si>
  <si>
    <t>Manton Total</t>
  </si>
  <si>
    <t>Hsipaw Total</t>
  </si>
  <si>
    <t xml:space="preserve">Breakdown % of IDPs in type of accommodation (GCA)
</t>
  </si>
  <si>
    <t>% of IDP</t>
  </si>
  <si>
    <t>Breakdown % of IDPs in type of accommodation (NGCA)</t>
  </si>
  <si>
    <t xml:space="preserve">HH </t>
  </si>
  <si>
    <t># of Camp</t>
  </si>
  <si>
    <t xml:space="preserve">Kachin &amp; Northern Shan States - Relocation </t>
  </si>
  <si>
    <t>6/5/2018: Status changed into Closed. Source Metta NSS,some IDP have returned, some moved to host families in Namtu and Kha Shi village, Lashio township
Lack of access. Not updated since Mar/2014.
Change to Host Families.</t>
  </si>
  <si>
    <t>31/July/2018: Data Source (UNHCR-LSH)
5/Jun/2018: Population update. Data source: DRC, SCI
2/Jun/2017: Population update. Data source: WASH cluster.
25/Jul/2016: Added as new camp according to KBC data. Data was given by Jade</t>
  </si>
  <si>
    <t>Manlun-Tsanlun</t>
  </si>
  <si>
    <t>Hu Hku</t>
  </si>
  <si>
    <t>Jaw Masat Camp</t>
  </si>
  <si>
    <t xml:space="preserve">St. Joseph Tanai RC camp </t>
  </si>
  <si>
    <t>Information received from UNHCR PU remote monitoring tool that all the IDPs moved to nearby location ; Yartikaun; camp like setting changed from Opened to Closed on the date of 31 Aust 2018</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</si>
  <si>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</si>
  <si>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No agency has visited since Jul/2016, KBC to follow up.
25/Jul/2016: Added as new camp according to KBC data/ all the hh stayed temporarily and returned to VoO in 2016; source of information: cluster meeting 15 Aug 2018. Lashio, by Metta, KBC, KMSS-L</t>
  </si>
  <si>
    <t xml:space="preserve">Yi Hku Man Hkan </t>
  </si>
  <si>
    <t>Village</t>
  </si>
  <si>
    <t>1/OCt /2018: Population update. Data source: KMSS_Myitkyina
30/June/2018: Population update. Data source: KMSS_Myitkyina
4/April/2018: Camp status change to Camp like setting ( No CCCM intervention from January 2018)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</si>
  <si>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CordAid</t>
  </si>
  <si>
    <t>MMR015CMP250</t>
  </si>
  <si>
    <t>1/Nov/2018: Changed camp status as "reopen", Data source: NSS Cluster Partners: Reopen as per NSS Cluster Partners confirm that the IDPs are staying in the location during Cluster Meeting. 
Close: Duplicate Camp (MMR015CMP015 - Kone Khem Camp) 21-Jan-14</t>
  </si>
  <si>
    <t>20.04.2018</t>
  </si>
  <si>
    <t>Hu Hku &amp; Ho Hko</t>
  </si>
  <si>
    <t>MMR015011029</t>
  </si>
  <si>
    <t>Pang Kai Pang Lawt</t>
  </si>
  <si>
    <t>Galeng (Palaung) &amp; Kone Khem</t>
  </si>
  <si>
    <t>KBC/MHF</t>
  </si>
  <si>
    <t>Thanti Thuhka Dama Yone</t>
  </si>
  <si>
    <r>
      <t>Tu Seter Yone Monastery</t>
    </r>
    <r>
      <rPr>
        <sz val="11"/>
        <color rgb="FF000000"/>
        <rFont val="Calibri"/>
        <family val="2"/>
        <scheme val="minor"/>
      </rPr>
      <t xml:space="preserve"> </t>
    </r>
  </si>
  <si>
    <r>
      <t>Tu Seter Yone Monastery</t>
    </r>
    <r>
      <rPr>
        <sz val="11"/>
        <color theme="1"/>
        <rFont val="Calibri"/>
        <family val="2"/>
        <scheme val="minor"/>
      </rPr>
      <t xml:space="preserve"> </t>
    </r>
  </si>
  <si>
    <t>KMSS - Lashio</t>
  </si>
  <si>
    <t>Kaung Ai village</t>
  </si>
  <si>
    <t>Mansan monastery</t>
  </si>
  <si>
    <t>Moe Guk monastery</t>
  </si>
  <si>
    <t>Poppa Yung monastery</t>
  </si>
  <si>
    <t>Wing Nan monastery</t>
  </si>
  <si>
    <t>Mai Yin monastery</t>
  </si>
  <si>
    <t>Pang Kham monastery</t>
  </si>
  <si>
    <t>Kamahtan monastery</t>
  </si>
  <si>
    <t>Mine Mu monastery</t>
  </si>
  <si>
    <t>Aung Minggalar monastery</t>
  </si>
  <si>
    <t>lashio</t>
  </si>
  <si>
    <t>Lashio Mansu monastery</t>
  </si>
  <si>
    <t>Lashio Catholic Church camp</t>
  </si>
  <si>
    <t>West Kachin Baptist Church</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</si>
  <si>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25-Jun-15 (Population update. Source : Shalom)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</si>
  <si>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</si>
  <si>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</si>
  <si>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</si>
  <si>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</si>
  <si>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 xml:space="preserve">Nam Hpat Kar (Host Community) </t>
  </si>
  <si>
    <t>Than Lwin host community</t>
  </si>
  <si>
    <t>Than Lwin resettlement</t>
  </si>
  <si>
    <t>Mong Shu</t>
  </si>
  <si>
    <t>Luakking </t>
  </si>
  <si>
    <t>Mawkmai</t>
  </si>
  <si>
    <t>Laukkaing</t>
  </si>
  <si>
    <t>Hoe Hkho  (Resettlement)</t>
  </si>
  <si>
    <t>Kone Sone village (Host Community)</t>
  </si>
  <si>
    <t>Mong Yu Lay (Host Community)</t>
  </si>
  <si>
    <t>Long Kan village</t>
  </si>
  <si>
    <t>HaiPa  and Kong Nim (Mai Shu)</t>
  </si>
  <si>
    <t>Nam Pa Moon (Mai Shu)</t>
  </si>
  <si>
    <t>His Aw Camp</t>
  </si>
  <si>
    <t>Maik Shar Say Village</t>
  </si>
  <si>
    <t>Mu Kwar Kyaing (Resettlement)</t>
  </si>
  <si>
    <t>Pone Soke Village</t>
  </si>
  <si>
    <t>Shwe Yin Si Camp (Resettlement)</t>
  </si>
  <si>
    <t>Shwe Sin</t>
  </si>
  <si>
    <t>Tar Shwe Htan </t>
  </si>
  <si>
    <t>Solar Lamp</t>
  </si>
  <si>
    <t>Kut Kai</t>
  </si>
  <si>
    <t>Namkham</t>
  </si>
  <si>
    <t>Seinlon IDP Boarder</t>
  </si>
  <si>
    <t>Mansi UDOC</t>
  </si>
  <si>
    <t>100 umbrellas distrubuted</t>
  </si>
  <si>
    <t>Waimaw</t>
  </si>
  <si>
    <t>WBA Camp-2</t>
  </si>
  <si>
    <t>Pantapye</t>
  </si>
  <si>
    <t>Lisu Camp</t>
  </si>
  <si>
    <t>Kamai (K)</t>
  </si>
  <si>
    <t>Hpakant (K)</t>
  </si>
  <si>
    <t>Waimaw (K)</t>
  </si>
  <si>
    <t>Kutkai (S)</t>
  </si>
  <si>
    <t>Namtu (S)</t>
  </si>
  <si>
    <t xml:space="preserve">Kamai </t>
  </si>
  <si>
    <t>Kamai Camp</t>
  </si>
  <si>
    <t>Lawa</t>
  </si>
  <si>
    <t xml:space="preserve"> San Hka</t>
  </si>
  <si>
    <t>KBC (1) Camp</t>
  </si>
  <si>
    <t>KBC (2) Camp</t>
  </si>
  <si>
    <t>RC Camp</t>
  </si>
  <si>
    <t>KBC Camp</t>
  </si>
  <si>
    <t xml:space="preserve">Mansi </t>
  </si>
  <si>
    <t xml:space="preserve">Moemauk </t>
  </si>
  <si>
    <t xml:space="preserve">Hpakant </t>
  </si>
  <si>
    <t xml:space="preserve">Waimaw </t>
  </si>
  <si>
    <t xml:space="preserve">Nam Hkam </t>
  </si>
  <si>
    <t>UDOC</t>
  </si>
  <si>
    <t>Kamai</t>
  </si>
  <si>
    <t>WBA -2</t>
  </si>
  <si>
    <t>Jaw Wang 1</t>
  </si>
  <si>
    <t>Jaw Wang 2</t>
  </si>
  <si>
    <t>St; Thomas</t>
  </si>
  <si>
    <t>7  toilet providec</t>
  </si>
  <si>
    <t>21 tiolet provided</t>
  </si>
  <si>
    <t>67 bedding sheet provided</t>
  </si>
  <si>
    <t>36 bedding sheet provided</t>
  </si>
  <si>
    <t>44 bedding sheet provided</t>
  </si>
  <si>
    <t>62 bedding sheet provided</t>
  </si>
  <si>
    <t>117 bedding sheet provided</t>
  </si>
  <si>
    <t>KBC-MKA</t>
  </si>
  <si>
    <t xml:space="preserve">12/Feb/2019: Camp status changed into Close. Data source: KBC- MKA ( Kyun Pin Thar Baptist Church ( MMR001CMP013) Combined with Le Kone Bethlehem Church as per KBC- MKA )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Three locations in Du Kahtawng merged as per 1st of July </t>
  </si>
  <si>
    <t>KBC-Bhamo</t>
  </si>
  <si>
    <t>12/Feb/2019: Population update. Data source: KBC ( Camp status changed to Camp like setting as per KBC-NSS, the camp is on the progress to return and relocation in 2019)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</si>
  <si>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KBC-LSO</t>
  </si>
  <si>
    <t>MMk</t>
  </si>
  <si>
    <t>USD</t>
  </si>
  <si>
    <t>Shelter Support for Solution 2019</t>
  </si>
  <si>
    <t>Implementing Agency</t>
  </si>
  <si>
    <t>Type of Solution</t>
  </si>
  <si>
    <t>Shelter gap/needs:  2019</t>
  </si>
  <si>
    <t>Planned coverage: Jan- Dec 2019</t>
  </si>
  <si>
    <t>Shelter Progress  Jan-Dec 2019</t>
  </si>
  <si>
    <t>remaining gap/needs: 2019</t>
  </si>
  <si>
    <t>Funding Gap 2019</t>
  </si>
  <si>
    <t>Remark</t>
  </si>
  <si>
    <t># Shelter Need</t>
  </si>
  <si>
    <t># Shelter planned</t>
  </si>
  <si>
    <t>#Shelter Progress</t>
  </si>
  <si>
    <t>Decreased population figure</t>
  </si>
  <si>
    <t>Increased Population figure</t>
  </si>
  <si>
    <t>KBC-BMO</t>
  </si>
  <si>
    <t>KBC-MYT</t>
  </si>
  <si>
    <t>KBC- Myitkyina</t>
  </si>
  <si>
    <t>KBC- Lashio</t>
  </si>
  <si>
    <t>KBC-MYT/BFTW</t>
  </si>
  <si>
    <t>KBC-MYT/MHF</t>
  </si>
  <si>
    <t>KBC-MYT/UNHCR</t>
  </si>
  <si>
    <t>KBC/UNHCR</t>
  </si>
  <si>
    <t>KMSS-LSO/UNHCR</t>
  </si>
  <si>
    <t>KMSS-LSO/MHF</t>
  </si>
  <si>
    <t>KMSS-BMO/UNHCR/NRC</t>
  </si>
  <si>
    <t>KMSS-BMO/MHF</t>
  </si>
  <si>
    <t>KMSS-BMO/UNHCR</t>
  </si>
  <si>
    <t>KMSS-MYT/MHF</t>
  </si>
  <si>
    <t>KMSS-MYT/UNHCR/MHF</t>
  </si>
  <si>
    <t>KMSS-MYT/UNHCR</t>
  </si>
  <si>
    <t>KBC- MYT</t>
  </si>
  <si>
    <t>One Sock and One Flask</t>
  </si>
  <si>
    <t>Lai Wun Yang</t>
  </si>
  <si>
    <t>Zut Hkar</t>
  </si>
  <si>
    <t>Ka Ran Yang</t>
  </si>
  <si>
    <t>Da Ru Kha</t>
  </si>
  <si>
    <t>Su Yang (Ka War Pan)</t>
  </si>
  <si>
    <t>Hka Htut (Hka Ka Ran Yang)</t>
  </si>
  <si>
    <t>Hka Ka Ran Yang</t>
  </si>
  <si>
    <t>La Ja Bum</t>
  </si>
  <si>
    <t>Kawng Ja</t>
  </si>
  <si>
    <t>Sut Ra</t>
  </si>
  <si>
    <t xml:space="preserve">Mai Htaung </t>
  </si>
  <si>
    <t>Su Yang (In Ta Ga Lu)</t>
  </si>
  <si>
    <t>In Ta Ga Lu</t>
  </si>
  <si>
    <t>Khin Du Kawng (In Ta Ga Lu)</t>
  </si>
  <si>
    <t>Ping Saung (In Ta Ga Lu)</t>
  </si>
  <si>
    <t xml:space="preserve">Ka Ba Yan Khu Ward </t>
  </si>
  <si>
    <t xml:space="preserve">Myo Ma Ward </t>
  </si>
  <si>
    <t xml:space="preserve">Sumprabum Town </t>
  </si>
  <si>
    <t xml:space="preserve">War Sat Khu Ward </t>
  </si>
  <si>
    <t>In Gaw Ma</t>
  </si>
  <si>
    <t>Hpon Kyan</t>
  </si>
  <si>
    <t>Hpung Ing Yang</t>
  </si>
  <si>
    <t>Khin Du Yang</t>
  </si>
  <si>
    <t>In Sai Yang</t>
  </si>
  <si>
    <t>Sumpi Yang</t>
  </si>
  <si>
    <t>Matsi Yang</t>
  </si>
  <si>
    <t>Wa Dat</t>
  </si>
  <si>
    <t>NRC/MHF</t>
  </si>
  <si>
    <t>METTA</t>
  </si>
  <si>
    <t>IDPs in Host</t>
  </si>
  <si>
    <t>IDPS in Host</t>
  </si>
  <si>
    <t>Man Wing- IDPs in Host</t>
  </si>
  <si>
    <t xml:space="preserve">IDPs in Host </t>
  </si>
  <si>
    <t>Inn Lel Yan - IDPs in Host</t>
  </si>
  <si>
    <t>Hopin -IDPs in Host</t>
  </si>
  <si>
    <t>Moenyin- IDPs in Host</t>
  </si>
  <si>
    <t>Local integration</t>
  </si>
  <si>
    <t>Return</t>
  </si>
  <si>
    <t>Narma Khaw Monastery</t>
  </si>
  <si>
    <t>Naung Am Monastery</t>
  </si>
  <si>
    <t>Ton Kar Village</t>
  </si>
  <si>
    <t>Nar Kan Monastery</t>
  </si>
  <si>
    <t>Shwe Kyin Monastery</t>
  </si>
  <si>
    <t>Aung Su Pan Monastery    </t>
  </si>
  <si>
    <t>Nan Salin Monastery  </t>
  </si>
  <si>
    <t>Return &amp; Local Integration</t>
  </si>
  <si>
    <t>IDPs in host</t>
  </si>
  <si>
    <t>KMSS-L/MHF</t>
  </si>
  <si>
    <t>KBC-NSS</t>
  </si>
  <si>
    <t>KMSS-MYT/DPP2/UNHCR</t>
  </si>
  <si>
    <t>KMSS-LSO/EU-DPP2</t>
  </si>
  <si>
    <t>8/Mar/2019:  Data source:Shalom. Camp Status change to Close ( Regarding Yoe Gyi camp(Bhamaw), 8 households have already moved to Nang Hlaing new ward(resettlement site) on 21,28, Dec, 2018 and 14,15, Feb, 2019. Out of the rest 3 households, one household is staying in ward,receiving food assistance of WFP, the another one household have returned the place of origin( MawSin) on 17 Dec,2018, having received return package from WFP and the last household have moved to 3 mile after receiving return package from WFP)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</si>
  <si>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8/Mar/2019: Population update. Data source: KMSS_LSO   Camp status change from Camp to camp like setting as per KMSS mail. 11 HHs and 56 PPs had moved to Namtu and Seng Ja village in Jannuary 2019 by voluntarily. Some live by their own house and some live in rental house in Nam Tu. camp management system policy the camp will not be included CMC list )
12/Feb/2019: Data Source: KMSS-LSO ( Camp status change to Camp from camp like setting as KMSS-LSO will be covering the camp as CMA
31/July/2018: Data Source (UNHCR-LSH)
6/June/2018: Data source ( DRC- NSS)
25/Jul/2016: Added as new camp according to KBC data.</t>
  </si>
  <si>
    <t>8/March/2019:Data source: KMSS_Myitkyina ( Camp status change to close) The IDPs moved to  Pa Dauk Myaing(Pa La Na)-II and combined camp. 
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</si>
  <si>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Kyin Thi monastery</t>
  </si>
  <si>
    <t>KBC-BMO/UNHCR</t>
  </si>
  <si>
    <t>KBC- Myitkyina, Bhamo &amp; NSS</t>
  </si>
  <si>
    <t>KMSS-Myitkyina, Bhamo&amp; NSS</t>
  </si>
  <si>
    <t>MMR001015030</t>
  </si>
  <si>
    <t xml:space="preserve">Hka Garan Yang </t>
  </si>
  <si>
    <t>Khum Sam Leik</t>
  </si>
  <si>
    <t>2500 monastery, Ton Sint primary school and Boedaw monastery</t>
  </si>
  <si>
    <t>Man Li camp (Nam Lan sub Tsp)</t>
  </si>
  <si>
    <t>Long Meik, Mong Mu and Kawng Huong villages</t>
  </si>
  <si>
    <t>ICRC (Observer)</t>
  </si>
  <si>
    <t>KMSS-LSO/MHF/ICRC (observer)</t>
  </si>
  <si>
    <t>BamBoos</t>
  </si>
  <si>
    <t>Mandong</t>
  </si>
  <si>
    <t xml:space="preserve">30 IRON BOX </t>
  </si>
  <si>
    <t xml:space="preserve">128 Light Bulk, 64 Battery, 8 solar Panel that can be used street light </t>
  </si>
  <si>
    <t>19/Mar/2019: Population update. Data source: WFP
7/April/2017: Population update. Data source: WFP
Geo-Info, HH/Pop data was updated from Google Earth.</t>
  </si>
  <si>
    <t>19/Mar/2019: Population update. Data source: WFP
28/Jan/2016. Population update. Data source: KBC &amp; UNHCR
13/Dec/15. Population update. Data source: UNHCR. Reason for pop changes: IDP in the host who were registered in the Man Win Bapitst Church (cultural compound) camp established their own separate entity as IDP in the host. 
Population Update. Source: Save The Children.</t>
  </si>
  <si>
    <t>19/Mar/2019: Population update. Data source: WFP
7/April/2017: Population update. Data source: WFP
9/Nov/15. Population update. Data source: WFP
Update IDP increased in Oct and Nov 2013 from (UNHCR - Bhamo)</t>
  </si>
  <si>
    <t>19/Mar/2019: Population update. Data source: WFP
7/April/2017: Population update. Data source: WFP
9/Nov/15. Population update. Data source: WFP</t>
  </si>
  <si>
    <t>19/Mar/2019: Population update. Data source: WFP
24/Apr/2017: Population update. Data source: CCCM unit
19-Mar-2015 (WFP has been providing this host families since 2013.)</t>
  </si>
  <si>
    <t>19/Mar/2019: Population update. Data source: WFP
24/Apr/2017: Population update. Data source: CCCM unit
10/Jan/2017: Population update. Data source: KMSS_Myitkyina
16/Jun/2016. Population update. Data source: monthly report from KMSS_MYT
28/Jan/2016. Population update. Data source: KBC (mail by maran)
9/Nov/15. Population update. Data source: mail from Pancy (WFP).
19-Mar-2015 (WFP has been providing this host families since 2013.)</t>
  </si>
  <si>
    <t>KBC-LSO/UNHCR/Metta</t>
  </si>
  <si>
    <t>Namhkam</t>
  </si>
  <si>
    <t>KBC-MYT/NipponFoundation</t>
  </si>
  <si>
    <t>8/April/2019: Population update. Data source: KMSS-M and Cluster ; 19 families displaced in 2016 and 10 families displaced in November 2018</t>
  </si>
  <si>
    <t>Resettlement/Local integration</t>
  </si>
  <si>
    <t>Mandi</t>
  </si>
  <si>
    <t>TEC Boardring School</t>
  </si>
  <si>
    <t>KMSS-LSH</t>
  </si>
  <si>
    <t>7 already has house in VoO</t>
  </si>
  <si>
    <t>Shelter Gap Analysis April 2019</t>
  </si>
  <si>
    <t>Not listed in CCCM   list/displaced in 2018</t>
  </si>
  <si>
    <t>Resettlement</t>
  </si>
  <si>
    <t>KMSS-B</t>
  </si>
  <si>
    <t>Moe mouk</t>
  </si>
  <si>
    <t>Pin Oo Lwin Ward</t>
  </si>
  <si>
    <t>Kaung Ra</t>
  </si>
  <si>
    <t>Gaing Phaw Myae</t>
  </si>
  <si>
    <t xml:space="preserve">Ding Ga Yang </t>
  </si>
  <si>
    <t xml:space="preserve">Loi Mauk Yang </t>
  </si>
  <si>
    <t>Loi Mauk Yang (School)</t>
  </si>
  <si>
    <t>Chye Nan Ward from man bung RC</t>
  </si>
  <si>
    <t>Maihkawng ward 1  (School)</t>
  </si>
  <si>
    <t>Lawa Resettlement site</t>
  </si>
  <si>
    <t>Namaphyit Catholic Church</t>
  </si>
  <si>
    <t>Man Bung RC to 19 miles</t>
  </si>
  <si>
    <t>Mai Khaung Return</t>
  </si>
  <si>
    <t>For solution</t>
  </si>
  <si>
    <t xml:space="preserve">For storm affected </t>
  </si>
  <si>
    <t>For care and maintenance</t>
  </si>
  <si>
    <t>CGIs</t>
  </si>
  <si>
    <t>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</si>
  <si>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t>
  </si>
  <si>
    <t>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UNHCR-Bhamo</t>
  </si>
  <si>
    <t>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27/Apr/2017: Population update. Data source: Camp focal point through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</si>
  <si>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</si>
  <si>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</si>
  <si>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Camp Profile Round 2.</t>
  </si>
  <si>
    <t>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</si>
  <si>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</si>
  <si>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</si>
  <si>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8/May/2019: Population update. Data source: KBC-Bhamo
8/May/2019: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</si>
  <si>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</si>
  <si>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</si>
  <si>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pouplation from KBC
25-Jun-2015 Update population from KBC.
Update population according to KBC data</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</si>
  <si>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from KBC.
Checked with KBC data</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</si>
  <si>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28/Jan/2016. Population update. Data source: KBC
2/Dec/2015. Population update. Data source: KBC.
19-Aug-2015 Update population from KBC.
25-Jun-2015 Update population from KBC.
Update population according to KBC data</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</si>
  <si>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</si>
  <si>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 Update population from KBC.
25-Jun-2015 Update population from KBC.
Update population according to KBC data</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</si>
  <si>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</si>
  <si>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from KBC.
Update population according to KBC data</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</si>
  <si>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</si>
  <si>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</si>
  <si>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Checked with KBC data</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</si>
  <si>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Population updated. Source: Shelter unit.</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</si>
  <si>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Data Source: KBC
Checked with KBC data</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</si>
  <si>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Data Source: KBC.
25-Jun-2015 Update population. Data Source: KBC
Update population according to KBC data</t>
  </si>
  <si>
    <t>8/May/2019: Population update. Data source: KBC-MYT
12/Feb/2019: Population update. Data source: KBC- MKA
9/Jan/2019: Population update. Data source: KBC3/Dec/2018: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Update population according to KBC data.</t>
  </si>
  <si>
    <t>8/May/2019: Population update. Data source: KBC-MYT
12/Feb/2019: Population update. Data source: KBC- MKA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HH and Pop changed a lot because they moved to GCA (Myitkyina and Waingmaw towns)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</si>
  <si>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</si>
  <si>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</si>
  <si>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(kate maw)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2-Apr-15 (Population update, Source: UNHCR CCCM Mission)</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</si>
  <si>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</si>
  <si>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14-Oct-15 Population update. Soruce; Hpakant Mission Report_WFP
25-Jun-15 Population update. Source: KBC
18-May-15 (Population update from field mission)
3-Apr-15 (Population update. Source: Camp Profile Round 3)
New camp</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</si>
  <si>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</si>
  <si>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</si>
  <si>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15/Mar/2017: Population update. Data Source: KBC
24/Feb/2017: Population and Responsible agency update. Data source: KBC.
10/2/2015. New Camp. Data source: CCCM team</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</si>
  <si>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24/Apr/2017: Population update. Data source: KBC and CCCM unit
15/Mar/2017: Population update. Data Source: KBC
24/Feb/2017: Population and Responsible agency update. Data source: KBC.
10/2/2015. New Camp. Data source: CCCM team</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</si>
  <si>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16/Sep/2016: New added camp. There no responsible organization.</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</si>
  <si>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</si>
  <si>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 xml:space="preserve">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</si>
  <si>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</si>
  <si>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</si>
  <si>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8/May/2019: Population update. Data source: KBC-MYT
12/Feb/2019: Population update. Data source: KBC- MKA: Kyun Pin Thar Baptist Church ( MMR001CMP013) Combined with Le Kone Bethlehem Church as per KBC- MKA ; 38 HH 182 pp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</si>
  <si>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</si>
  <si>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</si>
  <si>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</si>
  <si>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</si>
  <si>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</si>
  <si>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</si>
  <si>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30/June /2018: Population update. Data source: UNHCR/Cluster partners
30/May/2018: Population update. Data source: UNHCR/Cluster partners
21/May/2018: Added as new camp. Data source: MIRA (Multi Sector Assessment Team)</t>
  </si>
  <si>
    <t>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</si>
  <si>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</si>
  <si>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</si>
  <si>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</si>
  <si>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</si>
  <si>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</si>
  <si>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</si>
  <si>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</si>
  <si>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</si>
  <si>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</si>
  <si>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</si>
  <si>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</si>
  <si>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</si>
  <si>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</si>
  <si>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30/June/2018: Population update. Data source: KBC,
31/May/2018: Population update. Data source: KBC
30/Apr/2018: Population update. Data source: KBC
27/Mar/2018: Population update. Data source: KBC
5/Mar/2018: Population update. Data source: KBC
CCCM activities start in july 2017</t>
  </si>
  <si>
    <t>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KMSS_Bhamo(24 HHs with around 100 Return to VoO Ga Ra Yang  as per camp leader of the camp)
31/May/2018: Population update. Data source: KMSS_Bhamo
10/May/2018: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19-Aug-15 (Population Update. Data Source: KMSS-BMO)
Population update: Source: Camp Profile Round 2.</t>
  </si>
  <si>
    <t>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(23 HHs new arrived from Aung Nan village, Mansi township due to conflict in April 2018.)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Population Update. Data Source; KMSS-BMO
Population increased. Relocated from Momauk Catholic Church (St. Patrick) - MMR001CMP057</t>
  </si>
  <si>
    <t>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Update Population. Data Source; KMSS-BMO
Population update: Source UNHCR-Bhamo</t>
  </si>
  <si>
    <t>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27/Mar/2018: Population update. Data Source: KMSS_Myitkyina
27/Mar/2018: Population update. Data Source: KMSS_Myitkyina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Udate Population. Date Source; KMSS-BMO
Population update: Source: KMSS-BMO</t>
  </si>
  <si>
    <t>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(79 populations shifted from Pakahtawng camp to Momouk KBC camo)
31/May/2018: Population update. Data source: KMSS_Bhamo ( 20 HHs 79 PP moved to Momauk Baptist Church as per KMSS-B info)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as they  join Nhkawng Pa camp which is closer to their village of origin
28/Jan/2016. Population update. Data source: KBC (mail by maran)
19-Aug-2015. Population Update. Data Source; KMSS-BMO
Population update: Source: Camp Profile Round 2.</t>
  </si>
  <si>
    <t>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Population update: Source UNHCR-Bhamo</t>
  </si>
  <si>
    <t>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(combined as one camp with Bum Tsit Pa Camp II)  Data Source: KMSS_BMO
28/Jan/2016. Population update. Data source: KBC
Population update: Source: KMSS-BMO
Population Update. Source: Save The Children.</t>
  </si>
  <si>
    <t>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and CCCM unit  (according to PPA)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</si>
  <si>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t>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spontenous return to villages near Manwin Gyi
28/Jan/2016. Population update. Data source: KBC (mail by maran)
19-Aug-2015. Update Population. Data Source; KMSS-BMO
Population Update. Source: KMSS-BMO</t>
  </si>
  <si>
    <t>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families’ extension
28/Jan/2016. Population update. Data source: KBC (mail by maran)
19-Aug-2015. Update Population. Data Source; KMSS-BMO
Responsible Agency update. KMSS-MYT to KMSS-BMO.</t>
  </si>
  <si>
    <t>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</si>
  <si>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</si>
  <si>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8/May/2019: Population update. Data source: KMSS_LSO
( CMA changed from KBC to KMSS-LSO)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</si>
  <si>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</si>
  <si>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</si>
  <si>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</si>
  <si>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</si>
  <si>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</si>
  <si>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8/May/2019: Population update. Data source: KMSS_LSO
12/Feb/2019: Data Source: KMSS-LSO ( Camp status change to Camp from camp like setting as KMSS-LSO will be covering the camp as CMA
31/August/2018: Data Source (KMSSLSH)
31/July/2018: Data Source (UNHCR-LSH)
5/June/2018: Data Source: IRC
No update information since Jul/2016, KBC to follow up
25/Jul/2016: Added as new camp according to KBC data.</t>
  </si>
  <si>
    <t>8/May/2019: Population update. Data source: KMSS_LSO
12/Feb/2019: Data Source: KMSS-LSO ( Camp status change to Camp from camp like setting as KMSS-LSO will be covering the camp as CMA
31/July/2018: Data Source (UNHCR-LSH)
6/June/2018: Data Source ( IRC, KMSS-Lsh)
11/Jul/2017: Updated from UNOCHA, visited on March 2017 
9/Nov/15. New added camp. Data source: UNHCR CCCM officer NSS mission 8-12 July 2015.</t>
  </si>
  <si>
    <t>8/May/2019: Population update. Data source: KMSS_LSO
12/Feb/2019: Population update. Data source: KMSS_Lashio
12/Feb/2019: Population update. Data source: KMSS-LSH ( CMA changed from KBC to KMSS-LSO)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</si>
  <si>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 xml:space="preserve">8/May/2019: Population update. Data source: KMSS_LSO
12/Feb/2019: Data Source: KMSS-LSO ( Camp status change to Camp from camp like setting as KMSS-LSO will be covering the camp as CMA
1/November/2018: Data Source: UNHCR-LSH and Partners
IDPs relocated from  Mai Yu Lay New (Ta'ang) ( MMR015CMP220) </t>
  </si>
  <si>
    <t>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</si>
  <si>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</si>
  <si>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</si>
  <si>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</si>
  <si>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</si>
  <si>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</si>
  <si>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</si>
  <si>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6/June/2017: Change the township, village tract and village.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</si>
  <si>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</si>
  <si>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 Some shifted to GCA Camps and some students went for study)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</si>
  <si>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</si>
  <si>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</si>
  <si>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</si>
  <si>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</si>
  <si>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</si>
  <si>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</si>
  <si>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</si>
  <si>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8/May/2019: Population update. Data source: KMSS_Myitkyina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 /2018: Population update. Data source: KMSS M</t>
  </si>
  <si>
    <t xml:space="preserve">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</si>
  <si>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</si>
  <si>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</si>
  <si>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</si>
  <si>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</si>
  <si>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</si>
  <si>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8/May/2019: Population update. Data source:Shalom
12/Feb/2019: Population update. Data source: Shalom ( Camp Status change into Camp as Shalom is managing the camp from Jan 2019)
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</si>
  <si>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31/May/2018: Population update. Data source: Shalom
30/Apr/2018: Population update. Data source: Shalom
27/Mar/2018: Population update. Data source: Shalom
5/Mar/2018: Population update. Data source: Shalom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</si>
  <si>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</si>
  <si>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</si>
  <si>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</si>
  <si>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</si>
  <si>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</si>
  <si>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24/Apr/2017: Pop update. Data source: KMSS_Myitkyina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</si>
  <si>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</si>
  <si>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</si>
  <si>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</si>
  <si>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Population update: Source: Camp Profile Round 2.</t>
  </si>
  <si>
    <t>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</si>
  <si>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</si>
  <si>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</si>
  <si>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</si>
  <si>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</si>
  <si>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</si>
  <si>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</si>
  <si>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8/May/2019: Population update. Data source: KMSS_Bhamo
11 HH 77 PP returned to origin village  on 5 April 2019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KMSS 
19-Aug-15 Update population. Source KMSS-BMO
Geo-Info update.</t>
  </si>
  <si>
    <t>Pillow</t>
  </si>
  <si>
    <t>Iron Box</t>
  </si>
  <si>
    <t>Bedding</t>
  </si>
  <si>
    <t xml:space="preserve">UNIQLO </t>
  </si>
  <si>
    <t>Data Update: UNHCR Camp profiling in April 2019</t>
  </si>
  <si>
    <t>Shalom/MHF</t>
  </si>
  <si>
    <t>KMSS-BMO/UNHCR/NRC/MHF</t>
  </si>
  <si>
    <t>Shalom/UNHCR/NRC/MHF</t>
  </si>
  <si>
    <t>8/ May/2019: Camp status changed to Closed as the site is going to marge with Pang Hkawng Yang Camp, under Shwegu Township as per KBC Bhamo Information. 
2/June/2017: Updated Accessibility NGCA to GCA. Data source: UNOCHA.
Change to Host Families.</t>
  </si>
  <si>
    <t>MMR001CMP273</t>
  </si>
  <si>
    <t>Pan Khun Yang</t>
  </si>
  <si>
    <t>MMR001011034</t>
  </si>
  <si>
    <t>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fled in early of 2012 because of Arm Clashed between KIO and Burmese Millitary.They are still at the forest area of near their origin village as the mobile IDPs until now</t>
  </si>
  <si>
    <t xml:space="preserve">Pang Hkawn Yang </t>
  </si>
  <si>
    <t>Camp Status Changed to closed as the IDPs return to VoO in the first week of April. 
8/May/2019: Population update. Data source: KMSS_Bhamo
Camp Status changed to Closed. IDPs returned to VoO in April 2019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Update population. Source UNHCR Bhamo</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</si>
</sst>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_(* #,##0.00_);_(* \(#,##0.00\);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0000"/>
    <numFmt numFmtId="172" formatCode="0.000"/>
    <numFmt numFmtId="173" formatCode="[$-409]d\-mmm\-yy;@"/>
    <numFmt numFmtId="174" formatCode="[$-409]d/mmm/yy;@"/>
  </numFmts>
  <fonts count="77"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u/>
      <sz val="11"/>
      <color theme="10"/>
      <name val="Calibri"/>
      <family val="2"/>
      <scheme val="minor"/>
    </font>
    <font>
      <sz val="28"/>
      <name val="Calibri"/>
      <family val="2"/>
      <scheme val="minor"/>
    </font>
    <font>
      <b/>
      <sz val="28"/>
      <name val="Calibri"/>
      <family val="2"/>
      <scheme val="minor"/>
    </font>
    <font>
      <sz val="11"/>
      <name val="Calibri"/>
      <family val="2"/>
      <scheme val="minor"/>
    </font>
    <font>
      <b/>
      <sz val="10"/>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11"/>
      <name val="Calibri"/>
      <family val="2"/>
    </font>
    <font>
      <b/>
      <sz val="16"/>
      <color indexed="8"/>
      <name val="Calibri"/>
      <family val="2"/>
    </font>
    <font>
      <sz val="10"/>
      <name val="MS Sans Serif"/>
      <family val="2"/>
    </font>
    <font>
      <b/>
      <sz val="1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b/>
      <sz val="20"/>
      <name val="Calibri"/>
      <family val="2"/>
      <scheme val="minor"/>
    </font>
    <font>
      <b/>
      <sz val="26"/>
      <name val="Calibri"/>
      <family val="2"/>
      <scheme val="minor"/>
    </font>
    <font>
      <sz val="8"/>
      <color rgb="FF000000"/>
      <name val="Tahoma"/>
      <family val="2"/>
    </font>
    <font>
      <b/>
      <sz val="16"/>
      <name val="Calibri"/>
      <family val="2"/>
      <scheme val="minor"/>
    </font>
    <font>
      <b/>
      <sz val="9"/>
      <color indexed="9"/>
      <name val="Calibri"/>
      <family val="2"/>
    </font>
    <font>
      <sz val="9"/>
      <name val="Calibri"/>
      <family val="2"/>
    </font>
    <font>
      <b/>
      <sz val="18"/>
      <color rgb="FF000000"/>
      <name val="Calibri"/>
      <family val="2"/>
      <scheme val="minor"/>
    </font>
    <font>
      <sz val="10"/>
      <color rgb="FFFF0000"/>
      <name val="Calibri"/>
      <family val="2"/>
      <scheme val="minor"/>
    </font>
    <font>
      <b/>
      <sz val="22"/>
      <name val="Calibri"/>
      <family val="2"/>
      <scheme val="minor"/>
    </font>
    <font>
      <sz val="22"/>
      <color theme="1"/>
      <name val="Calibri"/>
      <family val="2"/>
      <scheme val="minor"/>
    </font>
    <font>
      <sz val="22"/>
      <name val="Calibri"/>
      <family val="2"/>
      <scheme val="minor"/>
    </font>
    <font>
      <b/>
      <sz val="16"/>
      <color theme="1"/>
      <name val="Calibri"/>
      <family val="2"/>
      <scheme val="minor"/>
    </font>
    <font>
      <sz val="16"/>
      <color theme="1"/>
      <name val="Calibri"/>
      <family val="2"/>
      <scheme val="minor"/>
    </font>
    <font>
      <sz val="16"/>
      <color rgb="FF000000"/>
      <name val="Calibri"/>
      <family val="2"/>
    </font>
    <font>
      <b/>
      <sz val="16"/>
      <name val="Calibri"/>
      <family val="2"/>
    </font>
    <font>
      <b/>
      <sz val="18"/>
      <name val="Calibri"/>
      <family val="2"/>
      <scheme val="minor"/>
    </font>
    <font>
      <b/>
      <sz val="8"/>
      <name val="Calibri"/>
      <family val="2"/>
    </font>
    <font>
      <b/>
      <sz val="8"/>
      <color indexed="9"/>
      <name val="Calibri"/>
      <family val="2"/>
    </font>
    <font>
      <b/>
      <sz val="8"/>
      <color indexed="8"/>
      <name val="Calibri"/>
      <family val="2"/>
    </font>
    <font>
      <sz val="8"/>
      <color indexed="8"/>
      <name val="Calibri"/>
      <family val="2"/>
    </font>
    <font>
      <sz val="8"/>
      <name val="Calibri"/>
      <family val="2"/>
    </font>
    <font>
      <sz val="11"/>
      <color theme="0"/>
      <name val="Calibri"/>
      <family val="2"/>
      <scheme val="minor"/>
    </font>
    <font>
      <b/>
      <sz val="14"/>
      <name val="Calibri"/>
      <family val="2"/>
      <scheme val="minor"/>
    </font>
    <font>
      <b/>
      <sz val="9"/>
      <name val="Calibri"/>
      <family val="2"/>
      <scheme val="minor"/>
    </font>
    <font>
      <b/>
      <sz val="10"/>
      <color theme="1"/>
      <name val="Calibri"/>
      <family val="2"/>
      <scheme val="minor"/>
    </font>
    <font>
      <sz val="16"/>
      <color theme="1"/>
      <name val="Calibri"/>
      <family val="2"/>
      <scheme val="minor"/>
    </font>
    <font>
      <b/>
      <sz val="16"/>
      <color theme="1"/>
      <name val="Calibri"/>
      <family val="2"/>
      <scheme val="minor"/>
    </font>
    <font>
      <b/>
      <sz val="18"/>
      <color theme="1"/>
      <name val="Calibri"/>
      <family val="2"/>
      <scheme val="minor"/>
    </font>
    <font>
      <sz val="9"/>
      <color theme="1" tint="0.499984740745262"/>
      <name val="Calibri"/>
      <family val="2"/>
      <scheme val="minor"/>
    </font>
    <font>
      <sz val="9"/>
      <name val="Calibri"/>
      <family val="2"/>
      <scheme val="minor"/>
    </font>
    <font>
      <b/>
      <sz val="9"/>
      <color theme="0"/>
      <name val="Calibri"/>
      <family val="2"/>
      <scheme val="minor"/>
    </font>
    <font>
      <sz val="8"/>
      <color theme="1"/>
      <name val="Calibri"/>
      <family val="2"/>
      <scheme val="minor"/>
    </font>
    <font>
      <sz val="14"/>
      <color theme="1"/>
      <name val="Calibri"/>
      <family val="2"/>
      <scheme val="minor"/>
    </font>
    <font>
      <b/>
      <sz val="8"/>
      <name val="Calibri"/>
      <family val="2"/>
      <scheme val="minor"/>
    </font>
    <font>
      <sz val="24"/>
      <name val="Calibri"/>
      <family val="2"/>
      <scheme val="minor"/>
    </font>
    <font>
      <b/>
      <sz val="11"/>
      <color rgb="FFFA7D00"/>
      <name val="Calibri"/>
      <family val="2"/>
      <scheme val="minor"/>
    </font>
    <font>
      <sz val="14"/>
      <name val="Calibri"/>
      <family val="2"/>
      <scheme val="minor"/>
    </font>
    <font>
      <b/>
      <sz val="10"/>
      <color theme="3" tint="0.39997558519241921"/>
      <name val="Calibri"/>
      <family val="2"/>
      <scheme val="minor"/>
    </font>
    <font>
      <sz val="11"/>
      <color theme="4"/>
      <name val="Calibri"/>
      <family val="2"/>
      <scheme val="minor"/>
    </font>
    <font>
      <sz val="20"/>
      <color theme="1"/>
      <name val="Calibri"/>
      <family val="2"/>
      <scheme val="minor"/>
    </font>
    <font>
      <b/>
      <sz val="12"/>
      <color rgb="FF000000"/>
      <name val="Calibri"/>
      <family val="2"/>
      <scheme val="minor"/>
    </font>
    <font>
      <sz val="12"/>
      <name val="Calibri"/>
      <family val="2"/>
      <scheme val="minor"/>
    </font>
    <font>
      <sz val="12"/>
      <color rgb="FFFF0000"/>
      <name val="Calibri"/>
      <family val="2"/>
      <scheme val="minor"/>
    </font>
    <font>
      <sz val="10"/>
      <color theme="1"/>
      <name val="Times New Roman"/>
      <family val="1"/>
    </font>
    <font>
      <sz val="11"/>
      <color rgb="FF000000"/>
      <name val="Calibri"/>
      <family val="2"/>
      <scheme val="minor"/>
    </font>
    <font>
      <b/>
      <sz val="9"/>
      <color indexed="81"/>
      <name val="Tahoma"/>
      <family val="2"/>
    </font>
    <font>
      <sz val="9"/>
      <color indexed="81"/>
      <name val="Tahoma"/>
      <family val="2"/>
    </font>
    <font>
      <sz val="11"/>
      <color theme="1"/>
      <name val="Times New Roman"/>
      <family val="1"/>
    </font>
    <font>
      <sz val="11"/>
      <color indexed="8"/>
      <name val="Calibri"/>
      <family val="2"/>
      <scheme val="minor"/>
    </font>
    <font>
      <sz val="11"/>
      <name val="Calibri"/>
      <family val="2"/>
      <scheme val="minor"/>
    </font>
    <font>
      <b/>
      <sz val="14"/>
      <color theme="1"/>
      <name val="Calibri"/>
      <family val="2"/>
      <scheme val="minor"/>
    </font>
    <font>
      <sz val="10"/>
      <color rgb="FF000000"/>
      <name val="Arial"/>
      <family val="2"/>
    </font>
    <font>
      <sz val="8"/>
      <name val="Calibri"/>
      <family val="2"/>
      <scheme val="minor"/>
    </font>
    <font>
      <sz val="12"/>
      <color theme="1"/>
      <name val="Times New Roman"/>
      <family val="1"/>
    </font>
  </fonts>
  <fills count="33">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indexed="9"/>
        <bgColor indexed="64"/>
      </patternFill>
    </fill>
    <fill>
      <patternFill patternType="solid">
        <fgColor indexed="16"/>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FC800"/>
        <bgColor indexed="64"/>
      </patternFill>
    </fill>
    <fill>
      <patternFill patternType="solid">
        <fgColor theme="1"/>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5" tint="0.39997558519241921"/>
        <bgColor theme="5"/>
      </patternFill>
    </fill>
    <fill>
      <patternFill patternType="solid">
        <fgColor theme="4" tint="0.79998168889431442"/>
        <bgColor theme="4" tint="0.79998168889431442"/>
      </patternFill>
    </fill>
    <fill>
      <patternFill patternType="solid">
        <fgColor rgb="FFF2F2F2"/>
      </patternFill>
    </fill>
    <fill>
      <patternFill patternType="solid">
        <fgColor theme="4" tint="0.59999389629810485"/>
        <bgColor indexed="64"/>
      </patternFill>
    </fill>
    <fill>
      <patternFill patternType="solid">
        <fgColor theme="0" tint="-0.14999847407452621"/>
        <bgColor theme="0" tint="-0.14999847407452621"/>
      </patternFill>
    </fill>
    <fill>
      <patternFill patternType="solid">
        <fgColor theme="4" tint="0.79998168889431442"/>
        <bgColor theme="0" tint="-0.14999847407452621"/>
      </patternFill>
    </fill>
    <fill>
      <patternFill patternType="solid">
        <fgColor theme="6" tint="0.79998168889431442"/>
        <bgColor indexed="64"/>
      </patternFill>
    </fill>
    <fill>
      <patternFill patternType="solid">
        <fgColor rgb="FFFF0000"/>
        <bgColor indexed="64"/>
      </patternFill>
    </fill>
    <fill>
      <patternFill patternType="solid">
        <fgColor rgb="FF00B050"/>
        <bgColor indexed="64"/>
      </patternFill>
    </fill>
    <fill>
      <patternFill patternType="solid">
        <fgColor rgb="FFFFFF00"/>
        <bgColor rgb="FFFFFF00"/>
      </patternFill>
    </fill>
    <fill>
      <patternFill patternType="solid">
        <fgColor rgb="FF588824"/>
        <bgColor indexed="64"/>
      </patternFill>
    </fill>
    <fill>
      <patternFill patternType="solid">
        <fgColor theme="9" tint="0.39997558519241921"/>
        <bgColor indexed="64"/>
      </patternFill>
    </fill>
  </fills>
  <borders count="8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thin">
        <color theme="4" tint="0.39997558519241921"/>
      </top>
      <bottom style="thin">
        <color theme="4" tint="0.39997558519241921"/>
      </bottom>
      <diagonal/>
    </border>
    <border>
      <left/>
      <right/>
      <top/>
      <bottom style="thin">
        <color theme="0"/>
      </bottom>
      <diagonal/>
    </border>
    <border>
      <left style="thin">
        <color rgb="FF7F7F7F"/>
      </left>
      <right style="thin">
        <color rgb="FF7F7F7F"/>
      </right>
      <top style="thin">
        <color rgb="FF7F7F7F"/>
      </top>
      <bottom style="thin">
        <color rgb="FF7F7F7F"/>
      </bottom>
      <diagonal/>
    </border>
    <border>
      <left style="thin">
        <color theme="0"/>
      </left>
      <right style="thin">
        <color theme="0"/>
      </right>
      <top style="thin">
        <color theme="0"/>
      </top>
      <bottom style="thin">
        <color theme="0"/>
      </bottom>
      <diagonal/>
    </border>
    <border>
      <left style="hair">
        <color indexed="64"/>
      </left>
      <right/>
      <top/>
      <bottom/>
      <diagonal/>
    </border>
    <border>
      <left/>
      <right style="hair">
        <color indexed="64"/>
      </right>
      <top/>
      <bottom/>
      <diagonal/>
    </border>
    <border>
      <left style="thin">
        <color theme="0"/>
      </left>
      <right/>
      <top style="medium">
        <color indexed="64"/>
      </top>
      <bottom/>
      <diagonal/>
    </border>
    <border>
      <left style="thin">
        <color theme="0"/>
      </left>
      <right style="thin">
        <color theme="0"/>
      </right>
      <top style="medium">
        <color indexed="64"/>
      </top>
      <bottom/>
      <diagonal/>
    </border>
    <border>
      <left/>
      <right style="thin">
        <color theme="0"/>
      </right>
      <top style="medium">
        <color indexed="64"/>
      </top>
      <bottom/>
      <diagonal/>
    </border>
    <border>
      <left style="thin">
        <color theme="0"/>
      </left>
      <right style="thin">
        <color theme="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theme="3" tint="0.39988402966399123"/>
      </left>
      <right style="thin">
        <color theme="3" tint="0.39988402966399123"/>
      </right>
      <top style="thin">
        <color theme="3" tint="0.39988402966399123"/>
      </top>
      <bottom style="thin">
        <color theme="3" tint="0.39988402966399123"/>
      </bottom>
      <diagonal/>
    </border>
    <border>
      <left style="thin">
        <color theme="3" tint="0.39988402966399123"/>
      </left>
      <right/>
      <top style="thin">
        <color theme="3" tint="0.39988402966399123"/>
      </top>
      <bottom style="thin">
        <color theme="3" tint="0.39988402966399123"/>
      </bottom>
      <diagonal/>
    </border>
    <border>
      <left/>
      <right/>
      <top style="thin">
        <color theme="3" tint="0.39988402966399123"/>
      </top>
      <bottom style="thin">
        <color theme="3" tint="0.39988402966399123"/>
      </bottom>
      <diagonal/>
    </border>
    <border>
      <left/>
      <right style="thin">
        <color theme="3" tint="0.39988402966399123"/>
      </right>
      <top style="thin">
        <color theme="3" tint="0.39988402966399123"/>
      </top>
      <bottom style="thin">
        <color theme="3" tint="0.39988402966399123"/>
      </bottom>
      <diagonal/>
    </border>
    <border>
      <left style="thin">
        <color theme="3" tint="0.39988402966399123"/>
      </left>
      <right style="thin">
        <color theme="3" tint="0.39988402966399123"/>
      </right>
      <top style="thin">
        <color theme="3" tint="0.39985351115451523"/>
      </top>
      <bottom style="thin">
        <color theme="3" tint="0.39988402966399123"/>
      </bottom>
      <diagonal/>
    </border>
    <border>
      <left style="thin">
        <color indexed="64"/>
      </left>
      <right/>
      <top style="medium">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thin">
        <color theme="0"/>
      </right>
      <top/>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theme="0"/>
      </left>
      <right/>
      <top style="medium">
        <color indexed="64"/>
      </top>
      <bottom style="thin">
        <color indexed="64"/>
      </bottom>
      <diagonal/>
    </border>
    <border>
      <left/>
      <right/>
      <top style="medium">
        <color indexed="64"/>
      </top>
      <bottom style="thin">
        <color indexed="64"/>
      </bottom>
      <diagonal/>
    </border>
    <border>
      <left/>
      <right style="thin">
        <color theme="0"/>
      </right>
      <top style="medium">
        <color indexed="64"/>
      </top>
      <bottom style="thin">
        <color indexed="64"/>
      </bottom>
      <diagonal/>
    </border>
    <border>
      <left style="thin">
        <color indexed="64"/>
      </left>
      <right style="medium">
        <color indexed="64"/>
      </right>
      <top style="thin">
        <color indexed="64"/>
      </top>
      <bottom/>
      <diagonal/>
    </border>
  </borders>
  <cellStyleXfs count="20">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6"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17" fillId="0" borderId="0" applyFont="0" applyFill="0" applyBorder="0" applyAlignment="0" applyProtection="0"/>
    <xf numFmtId="0" fontId="20" fillId="0" borderId="0"/>
    <xf numFmtId="0" fontId="1" fillId="0" borderId="0"/>
    <xf numFmtId="167" fontId="2" fillId="0" borderId="0"/>
    <xf numFmtId="0" fontId="1" fillId="0" borderId="0"/>
    <xf numFmtId="164"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58" fillId="23" borderId="46" applyNumberFormat="0" applyAlignment="0" applyProtection="0"/>
    <xf numFmtId="0" fontId="1" fillId="0" borderId="0"/>
  </cellStyleXfs>
  <cellXfs count="924">
    <xf numFmtId="0" fontId="0" fillId="0" borderId="0" xfId="0"/>
    <xf numFmtId="0" fontId="0" fillId="0" borderId="0" xfId="0" applyBorder="1"/>
    <xf numFmtId="0" fontId="5" fillId="0" borderId="0" xfId="0" applyFont="1"/>
    <xf numFmtId="0" fontId="0" fillId="0" borderId="0" xfId="0" applyFill="1"/>
    <xf numFmtId="0" fontId="0" fillId="5" borderId="0" xfId="0" applyFill="1"/>
    <xf numFmtId="0" fontId="0" fillId="0" borderId="0" xfId="0" applyFill="1" applyBorder="1"/>
    <xf numFmtId="0" fontId="0" fillId="0" borderId="0" xfId="0" applyAlignment="1">
      <alignment horizontal="left"/>
    </xf>
    <xf numFmtId="0" fontId="0" fillId="0" borderId="1" xfId="0" applyBorder="1"/>
    <xf numFmtId="0" fontId="0" fillId="0" borderId="0" xfId="0"/>
    <xf numFmtId="0" fontId="0" fillId="8" borderId="0" xfId="0" applyFill="1"/>
    <xf numFmtId="0" fontId="0" fillId="5" borderId="0" xfId="0" applyFill="1" applyBorder="1"/>
    <xf numFmtId="0" fontId="0" fillId="0" borderId="0" xfId="0"/>
    <xf numFmtId="0" fontId="0" fillId="0" borderId="0" xfId="0" applyNumberFormat="1" applyBorder="1"/>
    <xf numFmtId="0" fontId="9" fillId="0" borderId="0" xfId="0" applyFont="1"/>
    <xf numFmtId="0" fontId="0" fillId="0" borderId="13" xfId="0" applyBorder="1"/>
    <xf numFmtId="0" fontId="5" fillId="0" borderId="0" xfId="0" applyFont="1" applyBorder="1"/>
    <xf numFmtId="0" fontId="5" fillId="0" borderId="0" xfId="0" applyFont="1" applyFill="1" applyBorder="1"/>
    <xf numFmtId="17" fontId="0" fillId="5" borderId="0" xfId="0" applyNumberFormat="1" applyFill="1"/>
    <xf numFmtId="9" fontId="0" fillId="0" borderId="0" xfId="0" applyNumberFormat="1" applyFill="1" applyBorder="1"/>
    <xf numFmtId="9" fontId="0" fillId="0" borderId="0" xfId="8" applyFont="1" applyFill="1" applyBorder="1"/>
    <xf numFmtId="0" fontId="0" fillId="0" borderId="0" xfId="0" applyFont="1" applyFill="1" applyBorder="1"/>
    <xf numFmtId="9" fontId="19" fillId="0" borderId="0" xfId="8" applyNumberFormat="1" applyFont="1" applyFill="1"/>
    <xf numFmtId="0" fontId="4" fillId="0" borderId="0" xfId="0" applyFont="1" applyFill="1" applyBorder="1"/>
    <xf numFmtId="2" fontId="4" fillId="0" borderId="0" xfId="0" applyNumberFormat="1" applyFont="1" applyFill="1" applyBorder="1"/>
    <xf numFmtId="165" fontId="4" fillId="0" borderId="0" xfId="0" applyNumberFormat="1" applyFont="1" applyFill="1" applyBorder="1"/>
    <xf numFmtId="0" fontId="4" fillId="0" borderId="0" xfId="0" applyNumberFormat="1" applyFont="1" applyFill="1" applyBorder="1"/>
    <xf numFmtId="9" fontId="4" fillId="0" borderId="0" xfId="0" applyNumberFormat="1" applyFont="1" applyFill="1" applyBorder="1"/>
    <xf numFmtId="9" fontId="0" fillId="0" borderId="0" xfId="0" applyNumberFormat="1" applyFont="1" applyFill="1" applyBorder="1"/>
    <xf numFmtId="0" fontId="3" fillId="0" borderId="0" xfId="0" applyNumberFormat="1" applyFont="1" applyFill="1" applyBorder="1"/>
    <xf numFmtId="1" fontId="3" fillId="0" borderId="0" xfId="0" applyNumberFormat="1" applyFont="1" applyFill="1" applyBorder="1"/>
    <xf numFmtId="0" fontId="0" fillId="0" borderId="0" xfId="0"/>
    <xf numFmtId="9" fontId="28" fillId="11" borderId="1" xfId="8" applyFont="1" applyFill="1" applyBorder="1"/>
    <xf numFmtId="165" fontId="28" fillId="0" borderId="1" xfId="9" applyNumberFormat="1" applyFont="1" applyBorder="1"/>
    <xf numFmtId="165" fontId="28" fillId="0" borderId="1" xfId="0" applyNumberFormat="1" applyFont="1" applyBorder="1"/>
    <xf numFmtId="9" fontId="28" fillId="10" borderId="1" xfId="8" applyFont="1" applyFill="1" applyBorder="1"/>
    <xf numFmtId="0" fontId="0" fillId="0" borderId="0" xfId="0" applyFill="1" applyBorder="1" applyAlignment="1">
      <alignment horizontal="left" vertical="center"/>
    </xf>
    <xf numFmtId="9" fontId="0" fillId="0" borderId="0" xfId="0" applyNumberFormat="1"/>
    <xf numFmtId="0" fontId="0" fillId="0" borderId="0" xfId="0"/>
    <xf numFmtId="0" fontId="0" fillId="0" borderId="0" xfId="0"/>
    <xf numFmtId="0" fontId="0" fillId="0" borderId="0" xfId="0" applyFill="1" applyBorder="1" applyAlignment="1">
      <alignment vertical="center"/>
    </xf>
    <xf numFmtId="0" fontId="0" fillId="0" borderId="0" xfId="0" applyAlignment="1">
      <alignment wrapText="1"/>
    </xf>
    <xf numFmtId="0" fontId="31" fillId="0" borderId="0" xfId="6" applyFont="1" applyFill="1" applyBorder="1" applyAlignment="1">
      <alignment vertical="center"/>
    </xf>
    <xf numFmtId="0" fontId="33" fillId="0" borderId="0" xfId="6" applyFont="1" applyFill="1" applyBorder="1" applyAlignment="1">
      <alignment horizontal="center" vertical="center"/>
    </xf>
    <xf numFmtId="9" fontId="28" fillId="11" borderId="1" xfId="8" applyFont="1" applyFill="1" applyBorder="1" applyAlignment="1">
      <alignment horizontal="center" vertical="top"/>
    </xf>
    <xf numFmtId="0" fontId="27" fillId="10" borderId="1" xfId="0" applyFont="1" applyFill="1" applyBorder="1" applyAlignment="1">
      <alignment horizontal="center" vertical="top" wrapText="1"/>
    </xf>
    <xf numFmtId="0" fontId="0" fillId="0" borderId="0" xfId="0" applyAlignment="1">
      <alignment horizontal="center" vertical="center"/>
    </xf>
    <xf numFmtId="0" fontId="34" fillId="15" borderId="26" xfId="0" applyFont="1" applyFill="1" applyBorder="1"/>
    <xf numFmtId="0" fontId="35" fillId="15" borderId="27" xfId="0" applyFont="1" applyFill="1" applyBorder="1"/>
    <xf numFmtId="0" fontId="34" fillId="15" borderId="24" xfId="0" applyFont="1" applyFill="1" applyBorder="1"/>
    <xf numFmtId="0" fontId="35" fillId="15" borderId="28" xfId="0" applyFont="1" applyFill="1" applyBorder="1"/>
    <xf numFmtId="0" fontId="35" fillId="0" borderId="0" xfId="0" applyFont="1" applyFill="1"/>
    <xf numFmtId="0" fontId="34" fillId="0" borderId="34" xfId="0" applyFont="1" applyFill="1" applyBorder="1"/>
    <xf numFmtId="0" fontId="34" fillId="0" borderId="9" xfId="0" applyFont="1" applyFill="1" applyBorder="1"/>
    <xf numFmtId="0" fontId="34" fillId="0" borderId="35" xfId="0" applyFont="1" applyFill="1" applyBorder="1"/>
    <xf numFmtId="0" fontId="34" fillId="0" borderId="4" xfId="0" applyFont="1" applyFill="1" applyBorder="1"/>
    <xf numFmtId="0" fontId="34" fillId="0" borderId="30" xfId="0" applyFont="1" applyFill="1" applyBorder="1"/>
    <xf numFmtId="0" fontId="34" fillId="0" borderId="36" xfId="0" applyFont="1" applyFill="1" applyBorder="1"/>
    <xf numFmtId="0" fontId="34" fillId="0" borderId="21" xfId="0" applyFont="1" applyFill="1" applyBorder="1"/>
    <xf numFmtId="0" fontId="34" fillId="0" borderId="20" xfId="0" applyFont="1" applyFill="1" applyBorder="1"/>
    <xf numFmtId="0" fontId="34" fillId="0" borderId="23" xfId="0" applyFont="1" applyFill="1" applyBorder="1"/>
    <xf numFmtId="0" fontId="35" fillId="13" borderId="0" xfId="0" applyFont="1" applyFill="1" applyBorder="1"/>
    <xf numFmtId="0" fontId="35" fillId="0" borderId="0" xfId="0" applyFont="1" applyFill="1" applyBorder="1"/>
    <xf numFmtId="0" fontId="35" fillId="0" borderId="0" xfId="0" applyNumberFormat="1" applyFont="1" applyFill="1" applyBorder="1"/>
    <xf numFmtId="9" fontId="35" fillId="0" borderId="0" xfId="8" applyFont="1" applyFill="1" applyBorder="1"/>
    <xf numFmtId="0" fontId="34" fillId="0" borderId="3" xfId="0" applyNumberFormat="1" applyFont="1" applyFill="1" applyBorder="1"/>
    <xf numFmtId="1" fontId="34" fillId="0" borderId="2" xfId="0" applyNumberFormat="1" applyFont="1" applyFill="1" applyBorder="1"/>
    <xf numFmtId="165" fontId="36" fillId="0" borderId="0" xfId="7" applyNumberFormat="1" applyFont="1" applyFill="1" applyBorder="1"/>
    <xf numFmtId="0" fontId="35" fillId="14" borderId="0" xfId="0" applyFont="1" applyFill="1" applyBorder="1"/>
    <xf numFmtId="2" fontId="35" fillId="14" borderId="0" xfId="0" applyNumberFormat="1" applyFont="1" applyFill="1" applyBorder="1"/>
    <xf numFmtId="2" fontId="35" fillId="0" borderId="0" xfId="0" applyNumberFormat="1" applyFont="1" applyFill="1" applyBorder="1"/>
    <xf numFmtId="0" fontId="0" fillId="0" borderId="0" xfId="0" applyFill="1" applyAlignment="1">
      <alignment horizontal="left" vertical="center"/>
    </xf>
    <xf numFmtId="0" fontId="0" fillId="2" borderId="0" xfId="0" applyFill="1" applyBorder="1" applyAlignment="1">
      <alignment vertical="center"/>
    </xf>
    <xf numFmtId="165" fontId="21" fillId="8" borderId="0" xfId="7" applyNumberFormat="1" applyFont="1" applyFill="1"/>
    <xf numFmtId="14" fontId="0" fillId="0" borderId="0" xfId="0" applyNumberFormat="1"/>
    <xf numFmtId="170"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0" fontId="0" fillId="0" borderId="0" xfId="0" applyNumberFormat="1"/>
    <xf numFmtId="0" fontId="15" fillId="19" borderId="7" xfId="5" applyFont="1" applyFill="1" applyBorder="1" applyAlignment="1">
      <alignment horizontal="left" vertical="top"/>
    </xf>
    <xf numFmtId="0" fontId="9" fillId="19" borderId="0" xfId="0" applyFont="1" applyFill="1" applyAlignment="1">
      <alignment horizontal="left" vertical="top"/>
    </xf>
    <xf numFmtId="0" fontId="15" fillId="19" borderId="9" xfId="5" applyFont="1" applyFill="1" applyBorder="1" applyAlignment="1">
      <alignment horizontal="left" vertical="top"/>
    </xf>
    <xf numFmtId="170" fontId="15" fillId="19" borderId="9" xfId="5" applyNumberFormat="1" applyFont="1" applyFill="1" applyBorder="1" applyAlignment="1">
      <alignment horizontal="left" vertical="top"/>
    </xf>
    <xf numFmtId="17" fontId="3" fillId="5" borderId="0" xfId="0" applyNumberFormat="1" applyFont="1" applyFill="1" applyAlignment="1">
      <alignment horizontal="left"/>
    </xf>
    <xf numFmtId="0" fontId="7" fillId="5" borderId="0" xfId="6" applyFont="1" applyFill="1" applyBorder="1" applyAlignment="1">
      <alignment horizontal="center" vertical="center"/>
    </xf>
    <xf numFmtId="0" fontId="29" fillId="5" borderId="0" xfId="0" applyFont="1" applyFill="1" applyAlignment="1">
      <alignment vertical="center" readingOrder="1"/>
    </xf>
    <xf numFmtId="0" fontId="24" fillId="18" borderId="0" xfId="6" applyFont="1" applyFill="1" applyBorder="1" applyAlignment="1">
      <alignment vertical="center"/>
    </xf>
    <xf numFmtId="0" fontId="0" fillId="18" borderId="10" xfId="0" applyFill="1" applyBorder="1"/>
    <xf numFmtId="0" fontId="0" fillId="18" borderId="12" xfId="0" applyFill="1" applyBorder="1"/>
    <xf numFmtId="0" fontId="0" fillId="18" borderId="13" xfId="0" applyFill="1" applyBorder="1"/>
    <xf numFmtId="0" fontId="0" fillId="18" borderId="14" xfId="0" applyFill="1" applyBorder="1"/>
    <xf numFmtId="0" fontId="0" fillId="0" borderId="39" xfId="0" applyBorder="1"/>
    <xf numFmtId="0" fontId="0" fillId="0" borderId="40" xfId="0" applyBorder="1"/>
    <xf numFmtId="0" fontId="0" fillId="5" borderId="40" xfId="0" applyFill="1" applyBorder="1"/>
    <xf numFmtId="0" fontId="0" fillId="5" borderId="14" xfId="0" applyFill="1" applyBorder="1"/>
    <xf numFmtId="0" fontId="0" fillId="5" borderId="41" xfId="0" applyFill="1" applyBorder="1"/>
    <xf numFmtId="0" fontId="0" fillId="5" borderId="13" xfId="0" applyFill="1" applyBorder="1"/>
    <xf numFmtId="0" fontId="0" fillId="5" borderId="39" xfId="0" applyFill="1" applyBorder="1"/>
    <xf numFmtId="166" fontId="26" fillId="18" borderId="0" xfId="6" applyNumberFormat="1" applyFont="1" applyFill="1" applyBorder="1" applyAlignment="1">
      <alignment vertical="center"/>
    </xf>
    <xf numFmtId="0" fontId="8" fillId="6" borderId="16" xfId="6" applyFont="1" applyFill="1" applyBorder="1" applyAlignment="1">
      <alignment vertical="center"/>
    </xf>
    <xf numFmtId="0" fontId="8" fillId="6" borderId="37" xfId="6" applyFont="1" applyFill="1" applyBorder="1" applyAlignment="1">
      <alignment vertical="center"/>
    </xf>
    <xf numFmtId="166" fontId="26" fillId="6" borderId="38" xfId="6" applyNumberFormat="1" applyFont="1" applyFill="1" applyBorder="1" applyAlignment="1">
      <alignment vertical="center"/>
    </xf>
    <xf numFmtId="0" fontId="0" fillId="0" borderId="22" xfId="0" applyBorder="1"/>
    <xf numFmtId="0" fontId="0" fillId="0" borderId="3" xfId="0" applyBorder="1"/>
    <xf numFmtId="0" fontId="7" fillId="20" borderId="0" xfId="6" applyFont="1" applyFill="1" applyBorder="1" applyAlignment="1">
      <alignment horizontal="center" vertical="center"/>
    </xf>
    <xf numFmtId="0" fontId="0" fillId="0" borderId="1" xfId="0" applyBorder="1" applyAlignment="1">
      <alignment horizontal="left"/>
    </xf>
    <xf numFmtId="0" fontId="0" fillId="0" borderId="1" xfId="0" pivotButton="1" applyBorder="1"/>
    <xf numFmtId="0" fontId="0" fillId="0" borderId="1" xfId="0" applyNumberFormat="1" applyBorder="1"/>
    <xf numFmtId="0" fontId="7" fillId="18" borderId="38" xfId="6" applyFont="1" applyFill="1" applyBorder="1" applyAlignment="1">
      <alignment horizontal="center" vertical="center"/>
    </xf>
    <xf numFmtId="0" fontId="0" fillId="0" borderId="5" xfId="0" applyBorder="1"/>
    <xf numFmtId="0" fontId="0" fillId="0" borderId="9" xfId="0" applyBorder="1"/>
    <xf numFmtId="0" fontId="0" fillId="0" borderId="7" xfId="0" applyBorder="1"/>
    <xf numFmtId="9" fontId="0" fillId="0" borderId="22" xfId="0" applyNumberFormat="1" applyBorder="1"/>
    <xf numFmtId="9" fontId="0" fillId="0" borderId="34" xfId="0" applyNumberFormat="1" applyBorder="1"/>
    <xf numFmtId="0" fontId="0" fillId="0" borderId="5" xfId="0" pivotButton="1" applyBorder="1"/>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6" xfId="0" applyNumberFormat="1" applyBorder="1"/>
    <xf numFmtId="0" fontId="0" fillId="0" borderId="15" xfId="0" applyBorder="1" applyAlignment="1">
      <alignment wrapText="1"/>
    </xf>
    <xf numFmtId="0" fontId="0" fillId="0" borderId="7" xfId="0" applyBorder="1" applyAlignment="1">
      <alignment wrapText="1"/>
    </xf>
    <xf numFmtId="0" fontId="0" fillId="0" borderId="7" xfId="0" applyBorder="1" applyAlignment="1">
      <alignment horizontal="center" vertical="center" wrapText="1"/>
    </xf>
    <xf numFmtId="0" fontId="0" fillId="0" borderId="20" xfId="0" applyBorder="1" applyAlignment="1">
      <alignment wrapText="1"/>
    </xf>
    <xf numFmtId="0" fontId="9" fillId="5" borderId="13" xfId="0" applyFont="1" applyFill="1" applyBorder="1"/>
    <xf numFmtId="0" fontId="8" fillId="5" borderId="0" xfId="0" applyFont="1" applyFill="1" applyBorder="1"/>
    <xf numFmtId="0" fontId="9" fillId="5" borderId="0" xfId="0" applyFont="1" applyFill="1" applyBorder="1"/>
    <xf numFmtId="0" fontId="37" fillId="5" borderId="0" xfId="0" applyFont="1" applyFill="1" applyBorder="1" applyAlignment="1"/>
    <xf numFmtId="0" fontId="9" fillId="5" borderId="14" xfId="0" applyFont="1" applyFill="1" applyBorder="1"/>
    <xf numFmtId="0" fontId="16" fillId="5" borderId="0" xfId="0" applyFont="1" applyFill="1" applyBorder="1" applyAlignment="1"/>
    <xf numFmtId="0" fontId="27" fillId="9" borderId="1" xfId="0" applyFont="1" applyFill="1" applyBorder="1" applyAlignment="1">
      <alignment horizontal="center" vertical="top" wrapText="1"/>
    </xf>
    <xf numFmtId="9" fontId="27" fillId="9" borderId="1" xfId="8" applyFont="1" applyFill="1" applyBorder="1" applyAlignment="1">
      <alignment horizontal="right" vertical="center" wrapText="1"/>
    </xf>
    <xf numFmtId="0" fontId="0" fillId="0" borderId="0" xfId="0"/>
    <xf numFmtId="0" fontId="0" fillId="0" borderId="0" xfId="0" applyBorder="1"/>
    <xf numFmtId="0" fontId="0" fillId="0" borderId="0" xfId="0" applyNumberFormat="1"/>
    <xf numFmtId="0" fontId="0" fillId="5" borderId="0" xfId="0" applyFill="1" applyAlignment="1">
      <alignment horizontal="left"/>
    </xf>
    <xf numFmtId="0" fontId="0" fillId="5" borderId="0" xfId="0" applyNumberFormat="1" applyFill="1"/>
    <xf numFmtId="0" fontId="0" fillId="0" borderId="0" xfId="0" applyFill="1" applyBorder="1"/>
    <xf numFmtId="0" fontId="0" fillId="0" borderId="0" xfId="0" pivotButton="1"/>
    <xf numFmtId="0" fontId="0" fillId="18" borderId="0" xfId="0" applyFill="1" applyBorder="1"/>
    <xf numFmtId="0" fontId="0" fillId="18" borderId="37" xfId="0" applyFill="1" applyBorder="1"/>
    <xf numFmtId="0" fontId="0" fillId="18" borderId="22" xfId="0" applyFill="1" applyBorder="1"/>
    <xf numFmtId="0" fontId="0" fillId="18" borderId="34" xfId="0" applyFill="1" applyBorder="1"/>
    <xf numFmtId="0" fontId="0" fillId="0" borderId="34" xfId="0" applyBorder="1"/>
    <xf numFmtId="0" fontId="0" fillId="0" borderId="37" xfId="0" applyBorder="1"/>
    <xf numFmtId="0" fontId="0" fillId="0" borderId="22" xfId="0" applyBorder="1"/>
    <xf numFmtId="0" fontId="0" fillId="0" borderId="2" xfId="0" pivotButton="1" applyBorder="1"/>
    <xf numFmtId="0" fontId="0" fillId="0" borderId="3" xfId="0" applyBorder="1"/>
    <xf numFmtId="0" fontId="0" fillId="18" borderId="16" xfId="0" applyFill="1" applyBorder="1"/>
    <xf numFmtId="0" fontId="0" fillId="18" borderId="4" xfId="0" applyFill="1" applyBorder="1"/>
    <xf numFmtId="0" fontId="0" fillId="18" borderId="4" xfId="0" applyFill="1" applyBorder="1" applyAlignment="1">
      <alignment horizontal="left"/>
    </xf>
    <xf numFmtId="3" fontId="0" fillId="18" borderId="38" xfId="0" applyNumberFormat="1" applyFill="1" applyBorder="1"/>
    <xf numFmtId="3" fontId="0" fillId="18" borderId="15" xfId="0" applyNumberFormat="1" applyFill="1" applyBorder="1"/>
    <xf numFmtId="0" fontId="0" fillId="18" borderId="3" xfId="0" applyFill="1" applyBorder="1"/>
    <xf numFmtId="165" fontId="0" fillId="20" borderId="0" xfId="0" applyNumberFormat="1" applyFill="1" applyBorder="1"/>
    <xf numFmtId="0" fontId="0" fillId="18" borderId="2" xfId="0" applyFill="1" applyBorder="1"/>
    <xf numFmtId="0" fontId="0" fillId="0" borderId="16" xfId="0" pivotButton="1" applyBorder="1"/>
    <xf numFmtId="0" fontId="0" fillId="0" borderId="37" xfId="0" pivotButton="1" applyBorder="1"/>
    <xf numFmtId="0" fontId="0" fillId="0" borderId="4" xfId="0" applyBorder="1" applyAlignment="1">
      <alignment horizontal="left"/>
    </xf>
    <xf numFmtId="165" fontId="0" fillId="0" borderId="38" xfId="0" applyNumberFormat="1" applyBorder="1"/>
    <xf numFmtId="165" fontId="0" fillId="0" borderId="15" xfId="0" applyNumberFormat="1" applyBorder="1"/>
    <xf numFmtId="165" fontId="0" fillId="0" borderId="1" xfId="0" applyNumberFormat="1" applyBorder="1"/>
    <xf numFmtId="0" fontId="0" fillId="0" borderId="5" xfId="0" applyBorder="1"/>
    <xf numFmtId="0" fontId="0" fillId="18" borderId="1" xfId="0" applyFill="1" applyBorder="1"/>
    <xf numFmtId="9" fontId="0" fillId="0" borderId="5" xfId="0" applyNumberFormat="1" applyBorder="1"/>
    <xf numFmtId="9" fontId="0" fillId="0" borderId="9" xfId="0" applyNumberFormat="1" applyBorder="1"/>
    <xf numFmtId="9" fontId="0" fillId="0" borderId="7" xfId="0" applyNumberFormat="1" applyBorder="1"/>
    <xf numFmtId="0" fontId="0" fillId="6" borderId="0" xfId="0" applyNumberFormat="1" applyFill="1"/>
    <xf numFmtId="0" fontId="0" fillId="6" borderId="0" xfId="0" applyFill="1" applyAlignment="1">
      <alignment horizontal="left"/>
    </xf>
    <xf numFmtId="165" fontId="0" fillId="18" borderId="15" xfId="0" applyNumberFormat="1" applyFill="1" applyBorder="1"/>
    <xf numFmtId="165" fontId="0" fillId="18" borderId="20" xfId="0" applyNumberFormat="1" applyFill="1" applyBorder="1" applyAlignment="1">
      <alignment horizontal="left"/>
    </xf>
    <xf numFmtId="0" fontId="9" fillId="0" borderId="0" xfId="0" applyFont="1" applyBorder="1"/>
    <xf numFmtId="0" fontId="9" fillId="0" borderId="0" xfId="0" applyFont="1" applyFill="1" applyBorder="1"/>
    <xf numFmtId="0" fontId="9" fillId="0" borderId="0" xfId="0" applyFont="1" applyFill="1"/>
    <xf numFmtId="0" fontId="0" fillId="18" borderId="37" xfId="0" applyFill="1" applyBorder="1" applyAlignment="1">
      <alignment vertical="center"/>
    </xf>
    <xf numFmtId="0" fontId="0" fillId="18" borderId="22" xfId="0" applyFill="1" applyBorder="1" applyAlignment="1">
      <alignment vertical="center"/>
    </xf>
    <xf numFmtId="0" fontId="0" fillId="0" borderId="0" xfId="0" applyBorder="1" applyAlignment="1">
      <alignment vertical="center"/>
    </xf>
    <xf numFmtId="0" fontId="0" fillId="18" borderId="15" xfId="0" applyFill="1" applyBorder="1" applyAlignment="1">
      <alignment vertical="center"/>
    </xf>
    <xf numFmtId="0" fontId="5" fillId="0" borderId="0" xfId="0" applyFont="1" applyFill="1" applyBorder="1" applyAlignment="1">
      <alignment vertical="center"/>
    </xf>
    <xf numFmtId="0" fontId="0" fillId="0" borderId="0" xfId="0" applyFill="1" applyAlignment="1">
      <alignment vertical="center"/>
    </xf>
    <xf numFmtId="0" fontId="0" fillId="0" borderId="0" xfId="0" applyAlignment="1">
      <alignment vertical="center"/>
    </xf>
    <xf numFmtId="0" fontId="9" fillId="0" borderId="0" xfId="0" applyFont="1" applyFill="1" applyAlignment="1">
      <alignment vertical="center"/>
    </xf>
    <xf numFmtId="0" fontId="9" fillId="0" borderId="0" xfId="0" applyFont="1" applyFill="1" applyBorder="1" applyAlignment="1">
      <alignment vertical="center"/>
    </xf>
    <xf numFmtId="0" fontId="0" fillId="0" borderId="2" xfId="0" applyFill="1" applyBorder="1"/>
    <xf numFmtId="0" fontId="9" fillId="0" borderId="0" xfId="0" applyFont="1" applyFill="1" applyAlignment="1"/>
    <xf numFmtId="0" fontId="0" fillId="0" borderId="3" xfId="0" applyFill="1" applyBorder="1"/>
    <xf numFmtId="0" fontId="0" fillId="0" borderId="20" xfId="0" applyFill="1" applyBorder="1" applyAlignment="1">
      <alignment horizontal="left"/>
    </xf>
    <xf numFmtId="9" fontId="35" fillId="4" borderId="0" xfId="8" applyFont="1" applyFill="1" applyBorder="1"/>
    <xf numFmtId="0" fontId="44" fillId="0" borderId="0" xfId="5" applyFont="1" applyFill="1" applyBorder="1" applyAlignment="1">
      <alignment horizontal="center" vertical="center"/>
    </xf>
    <xf numFmtId="0" fontId="0" fillId="5" borderId="0" xfId="0" applyFill="1" applyBorder="1" applyAlignment="1">
      <alignment vertical="center"/>
    </xf>
    <xf numFmtId="49" fontId="9" fillId="22" borderId="1" xfId="0" applyNumberFormat="1" applyFont="1" applyFill="1" applyBorder="1" applyAlignment="1">
      <alignment horizontal="left" vertical="center"/>
    </xf>
    <xf numFmtId="49" fontId="9" fillId="0" borderId="1" xfId="0" applyNumberFormat="1" applyFont="1" applyBorder="1" applyAlignment="1">
      <alignment horizontal="left" vertical="center"/>
    </xf>
    <xf numFmtId="0" fontId="9" fillId="22" borderId="1" xfId="0" applyFont="1" applyFill="1" applyBorder="1" applyAlignment="1">
      <alignment horizontal="left" vertical="center"/>
    </xf>
    <xf numFmtId="0" fontId="9" fillId="0" borderId="1" xfId="0" applyFont="1" applyBorder="1" applyAlignment="1">
      <alignment horizontal="left" vertical="center"/>
    </xf>
    <xf numFmtId="1" fontId="44" fillId="0" borderId="0" xfId="5" applyNumberFormat="1" applyFont="1" applyFill="1" applyBorder="1" applyAlignment="1">
      <alignment horizontal="center" vertical="center"/>
    </xf>
    <xf numFmtId="170" fontId="0" fillId="0" borderId="0" xfId="0" applyNumberFormat="1" applyFill="1" applyBorder="1" applyAlignment="1">
      <alignment horizontal="left" vertical="center"/>
    </xf>
    <xf numFmtId="49" fontId="9" fillId="0" borderId="0" xfId="0" applyNumberFormat="1" applyFont="1" applyFill="1" applyBorder="1" applyAlignment="1">
      <alignment horizontal="left" vertical="center"/>
    </xf>
    <xf numFmtId="0" fontId="9" fillId="0" borderId="0" xfId="0" applyFont="1" applyFill="1" applyBorder="1" applyAlignment="1">
      <alignment horizontal="left" vertical="center"/>
    </xf>
    <xf numFmtId="49" fontId="9" fillId="0" borderId="0" xfId="0" applyNumberFormat="1" applyFont="1" applyFill="1" applyBorder="1" applyAlignment="1">
      <alignment vertical="center"/>
    </xf>
    <xf numFmtId="2" fontId="44" fillId="0" borderId="0" xfId="5" applyNumberFormat="1" applyFont="1" applyFill="1" applyBorder="1" applyAlignment="1">
      <alignment horizontal="center" vertical="center"/>
    </xf>
    <xf numFmtId="15" fontId="44" fillId="0" borderId="0" xfId="5" applyNumberFormat="1" applyFont="1" applyFill="1" applyBorder="1" applyAlignment="1">
      <alignment horizontal="center" vertical="center"/>
    </xf>
    <xf numFmtId="0" fontId="44" fillId="0" borderId="0" xfId="5" applyFont="1" applyFill="1" applyBorder="1" applyAlignment="1">
      <alignment horizontal="center" vertical="center" wrapText="1"/>
    </xf>
    <xf numFmtId="49" fontId="9" fillId="0" borderId="0" xfId="11" applyNumberFormat="1" applyFont="1" applyFill="1" applyBorder="1" applyAlignment="1">
      <alignment horizontal="left" vertical="center" wrapText="1"/>
    </xf>
    <xf numFmtId="0" fontId="9" fillId="0" borderId="0" xfId="13" applyFont="1" applyFill="1" applyBorder="1" applyAlignment="1">
      <alignment horizontal="right" vertical="center"/>
    </xf>
    <xf numFmtId="0" fontId="9" fillId="0" borderId="0" xfId="0" applyNumberFormat="1" applyFont="1" applyFill="1" applyBorder="1" applyAlignment="1">
      <alignment horizontal="right" vertical="center"/>
    </xf>
    <xf numFmtId="0" fontId="9" fillId="0" borderId="0" xfId="0" applyFont="1" applyFill="1" applyBorder="1" applyAlignment="1">
      <alignment horizontal="right" vertical="center"/>
    </xf>
    <xf numFmtId="2" fontId="9" fillId="0" borderId="0" xfId="0" applyNumberFormat="1" applyFont="1" applyFill="1" applyBorder="1" applyAlignment="1">
      <alignment horizontal="right" vertical="center"/>
    </xf>
    <xf numFmtId="14" fontId="9" fillId="0" borderId="0" xfId="0" applyNumberFormat="1" applyFont="1" applyFill="1" applyBorder="1" applyAlignment="1" applyProtection="1">
      <alignment horizontal="right" vertical="center"/>
    </xf>
    <xf numFmtId="49" fontId="9" fillId="0" borderId="0" xfId="0" applyNumberFormat="1" applyFont="1" applyFill="1" applyBorder="1" applyAlignment="1">
      <alignment horizontal="right" vertical="center"/>
    </xf>
    <xf numFmtId="15" fontId="9" fillId="0" borderId="0" xfId="0" applyNumberFormat="1" applyFont="1" applyFill="1" applyBorder="1" applyAlignment="1">
      <alignment horizontal="right" vertical="center"/>
    </xf>
    <xf numFmtId="49" fontId="9" fillId="0" borderId="0" xfId="0" applyNumberFormat="1" applyFont="1" applyFill="1" applyBorder="1" applyAlignment="1">
      <alignment horizontal="left" vertical="center" wrapText="1"/>
    </xf>
    <xf numFmtId="165" fontId="9" fillId="0" borderId="0" xfId="7" applyNumberFormat="1" applyFont="1" applyFill="1" applyBorder="1" applyAlignment="1">
      <alignment vertical="center"/>
    </xf>
    <xf numFmtId="49" fontId="9" fillId="0" borderId="0" xfId="0" applyNumberFormat="1" applyFont="1" applyFill="1" applyBorder="1" applyAlignment="1">
      <alignment horizontal="right"/>
    </xf>
    <xf numFmtId="0" fontId="9" fillId="0" borderId="0" xfId="13" applyFont="1" applyFill="1" applyBorder="1" applyAlignment="1">
      <alignment horizontal="left" vertical="center"/>
    </xf>
    <xf numFmtId="49" fontId="9" fillId="0" borderId="0" xfId="0" applyNumberFormat="1" applyFont="1" applyFill="1" applyBorder="1" applyAlignment="1" applyProtection="1">
      <alignment horizontal="left" vertical="center"/>
      <protection locked="0"/>
    </xf>
    <xf numFmtId="0" fontId="9" fillId="0" borderId="0" xfId="0" applyNumberFormat="1" applyFont="1" applyFill="1" applyBorder="1" applyAlignment="1">
      <alignment horizontal="left" vertical="center"/>
    </xf>
    <xf numFmtId="1" fontId="9" fillId="0" borderId="0" xfId="0" applyNumberFormat="1" applyFont="1" applyFill="1" applyBorder="1" applyAlignment="1">
      <alignment horizontal="right" vertical="center"/>
    </xf>
    <xf numFmtId="14" fontId="9" fillId="0" borderId="0" xfId="0" applyNumberFormat="1" applyFont="1" applyFill="1" applyBorder="1" applyAlignment="1">
      <alignment horizontal="right" vertical="center"/>
    </xf>
    <xf numFmtId="0" fontId="9" fillId="0" borderId="0" xfId="0" applyFont="1" applyFill="1" applyBorder="1" applyAlignment="1">
      <alignment horizontal="left" vertical="center" wrapText="1"/>
    </xf>
    <xf numFmtId="0" fontId="9" fillId="0" borderId="0" xfId="0" applyNumberFormat="1" applyFont="1" applyFill="1" applyBorder="1" applyAlignment="1">
      <alignment vertical="center"/>
    </xf>
    <xf numFmtId="0" fontId="9" fillId="0" borderId="0" xfId="0" applyNumberFormat="1" applyFont="1" applyFill="1" applyBorder="1" applyAlignment="1">
      <alignment horizontal="right"/>
    </xf>
    <xf numFmtId="0" fontId="9" fillId="0" borderId="0" xfId="0" applyNumberFormat="1" applyFont="1" applyFill="1" applyBorder="1" applyAlignment="1">
      <alignment horizontal="left" vertical="center" wrapText="1"/>
    </xf>
    <xf numFmtId="49" fontId="9" fillId="0" borderId="0" xfId="11" applyNumberFormat="1" applyFont="1" applyFill="1" applyBorder="1" applyAlignment="1">
      <alignment horizontal="left" vertical="center"/>
    </xf>
    <xf numFmtId="49" fontId="9" fillId="0" borderId="0" xfId="0" applyNumberFormat="1" applyFont="1" applyFill="1" applyBorder="1" applyAlignment="1" applyProtection="1">
      <alignment horizontal="left" vertical="center" wrapText="1"/>
      <protection locked="0"/>
    </xf>
    <xf numFmtId="1" fontId="9" fillId="0" borderId="0" xfId="0" applyNumberFormat="1" applyFont="1" applyFill="1" applyBorder="1" applyAlignment="1">
      <alignment vertical="center"/>
    </xf>
    <xf numFmtId="22" fontId="9" fillId="0" borderId="0" xfId="0" applyNumberFormat="1" applyFont="1" applyFill="1" applyBorder="1" applyAlignment="1">
      <alignment horizontal="right" vertical="center"/>
    </xf>
    <xf numFmtId="49" fontId="9" fillId="0" borderId="0" xfId="11" applyNumberFormat="1" applyFont="1" applyFill="1" applyBorder="1" applyAlignment="1">
      <alignment vertical="center" wrapText="1"/>
    </xf>
    <xf numFmtId="0" fontId="9" fillId="0" borderId="0" xfId="17" applyFont="1" applyFill="1" applyBorder="1" applyAlignment="1">
      <alignment horizontal="left"/>
    </xf>
    <xf numFmtId="15" fontId="9" fillId="0" borderId="0" xfId="11" applyNumberFormat="1" applyFont="1" applyFill="1" applyBorder="1" applyAlignment="1">
      <alignment horizontal="right" vertical="center" wrapText="1"/>
    </xf>
    <xf numFmtId="0" fontId="9" fillId="0" borderId="0" xfId="4" applyFont="1" applyFill="1" applyBorder="1" applyAlignment="1">
      <alignment horizontal="right" vertical="center"/>
    </xf>
    <xf numFmtId="0" fontId="9" fillId="0" borderId="0" xfId="13" applyNumberFormat="1" applyFont="1" applyFill="1" applyBorder="1" applyAlignment="1">
      <alignment horizontal="right" vertical="center"/>
    </xf>
    <xf numFmtId="17" fontId="9" fillId="0" borderId="0" xfId="0" applyNumberFormat="1" applyFont="1" applyFill="1" applyBorder="1" applyAlignment="1">
      <alignment horizontal="right" vertical="center"/>
    </xf>
    <xf numFmtId="0" fontId="9" fillId="0" borderId="0" xfId="0" applyFont="1" applyFill="1" applyBorder="1" applyAlignment="1">
      <alignment horizontal="right"/>
    </xf>
    <xf numFmtId="15" fontId="9" fillId="0" borderId="0" xfId="0" applyNumberFormat="1" applyFont="1" applyFill="1" applyBorder="1" applyAlignment="1">
      <alignment horizontal="left" vertical="center" wrapText="1"/>
    </xf>
    <xf numFmtId="0" fontId="9" fillId="0" borderId="0" xfId="0" applyNumberFormat="1" applyFont="1" applyFill="1" applyBorder="1" applyAlignment="1" applyProtection="1">
      <alignment horizontal="left" vertical="center"/>
      <protection locked="0"/>
    </xf>
    <xf numFmtId="49" fontId="9" fillId="0" borderId="0" xfId="16" applyNumberFormat="1" applyFont="1" applyFill="1" applyBorder="1" applyAlignment="1">
      <alignment horizontal="left"/>
    </xf>
    <xf numFmtId="0" fontId="9" fillId="0" borderId="0" xfId="0" applyFont="1" applyFill="1" applyBorder="1" applyAlignment="1">
      <alignment horizontal="left"/>
    </xf>
    <xf numFmtId="171" fontId="9" fillId="0" borderId="0" xfId="0" applyNumberFormat="1" applyFont="1" applyFill="1" applyBorder="1" applyAlignment="1">
      <alignment horizontal="right"/>
    </xf>
    <xf numFmtId="172" fontId="9" fillId="0" borderId="0" xfId="13" applyNumberFormat="1" applyFont="1" applyFill="1" applyBorder="1" applyAlignment="1">
      <alignment horizontal="right" vertical="center"/>
    </xf>
    <xf numFmtId="0" fontId="0" fillId="18" borderId="16" xfId="0" applyFill="1" applyBorder="1" applyAlignment="1">
      <alignment vertical="center"/>
    </xf>
    <xf numFmtId="0" fontId="32" fillId="18" borderId="4" xfId="0" applyFont="1" applyFill="1" applyBorder="1" applyAlignment="1">
      <alignment vertical="center"/>
    </xf>
    <xf numFmtId="0" fontId="32" fillId="18" borderId="0" xfId="0" applyFont="1" applyFill="1" applyBorder="1" applyAlignment="1">
      <alignment vertical="center"/>
    </xf>
    <xf numFmtId="0" fontId="32" fillId="18" borderId="34" xfId="0" applyFont="1" applyFill="1" applyBorder="1" applyAlignment="1">
      <alignment vertical="center"/>
    </xf>
    <xf numFmtId="0" fontId="32" fillId="0" borderId="0" xfId="0" applyFont="1" applyFill="1" applyBorder="1" applyAlignment="1">
      <alignment vertical="center"/>
    </xf>
    <xf numFmtId="0" fontId="32" fillId="18" borderId="38" xfId="0" applyFont="1" applyFill="1" applyBorder="1" applyAlignment="1">
      <alignment vertical="center"/>
    </xf>
    <xf numFmtId="0" fontId="32" fillId="18" borderId="15" xfId="0" applyFont="1" applyFill="1" applyBorder="1" applyAlignment="1">
      <alignment vertical="center"/>
    </xf>
    <xf numFmtId="0" fontId="0" fillId="0" borderId="2" xfId="0" pivotButton="1" applyBorder="1" applyAlignment="1">
      <alignment vertical="center"/>
    </xf>
    <xf numFmtId="0" fontId="0" fillId="0" borderId="3" xfId="0" applyBorder="1" applyAlignment="1">
      <alignment vertical="center"/>
    </xf>
    <xf numFmtId="165" fontId="0" fillId="0" borderId="0" xfId="7" applyNumberFormat="1" applyFont="1" applyAlignment="1">
      <alignment vertical="center"/>
    </xf>
    <xf numFmtId="0" fontId="0" fillId="0" borderId="4" xfId="0" applyBorder="1" applyAlignment="1">
      <alignment vertical="center"/>
    </xf>
    <xf numFmtId="165" fontId="0" fillId="0" borderId="0" xfId="0" applyNumberFormat="1" applyBorder="1" applyAlignment="1">
      <alignment vertical="center"/>
    </xf>
    <xf numFmtId="165" fontId="0" fillId="0" borderId="34" xfId="0" applyNumberFormat="1" applyBorder="1" applyAlignment="1">
      <alignment vertical="center"/>
    </xf>
    <xf numFmtId="0" fontId="44" fillId="17" borderId="20" xfId="0" applyFont="1" applyFill="1" applyBorder="1" applyAlignment="1">
      <alignment vertical="center"/>
    </xf>
    <xf numFmtId="0" fontId="44" fillId="17" borderId="38" xfId="0" applyFont="1" applyFill="1" applyBorder="1" applyAlignment="1">
      <alignment vertical="center"/>
    </xf>
    <xf numFmtId="165" fontId="44" fillId="17" borderId="38" xfId="0" applyNumberFormat="1" applyFont="1" applyFill="1" applyBorder="1" applyAlignment="1">
      <alignment vertical="center"/>
    </xf>
    <xf numFmtId="165" fontId="44" fillId="17" borderId="15" xfId="0" applyNumberFormat="1" applyFont="1" applyFill="1" applyBorder="1" applyAlignment="1">
      <alignment vertical="center"/>
    </xf>
    <xf numFmtId="0" fontId="10" fillId="21" borderId="0" xfId="0" applyFont="1" applyFill="1" applyBorder="1" applyAlignment="1">
      <alignment horizontal="left" vertical="center"/>
    </xf>
    <xf numFmtId="0" fontId="10" fillId="21" borderId="0" xfId="0" applyFont="1" applyFill="1" applyBorder="1" applyAlignment="1">
      <alignment horizontal="center" vertical="center"/>
    </xf>
    <xf numFmtId="0" fontId="47" fillId="12" borderId="0" xfId="0" applyFont="1" applyFill="1" applyBorder="1" applyAlignment="1">
      <alignment vertical="center"/>
    </xf>
    <xf numFmtId="0" fontId="4" fillId="12" borderId="0" xfId="0" applyFont="1" applyFill="1" applyBorder="1" applyAlignment="1">
      <alignment vertical="center"/>
    </xf>
    <xf numFmtId="0" fontId="4" fillId="0" borderId="0" xfId="0" applyFont="1" applyBorder="1" applyAlignment="1">
      <alignment vertical="center"/>
    </xf>
    <xf numFmtId="165" fontId="4" fillId="0" borderId="0" xfId="7" applyNumberFormat="1" applyFont="1" applyBorder="1" applyAlignment="1">
      <alignment vertical="center"/>
    </xf>
    <xf numFmtId="0" fontId="47" fillId="5" borderId="0" xfId="0" applyFont="1" applyFill="1" applyBorder="1" applyAlignment="1">
      <alignment vertical="center"/>
    </xf>
    <xf numFmtId="165" fontId="47" fillId="0" borderId="0" xfId="7" applyNumberFormat="1" applyFont="1" applyBorder="1" applyAlignment="1">
      <alignment vertical="center"/>
    </xf>
    <xf numFmtId="0" fontId="4" fillId="0" borderId="0" xfId="0" applyFont="1" applyFill="1" applyBorder="1" applyAlignment="1">
      <alignment vertical="center"/>
    </xf>
    <xf numFmtId="0" fontId="47" fillId="0" borderId="0" xfId="0" applyFont="1" applyBorder="1" applyAlignment="1">
      <alignment vertical="center"/>
    </xf>
    <xf numFmtId="0" fontId="0" fillId="0" borderId="4" xfId="0" applyBorder="1" applyAlignment="1">
      <alignment horizontal="left" indent="1"/>
    </xf>
    <xf numFmtId="0" fontId="9" fillId="0" borderId="0" xfId="0" applyFont="1" applyAlignment="1">
      <alignment vertical="center"/>
    </xf>
    <xf numFmtId="0" fontId="9" fillId="0" borderId="0" xfId="0" applyFont="1" applyBorder="1" applyAlignment="1">
      <alignment vertical="center"/>
    </xf>
    <xf numFmtId="0" fontId="9" fillId="0" borderId="0" xfId="0" applyFont="1" applyFill="1" applyAlignment="1">
      <alignment horizontal="left" vertical="center"/>
    </xf>
    <xf numFmtId="0" fontId="9" fillId="0" borderId="0" xfId="0" applyNumberFormat="1" applyFont="1" applyFill="1" applyAlignment="1">
      <alignment horizontal="left" vertical="center"/>
    </xf>
    <xf numFmtId="0" fontId="9" fillId="0" borderId="0" xfId="0" applyFont="1" applyFill="1" applyAlignment="1">
      <alignment horizontal="right" vertical="center"/>
    </xf>
    <xf numFmtId="1" fontId="9" fillId="0" borderId="0" xfId="0" applyNumberFormat="1" applyFont="1" applyFill="1" applyAlignment="1">
      <alignment horizontal="right" vertical="center"/>
    </xf>
    <xf numFmtId="2" fontId="9" fillId="0" borderId="0" xfId="0" applyNumberFormat="1" applyFont="1" applyFill="1" applyAlignment="1">
      <alignment horizontal="right" vertical="center"/>
    </xf>
    <xf numFmtId="49" fontId="9" fillId="0" borderId="0" xfId="0" applyNumberFormat="1" applyFont="1" applyFill="1" applyAlignment="1">
      <alignment vertical="center"/>
    </xf>
    <xf numFmtId="14" fontId="9" fillId="0" borderId="0" xfId="0" applyNumberFormat="1" applyFont="1" applyFill="1" applyAlignment="1">
      <alignment horizontal="right" vertical="center"/>
    </xf>
    <xf numFmtId="15" fontId="9" fillId="0" borderId="0" xfId="0" applyNumberFormat="1" applyFont="1" applyFill="1" applyAlignment="1">
      <alignment horizontal="right" vertical="center"/>
    </xf>
    <xf numFmtId="15" fontId="9" fillId="0" borderId="0" xfId="0" applyNumberFormat="1" applyFont="1" applyFill="1" applyAlignment="1">
      <alignment horizontal="left" vertical="center" wrapText="1"/>
    </xf>
    <xf numFmtId="0" fontId="9" fillId="0" borderId="0" xfId="0" applyNumberFormat="1" applyFont="1" applyFill="1" applyAlignment="1">
      <alignment vertical="center"/>
    </xf>
    <xf numFmtId="165" fontId="9" fillId="0" borderId="0" xfId="7" applyNumberFormat="1" applyFont="1" applyFill="1" applyAlignment="1">
      <alignment vertical="center"/>
    </xf>
    <xf numFmtId="0" fontId="9" fillId="0" borderId="0" xfId="0" applyNumberFormat="1" applyFont="1" applyFill="1" applyAlignment="1">
      <alignment horizontal="right"/>
    </xf>
    <xf numFmtId="0" fontId="9" fillId="0" borderId="0" xfId="11" applyNumberFormat="1" applyFont="1" applyFill="1" applyBorder="1" applyAlignment="1">
      <alignment vertical="center"/>
    </xf>
    <xf numFmtId="1" fontId="9" fillId="0" borderId="0" xfId="11" applyNumberFormat="1" applyFont="1" applyFill="1" applyBorder="1" applyAlignment="1">
      <alignment vertical="center"/>
    </xf>
    <xf numFmtId="0" fontId="3" fillId="0" borderId="16" xfId="0" pivotButton="1" applyFont="1" applyBorder="1" applyAlignment="1">
      <alignment horizontal="center" vertical="center" wrapText="1"/>
    </xf>
    <xf numFmtId="0" fontId="3" fillId="0" borderId="37" xfId="0" pivotButton="1" applyFont="1" applyBorder="1" applyAlignment="1">
      <alignment horizontal="center" vertical="center" wrapText="1"/>
    </xf>
    <xf numFmtId="0" fontId="3" fillId="0" borderId="37" xfId="0" pivotButton="1" applyFont="1" applyBorder="1" applyAlignment="1">
      <alignment vertical="center" wrapText="1"/>
    </xf>
    <xf numFmtId="165" fontId="3" fillId="0" borderId="37"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vertical="center"/>
    </xf>
    <xf numFmtId="1" fontId="9" fillId="0" borderId="0" xfId="0" applyNumberFormat="1" applyFont="1" applyFill="1" applyAlignment="1">
      <alignment vertical="center"/>
    </xf>
    <xf numFmtId="9" fontId="0" fillId="5" borderId="0" xfId="8" applyFont="1" applyFill="1"/>
    <xf numFmtId="0" fontId="9" fillId="0" borderId="0" xfId="0" applyFont="1" applyFill="1" applyAlignment="1">
      <alignment horizontal="left" vertical="center" wrapText="1"/>
    </xf>
    <xf numFmtId="0" fontId="48" fillId="14" borderId="0" xfId="0" applyFont="1" applyFill="1" applyBorder="1"/>
    <xf numFmtId="0" fontId="48" fillId="0" borderId="0" xfId="0" applyFont="1" applyFill="1" applyBorder="1"/>
    <xf numFmtId="2" fontId="48" fillId="14" borderId="0" xfId="0" applyNumberFormat="1" applyFont="1" applyFill="1" applyBorder="1"/>
    <xf numFmtId="2" fontId="48" fillId="0" borderId="0" xfId="0" applyNumberFormat="1" applyFont="1" applyFill="1" applyBorder="1"/>
    <xf numFmtId="9" fontId="48" fillId="0" borderId="0" xfId="8" applyFont="1" applyFill="1" applyBorder="1"/>
    <xf numFmtId="0" fontId="49" fillId="0" borderId="17" xfId="0" applyNumberFormat="1" applyFont="1" applyFill="1" applyBorder="1"/>
    <xf numFmtId="1" fontId="49" fillId="0" borderId="2" xfId="0" applyNumberFormat="1" applyFont="1" applyFill="1" applyBorder="1"/>
    <xf numFmtId="0" fontId="44" fillId="0" borderId="0" xfId="5" applyFont="1" applyFill="1" applyBorder="1" applyAlignment="1">
      <alignment horizontal="left" vertical="center"/>
    </xf>
    <xf numFmtId="168" fontId="9" fillId="0" borderId="0" xfId="11" applyNumberFormat="1" applyFont="1" applyFill="1" applyBorder="1" applyAlignment="1">
      <alignment horizontal="left" vertical="center"/>
    </xf>
    <xf numFmtId="0" fontId="0" fillId="0" borderId="1" xfId="0" applyBorder="1"/>
    <xf numFmtId="0" fontId="0" fillId="0" borderId="0" xfId="0"/>
    <xf numFmtId="0" fontId="0" fillId="0" borderId="0" xfId="0" applyFill="1" applyBorder="1" applyAlignment="1">
      <alignment vertical="center"/>
    </xf>
    <xf numFmtId="0" fontId="0" fillId="0" borderId="0" xfId="0" applyFill="1" applyAlignment="1">
      <alignment vertical="center"/>
    </xf>
    <xf numFmtId="2" fontId="9" fillId="0" borderId="44" xfId="0" applyNumberFormat="1" applyFont="1" applyFill="1" applyBorder="1" applyAlignment="1">
      <alignment horizontal="right" vertical="center"/>
    </xf>
    <xf numFmtId="49" fontId="9" fillId="0" borderId="44" xfId="0" applyNumberFormat="1" applyFont="1" applyFill="1" applyBorder="1" applyAlignment="1">
      <alignment vertical="center"/>
    </xf>
    <xf numFmtId="0" fontId="9" fillId="0" borderId="0" xfId="11" applyNumberFormat="1" applyFont="1" applyFill="1" applyBorder="1" applyAlignment="1">
      <alignment horizontal="right" vertical="center"/>
    </xf>
    <xf numFmtId="1" fontId="9" fillId="0" borderId="0" xfId="11" applyNumberFormat="1" applyFont="1" applyFill="1" applyBorder="1" applyAlignment="1">
      <alignment horizontal="right" vertical="center"/>
    </xf>
    <xf numFmtId="173" fontId="9" fillId="0" borderId="0" xfId="0" applyNumberFormat="1" applyFont="1" applyFill="1" applyBorder="1" applyAlignment="1" applyProtection="1">
      <alignment horizontal="right" vertical="center"/>
    </xf>
    <xf numFmtId="173" fontId="9" fillId="0" borderId="0" xfId="0" applyNumberFormat="1" applyFont="1" applyFill="1" applyBorder="1" applyAlignment="1">
      <alignment horizontal="right" vertical="center"/>
    </xf>
    <xf numFmtId="0" fontId="0" fillId="16" borderId="4" xfId="0" applyFill="1" applyBorder="1" applyAlignment="1">
      <alignment horizontal="left" indent="1"/>
    </xf>
    <xf numFmtId="0" fontId="5" fillId="0" borderId="0" xfId="0" applyFont="1" applyBorder="1" applyAlignment="1">
      <alignment vertical="center"/>
    </xf>
    <xf numFmtId="0" fontId="13" fillId="5" borderId="0" xfId="0" applyFont="1" applyFill="1" applyBorder="1" applyAlignment="1">
      <alignment horizontal="center" vertical="center"/>
    </xf>
    <xf numFmtId="165" fontId="14" fillId="5" borderId="0" xfId="7" applyNumberFormat="1" applyFont="1" applyFill="1" applyBorder="1" applyAlignment="1">
      <alignment vertical="center"/>
    </xf>
    <xf numFmtId="165" fontId="0" fillId="0" borderId="0" xfId="0" applyNumberFormat="1" applyFont="1" applyBorder="1" applyAlignment="1">
      <alignment vertical="center"/>
    </xf>
    <xf numFmtId="0" fontId="0" fillId="5" borderId="0" xfId="0" applyFont="1" applyFill="1" applyBorder="1" applyAlignment="1">
      <alignment vertical="center"/>
    </xf>
    <xf numFmtId="165" fontId="0" fillId="5" borderId="0" xfId="7" applyNumberFormat="1" applyFont="1" applyFill="1" applyBorder="1" applyAlignment="1">
      <alignment vertical="center"/>
    </xf>
    <xf numFmtId="165" fontId="3" fillId="5" borderId="0" xfId="0" applyNumberFormat="1" applyFont="1" applyFill="1" applyBorder="1" applyAlignment="1">
      <alignment vertical="center"/>
    </xf>
    <xf numFmtId="173" fontId="9" fillId="0" borderId="0" xfId="0" applyNumberFormat="1" applyFont="1" applyFill="1" applyAlignment="1">
      <alignment horizontal="right" vertical="center"/>
    </xf>
    <xf numFmtId="174" fontId="9" fillId="0" borderId="0" xfId="11" applyNumberFormat="1" applyFont="1" applyFill="1" applyBorder="1" applyAlignment="1">
      <alignment horizontal="right" vertical="center" wrapText="1"/>
    </xf>
    <xf numFmtId="0" fontId="44" fillId="0" borderId="0" xfId="0" applyFont="1" applyFill="1" applyBorder="1" applyAlignment="1">
      <alignment horizontal="center" vertical="center"/>
    </xf>
    <xf numFmtId="0" fontId="19" fillId="0" borderId="0" xfId="0" applyFont="1" applyFill="1" applyProtection="1">
      <protection locked="0"/>
    </xf>
    <xf numFmtId="0" fontId="19" fillId="0" borderId="43" xfId="0" applyFont="1" applyFill="1" applyBorder="1" applyAlignment="1" applyProtection="1">
      <alignment horizontal="center" vertical="center"/>
      <protection locked="0"/>
    </xf>
    <xf numFmtId="0" fontId="19" fillId="0" borderId="17" xfId="0" applyFont="1" applyFill="1" applyBorder="1" applyProtection="1">
      <protection locked="0"/>
    </xf>
    <xf numFmtId="0" fontId="19" fillId="0" borderId="1" xfId="0" applyFont="1" applyFill="1" applyBorder="1" applyProtection="1">
      <protection locked="0"/>
    </xf>
    <xf numFmtId="0" fontId="19" fillId="0" borderId="1" xfId="0" applyFont="1" applyFill="1" applyBorder="1" applyAlignment="1" applyProtection="1">
      <alignment horizontal="center"/>
      <protection locked="0"/>
    </xf>
    <xf numFmtId="0" fontId="53" fillId="17" borderId="8" xfId="0" applyFont="1" applyFill="1" applyBorder="1" applyAlignment="1" applyProtection="1"/>
    <xf numFmtId="0" fontId="53" fillId="17" borderId="6" xfId="0" applyFont="1" applyFill="1" applyBorder="1" applyAlignment="1" applyProtection="1"/>
    <xf numFmtId="0" fontId="53" fillId="17" borderId="3" xfId="0" applyFont="1" applyFill="1" applyBorder="1" applyAlignment="1" applyProtection="1"/>
    <xf numFmtId="0" fontId="53" fillId="17" borderId="1" xfId="0" applyFont="1" applyFill="1" applyBorder="1" applyProtection="1"/>
    <xf numFmtId="0" fontId="53" fillId="17" borderId="1" xfId="0" applyFont="1" applyFill="1" applyBorder="1" applyAlignment="1" applyProtection="1">
      <alignment horizontal="center"/>
    </xf>
    <xf numFmtId="0" fontId="53" fillId="17" borderId="17" xfId="0" applyFont="1" applyFill="1" applyBorder="1" applyProtection="1"/>
    <xf numFmtId="0" fontId="52" fillId="0" borderId="1" xfId="0" applyFont="1" applyFill="1" applyBorder="1" applyProtection="1">
      <protection locked="0"/>
    </xf>
    <xf numFmtId="0" fontId="19" fillId="0" borderId="1" xfId="0" applyFont="1" applyFill="1" applyBorder="1" applyAlignment="1" applyProtection="1">
      <alignment vertical="center"/>
      <protection locked="0"/>
    </xf>
    <xf numFmtId="0" fontId="52" fillId="0" borderId="1" xfId="0" applyFont="1" applyFill="1" applyBorder="1" applyAlignment="1" applyProtection="1">
      <alignment horizontal="center"/>
      <protection locked="0"/>
    </xf>
    <xf numFmtId="0" fontId="52" fillId="0" borderId="0" xfId="0" applyFont="1" applyFill="1" applyProtection="1">
      <protection locked="0"/>
    </xf>
    <xf numFmtId="0" fontId="52" fillId="0" borderId="1" xfId="0" applyFont="1" applyFill="1" applyBorder="1" applyAlignment="1" applyProtection="1">
      <alignment vertical="center"/>
      <protection locked="0"/>
    </xf>
    <xf numFmtId="0" fontId="19" fillId="0" borderId="1" xfId="0" applyFont="1" applyFill="1" applyBorder="1" applyAlignment="1" applyProtection="1">
      <alignment horizontal="center" vertical="center"/>
      <protection locked="0"/>
    </xf>
    <xf numFmtId="0" fontId="51" fillId="0" borderId="2" xfId="0" applyFont="1" applyFill="1" applyBorder="1" applyProtection="1">
      <protection locked="0"/>
    </xf>
    <xf numFmtId="0" fontId="51" fillId="0" borderId="2" xfId="0" applyFont="1" applyFill="1" applyBorder="1" applyAlignment="1" applyProtection="1">
      <alignment horizontal="right" vertical="center"/>
      <protection locked="0"/>
    </xf>
    <xf numFmtId="0" fontId="52" fillId="0" borderId="1" xfId="0" applyFont="1" applyFill="1" applyBorder="1" applyProtection="1"/>
    <xf numFmtId="0" fontId="19" fillId="0" borderId="29" xfId="0" applyFont="1" applyFill="1" applyBorder="1" applyProtection="1">
      <protection locked="0"/>
    </xf>
    <xf numFmtId="0" fontId="19" fillId="0" borderId="19" xfId="0" applyFont="1" applyFill="1" applyBorder="1" applyProtection="1">
      <protection locked="0"/>
    </xf>
    <xf numFmtId="0" fontId="19" fillId="0" borderId="19" xfId="0" applyFont="1" applyFill="1" applyBorder="1" applyAlignment="1" applyProtection="1">
      <alignment horizontal="center"/>
      <protection locked="0"/>
    </xf>
    <xf numFmtId="0" fontId="19" fillId="0" borderId="42" xfId="0" applyFont="1" applyFill="1" applyBorder="1" applyAlignment="1" applyProtection="1">
      <alignment horizontal="center" vertical="center"/>
      <protection locked="0"/>
    </xf>
    <xf numFmtId="0" fontId="19" fillId="0" borderId="0" xfId="0" applyFont="1" applyFill="1" applyBorder="1" applyProtection="1">
      <protection locked="0"/>
    </xf>
    <xf numFmtId="0" fontId="19" fillId="0" borderId="0" xfId="0" applyFont="1" applyFill="1" applyBorder="1" applyAlignment="1" applyProtection="1">
      <alignment horizontal="center"/>
      <protection locked="0"/>
    </xf>
    <xf numFmtId="0" fontId="52" fillId="0" borderId="0" xfId="0" applyFont="1" applyFill="1" applyBorder="1" applyProtection="1">
      <protection locked="0"/>
    </xf>
    <xf numFmtId="0" fontId="0" fillId="0" borderId="0" xfId="0" applyFont="1" applyBorder="1" applyAlignment="1">
      <alignment vertical="center"/>
    </xf>
    <xf numFmtId="0" fontId="4" fillId="4" borderId="0" xfId="0" applyFont="1" applyFill="1" applyBorder="1" applyAlignment="1">
      <alignment horizontal="left" vertical="center" wrapText="1"/>
    </xf>
    <xf numFmtId="0" fontId="4" fillId="4" borderId="0" xfId="0" applyFont="1" applyFill="1" applyBorder="1" applyAlignment="1">
      <alignment horizontal="center" vertical="center" wrapText="1"/>
    </xf>
    <xf numFmtId="0" fontId="54" fillId="0" borderId="0" xfId="0" applyFont="1" applyBorder="1" applyAlignment="1">
      <alignment vertical="center"/>
    </xf>
    <xf numFmtId="165" fontId="0" fillId="0" borderId="0" xfId="7" applyNumberFormat="1" applyFont="1" applyBorder="1" applyAlignment="1">
      <alignment vertical="center"/>
    </xf>
    <xf numFmtId="9" fontId="0" fillId="0" borderId="0" xfId="8" applyFont="1" applyBorder="1" applyAlignment="1">
      <alignment vertical="center"/>
    </xf>
    <xf numFmtId="0" fontId="35" fillId="0" borderId="0" xfId="0" applyFont="1" applyBorder="1" applyAlignment="1">
      <alignment horizontal="right" vertical="center"/>
    </xf>
    <xf numFmtId="0" fontId="24" fillId="18" borderId="11" xfId="6" applyFont="1" applyFill="1" applyBorder="1" applyAlignment="1">
      <alignment vertical="center"/>
    </xf>
    <xf numFmtId="0" fontId="24" fillId="18" borderId="37" xfId="6" applyFont="1" applyFill="1" applyBorder="1" applyAlignment="1">
      <alignment vertical="center"/>
    </xf>
    <xf numFmtId="0" fontId="24" fillId="18" borderId="38" xfId="6" applyFont="1" applyFill="1" applyBorder="1" applyAlignment="1">
      <alignment vertical="center"/>
    </xf>
    <xf numFmtId="0" fontId="9" fillId="18" borderId="0" xfId="0" applyFont="1" applyFill="1" applyBorder="1"/>
    <xf numFmtId="0" fontId="8" fillId="18" borderId="0" xfId="0" applyFont="1" applyFill="1" applyBorder="1"/>
    <xf numFmtId="0" fontId="37" fillId="18" borderId="0" xfId="0" applyFont="1" applyFill="1" applyBorder="1" applyAlignment="1"/>
    <xf numFmtId="0" fontId="41" fillId="0" borderId="0" xfId="0" applyFont="1" applyFill="1" applyBorder="1" applyAlignment="1">
      <alignment horizontal="left"/>
    </xf>
    <xf numFmtId="165" fontId="42" fillId="0" borderId="0" xfId="9" applyNumberFormat="1" applyFont="1" applyFill="1" applyBorder="1" applyAlignment="1">
      <alignment horizontal="left"/>
    </xf>
    <xf numFmtId="0" fontId="23" fillId="18" borderId="11" xfId="6" applyFont="1" applyFill="1" applyBorder="1" applyAlignment="1">
      <alignment vertical="center"/>
    </xf>
    <xf numFmtId="0" fontId="9" fillId="18" borderId="13" xfId="0" applyFont="1" applyFill="1" applyBorder="1"/>
    <xf numFmtId="0" fontId="9" fillId="18" borderId="14" xfId="0" applyFont="1" applyFill="1" applyBorder="1"/>
    <xf numFmtId="3" fontId="0" fillId="0" borderId="0" xfId="0" applyNumberFormat="1"/>
    <xf numFmtId="0" fontId="8" fillId="6" borderId="22" xfId="6" applyFont="1" applyFill="1" applyBorder="1" applyAlignment="1">
      <alignment vertical="center"/>
    </xf>
    <xf numFmtId="0" fontId="7" fillId="0" borderId="38" xfId="6" applyFont="1" applyFill="1" applyBorder="1" applyAlignment="1">
      <alignment horizontal="center" vertical="center"/>
    </xf>
    <xf numFmtId="0" fontId="8" fillId="6" borderId="38" xfId="6" applyFont="1" applyFill="1" applyBorder="1" applyAlignment="1">
      <alignment vertical="center"/>
    </xf>
    <xf numFmtId="0" fontId="8" fillId="6" borderId="15" xfId="6" applyFont="1" applyFill="1" applyBorder="1" applyAlignment="1">
      <alignment vertical="center"/>
    </xf>
    <xf numFmtId="0" fontId="39" fillId="0" borderId="0" xfId="0" applyFont="1" applyFill="1" applyBorder="1" applyAlignment="1">
      <alignment horizontal="center" wrapText="1"/>
    </xf>
    <xf numFmtId="0" fontId="39" fillId="0" borderId="0" xfId="0" applyFont="1" applyFill="1" applyBorder="1" applyAlignment="1">
      <alignment horizontal="center" vertical="top" wrapText="1"/>
    </xf>
    <xf numFmtId="0" fontId="40" fillId="0" borderId="0" xfId="0" applyFont="1" applyFill="1" applyBorder="1" applyAlignment="1">
      <alignment horizontal="center" vertical="top" wrapText="1"/>
    </xf>
    <xf numFmtId="0" fontId="42" fillId="0" borderId="0" xfId="0" applyFont="1" applyFill="1" applyBorder="1" applyAlignment="1">
      <alignment horizontal="left"/>
    </xf>
    <xf numFmtId="165" fontId="43" fillId="0" borderId="0" xfId="9" applyNumberFormat="1" applyFont="1" applyFill="1" applyBorder="1"/>
    <xf numFmtId="9" fontId="43" fillId="0" borderId="0" xfId="8" applyFont="1" applyFill="1" applyBorder="1"/>
    <xf numFmtId="0" fontId="55" fillId="0" borderId="0" xfId="0" applyFont="1" applyBorder="1" applyAlignment="1">
      <alignment horizontal="left" vertical="center"/>
    </xf>
    <xf numFmtId="165" fontId="0" fillId="0" borderId="9" xfId="0" applyNumberFormat="1" applyFill="1" applyBorder="1"/>
    <xf numFmtId="165" fontId="0" fillId="0" borderId="7" xfId="0" applyNumberFormat="1" applyFill="1" applyBorder="1"/>
    <xf numFmtId="0" fontId="34" fillId="0" borderId="0" xfId="0" applyFont="1"/>
    <xf numFmtId="165" fontId="0" fillId="0" borderId="0" xfId="7" applyNumberFormat="1" applyFont="1"/>
    <xf numFmtId="1" fontId="0" fillId="0" borderId="0" xfId="7" applyNumberFormat="1" applyFont="1"/>
    <xf numFmtId="0" fontId="44" fillId="0" borderId="0" xfId="0" applyFont="1" applyAlignment="1">
      <alignment vertical="center"/>
    </xf>
    <xf numFmtId="0" fontId="44" fillId="0" borderId="0" xfId="0" applyFont="1" applyFill="1" applyBorder="1" applyAlignment="1">
      <alignment vertical="center"/>
    </xf>
    <xf numFmtId="0" fontId="0" fillId="18" borderId="10" xfId="0" applyFill="1" applyBorder="1" applyAlignment="1">
      <alignment vertical="center"/>
    </xf>
    <xf numFmtId="0" fontId="0" fillId="18" borderId="11" xfId="0" applyFill="1" applyBorder="1" applyAlignment="1">
      <alignment vertical="center"/>
    </xf>
    <xf numFmtId="0" fontId="0" fillId="18" borderId="12" xfId="0" applyFill="1" applyBorder="1" applyAlignment="1">
      <alignment vertical="center"/>
    </xf>
    <xf numFmtId="0" fontId="0" fillId="18" borderId="13" xfId="0" applyFill="1" applyBorder="1" applyAlignment="1">
      <alignment vertical="center"/>
    </xf>
    <xf numFmtId="0" fontId="0" fillId="18" borderId="0" xfId="0" applyFill="1" applyBorder="1" applyAlignment="1">
      <alignment vertical="center"/>
    </xf>
    <xf numFmtId="0" fontId="0" fillId="18" borderId="14" xfId="0" applyFill="1" applyBorder="1" applyAlignment="1">
      <alignment vertical="center"/>
    </xf>
    <xf numFmtId="0" fontId="44" fillId="0" borderId="0" xfId="0" applyFont="1" applyBorder="1" applyAlignment="1">
      <alignment vertical="center"/>
    </xf>
    <xf numFmtId="0" fontId="8" fillId="18" borderId="0" xfId="6" applyFont="1" applyFill="1" applyBorder="1" applyAlignment="1">
      <alignment horizontal="left" vertical="center"/>
    </xf>
    <xf numFmtId="0" fontId="0" fillId="20" borderId="13" xfId="0" applyFill="1" applyBorder="1" applyAlignment="1">
      <alignment vertical="center"/>
    </xf>
    <xf numFmtId="0" fontId="0" fillId="20" borderId="0" xfId="0" applyFill="1" applyBorder="1" applyAlignment="1">
      <alignment vertical="center"/>
    </xf>
    <xf numFmtId="0" fontId="8" fillId="20" borderId="14" xfId="6" applyFont="1" applyFill="1" applyBorder="1" applyAlignment="1">
      <alignment vertical="center"/>
    </xf>
    <xf numFmtId="0" fontId="8" fillId="5" borderId="0" xfId="6" applyFont="1" applyFill="1" applyBorder="1" applyAlignment="1">
      <alignment vertical="center"/>
    </xf>
    <xf numFmtId="0" fontId="0" fillId="20" borderId="14" xfId="0" applyFill="1" applyBorder="1" applyAlignment="1">
      <alignment vertical="center"/>
    </xf>
    <xf numFmtId="0" fontId="0" fillId="5" borderId="0" xfId="0" applyFont="1" applyFill="1" applyBorder="1" applyAlignment="1">
      <alignment horizontal="center" vertical="center" wrapText="1"/>
    </xf>
    <xf numFmtId="165" fontId="21" fillId="0" borderId="0" xfId="7" applyNumberFormat="1" applyFont="1" applyBorder="1" applyAlignment="1">
      <alignment vertical="center"/>
    </xf>
    <xf numFmtId="0" fontId="4" fillId="5" borderId="0" xfId="0" applyFont="1" applyFill="1" applyBorder="1" applyAlignment="1">
      <alignment vertical="center"/>
    </xf>
    <xf numFmtId="0" fontId="12" fillId="0" borderId="0" xfId="0" applyFont="1" applyAlignment="1">
      <alignment horizontal="center" vertical="center"/>
    </xf>
    <xf numFmtId="165" fontId="10" fillId="0" borderId="0" xfId="7" applyNumberFormat="1" applyFont="1" applyBorder="1" applyAlignment="1">
      <alignment vertical="center"/>
    </xf>
    <xf numFmtId="0" fontId="3" fillId="20" borderId="13" xfId="0" applyFont="1" applyFill="1" applyBorder="1" applyAlignment="1">
      <alignment vertical="center"/>
    </xf>
    <xf numFmtId="0" fontId="4" fillId="7" borderId="0" xfId="0" applyFont="1" applyFill="1" applyBorder="1" applyAlignment="1">
      <alignment vertical="center"/>
    </xf>
    <xf numFmtId="0" fontId="47" fillId="7" borderId="0" xfId="0" applyFont="1" applyFill="1" applyBorder="1" applyAlignment="1">
      <alignment vertical="center"/>
    </xf>
    <xf numFmtId="0" fontId="0" fillId="20" borderId="39" xfId="0" applyFill="1" applyBorder="1" applyAlignment="1">
      <alignment vertical="center"/>
    </xf>
    <xf numFmtId="0" fontId="0" fillId="20" borderId="40" xfId="0" applyFill="1" applyBorder="1" applyAlignment="1">
      <alignment vertical="center"/>
    </xf>
    <xf numFmtId="0" fontId="0" fillId="5" borderId="40" xfId="0" applyFill="1" applyBorder="1" applyAlignment="1">
      <alignment vertical="center"/>
    </xf>
    <xf numFmtId="0" fontId="0" fillId="20" borderId="41" xfId="0" applyFill="1" applyBorder="1" applyAlignment="1">
      <alignment vertical="center"/>
    </xf>
    <xf numFmtId="165" fontId="0" fillId="0" borderId="0" xfId="0" applyNumberFormat="1" applyAlignment="1">
      <alignment vertical="center"/>
    </xf>
    <xf numFmtId="0" fontId="0" fillId="6" borderId="0" xfId="0" applyFill="1" applyAlignment="1">
      <alignment vertical="center"/>
    </xf>
    <xf numFmtId="0" fontId="3" fillId="6" borderId="0" xfId="0" applyFont="1" applyFill="1" applyAlignment="1">
      <alignment vertical="center"/>
    </xf>
    <xf numFmtId="0" fontId="44" fillId="20" borderId="13" xfId="0" applyFont="1" applyFill="1" applyBorder="1" applyAlignment="1">
      <alignment vertical="center"/>
    </xf>
    <xf numFmtId="9" fontId="0" fillId="0" borderId="0" xfId="8" applyFont="1" applyAlignment="1">
      <alignment vertical="center"/>
    </xf>
    <xf numFmtId="0" fontId="34" fillId="0" borderId="0" xfId="0" applyFont="1" applyAlignment="1">
      <alignment horizontal="left" vertical="center"/>
    </xf>
    <xf numFmtId="9" fontId="0" fillId="0" borderId="0" xfId="0" applyNumberFormat="1" applyBorder="1" applyAlignment="1">
      <alignment vertical="center"/>
    </xf>
    <xf numFmtId="0" fontId="3" fillId="0" borderId="0" xfId="0" applyFont="1" applyBorder="1" applyAlignment="1">
      <alignment vertical="center"/>
    </xf>
    <xf numFmtId="0" fontId="0" fillId="0" borderId="11"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61" fillId="5" borderId="0" xfId="0" applyFont="1" applyFill="1" applyBorder="1"/>
    <xf numFmtId="0" fontId="0" fillId="0" borderId="1" xfId="0" applyFill="1" applyBorder="1" applyAlignment="1">
      <alignment horizontal="left"/>
    </xf>
    <xf numFmtId="0" fontId="9" fillId="5" borderId="1" xfId="0" applyNumberFormat="1" applyFont="1" applyFill="1" applyBorder="1"/>
    <xf numFmtId="165" fontId="35" fillId="13" borderId="47" xfId="7" applyNumberFormat="1" applyFont="1" applyFill="1" applyBorder="1"/>
    <xf numFmtId="165" fontId="35" fillId="14" borderId="47" xfId="7" applyNumberFormat="1" applyFont="1" applyFill="1" applyBorder="1"/>
    <xf numFmtId="0" fontId="0" fillId="0" borderId="0" xfId="0" quotePrefix="1"/>
    <xf numFmtId="0" fontId="62" fillId="0" borderId="0" xfId="0" applyFont="1" applyFill="1"/>
    <xf numFmtId="0" fontId="50" fillId="24" borderId="1" xfId="0" applyFont="1" applyFill="1" applyBorder="1"/>
    <xf numFmtId="165" fontId="35" fillId="0" borderId="0" xfId="0" applyNumberFormat="1" applyFont="1" applyFill="1" applyBorder="1"/>
    <xf numFmtId="9" fontId="35" fillId="4" borderId="0" xfId="0" applyNumberFormat="1" applyFont="1" applyFill="1" applyBorder="1"/>
    <xf numFmtId="9" fontId="35" fillId="0" borderId="0" xfId="0" applyNumberFormat="1" applyFont="1" applyFill="1" applyBorder="1"/>
    <xf numFmtId="0" fontId="34" fillId="0" borderId="22" xfId="0" applyNumberFormat="1" applyFont="1" applyFill="1" applyBorder="1"/>
    <xf numFmtId="1" fontId="34" fillId="0" borderId="16" xfId="0" applyNumberFormat="1" applyFont="1" applyFill="1" applyBorder="1"/>
    <xf numFmtId="165" fontId="35" fillId="0" borderId="25" xfId="0" applyNumberFormat="1" applyFont="1" applyFill="1" applyBorder="1"/>
    <xf numFmtId="0" fontId="0" fillId="0" borderId="12" xfId="0" applyBorder="1"/>
    <xf numFmtId="0" fontId="0" fillId="5" borderId="43" xfId="0" applyNumberFormat="1" applyFill="1" applyBorder="1"/>
    <xf numFmtId="0" fontId="0" fillId="5" borderId="30" xfId="0" applyNumberFormat="1" applyFill="1" applyBorder="1"/>
    <xf numFmtId="0" fontId="0" fillId="0" borderId="0" xfId="0" applyBorder="1" applyAlignment="1">
      <alignment horizontal="center" vertical="center"/>
    </xf>
    <xf numFmtId="0" fontId="11" fillId="0" borderId="0" xfId="0" applyFont="1"/>
    <xf numFmtId="9" fontId="3" fillId="0" borderId="0" xfId="0" applyNumberFormat="1" applyFont="1" applyBorder="1" applyAlignment="1">
      <alignment vertical="center"/>
    </xf>
    <xf numFmtId="0" fontId="59" fillId="5" borderId="37" xfId="6" applyFont="1" applyFill="1" applyBorder="1" applyAlignment="1"/>
    <xf numFmtId="165" fontId="3" fillId="0" borderId="22" xfId="0" applyNumberFormat="1" applyFont="1" applyBorder="1" applyAlignment="1">
      <alignment horizontal="center" vertical="center" wrapText="1"/>
    </xf>
    <xf numFmtId="0" fontId="44" fillId="17" borderId="0" xfId="0" applyFont="1" applyFill="1"/>
    <xf numFmtId="0" fontId="52" fillId="0" borderId="54" xfId="0" applyFont="1" applyBorder="1" applyAlignment="1">
      <alignment horizontal="center" vertical="center" textRotation="90"/>
    </xf>
    <xf numFmtId="0" fontId="52" fillId="0" borderId="55" xfId="0" applyFont="1" applyBorder="1" applyAlignment="1">
      <alignment horizontal="center" vertical="center" textRotation="90"/>
    </xf>
    <xf numFmtId="0" fontId="52" fillId="0" borderId="56" xfId="0" applyFont="1" applyBorder="1" applyAlignment="1">
      <alignment horizontal="center" vertical="center" textRotation="90"/>
    </xf>
    <xf numFmtId="0" fontId="52" fillId="0" borderId="54" xfId="0" applyFont="1" applyBorder="1" applyAlignment="1">
      <alignment horizontal="center" vertical="center" textRotation="90" wrapText="1"/>
    </xf>
    <xf numFmtId="0" fontId="52" fillId="0" borderId="55" xfId="0" applyFont="1" applyBorder="1" applyAlignment="1">
      <alignment horizontal="center" vertical="center" textRotation="90" wrapText="1"/>
    </xf>
    <xf numFmtId="0" fontId="52" fillId="0" borderId="56" xfId="0" applyFont="1" applyBorder="1" applyAlignment="1">
      <alignment horizontal="center" vertical="center" textRotation="90" wrapText="1"/>
    </xf>
    <xf numFmtId="0" fontId="0" fillId="6" borderId="1" xfId="0" applyNumberFormat="1" applyFont="1" applyFill="1" applyBorder="1"/>
    <xf numFmtId="0" fontId="0" fillId="0" borderId="13" xfId="0" applyBorder="1" applyAlignment="1">
      <alignment horizontal="left"/>
    </xf>
    <xf numFmtId="0" fontId="0" fillId="0" borderId="16" xfId="0" applyBorder="1"/>
    <xf numFmtId="0" fontId="0" fillId="0" borderId="4" xfId="0" applyBorder="1"/>
    <xf numFmtId="0" fontId="0" fillId="0" borderId="20" xfId="0" applyBorder="1"/>
    <xf numFmtId="0" fontId="0" fillId="18" borderId="20" xfId="0" applyFill="1" applyBorder="1"/>
    <xf numFmtId="0" fontId="19" fillId="0" borderId="2" xfId="0" applyFont="1" applyFill="1" applyBorder="1" applyProtection="1">
      <protection locked="0"/>
    </xf>
    <xf numFmtId="166" fontId="26" fillId="18" borderId="0" xfId="6" applyNumberFormat="1" applyFont="1" applyFill="1" applyBorder="1" applyAlignment="1">
      <alignment horizontal="left" vertical="center"/>
    </xf>
    <xf numFmtId="0" fontId="51" fillId="0" borderId="2" xfId="0" applyFont="1" applyFill="1" applyBorder="1" applyAlignment="1" applyProtection="1">
      <alignment horizontal="right"/>
      <protection locked="0"/>
    </xf>
    <xf numFmtId="0" fontId="51" fillId="0" borderId="2" xfId="0" applyFont="1" applyFill="1" applyBorder="1" applyAlignment="1" applyProtection="1">
      <alignment vertical="center"/>
      <protection locked="0"/>
    </xf>
    <xf numFmtId="0" fontId="51" fillId="0" borderId="2" xfId="0" quotePrefix="1" applyFont="1" applyFill="1" applyBorder="1" applyAlignment="1" applyProtection="1">
      <alignment horizontal="right" vertical="center"/>
      <protection locked="0"/>
    </xf>
    <xf numFmtId="0" fontId="19" fillId="0" borderId="14" xfId="0" applyFont="1" applyFill="1" applyBorder="1" applyAlignment="1" applyProtection="1">
      <alignment horizontal="center" vertical="center"/>
      <protection locked="0"/>
    </xf>
    <xf numFmtId="0" fontId="12" fillId="0" borderId="3" xfId="0" applyFont="1" applyFill="1" applyBorder="1"/>
    <xf numFmtId="0" fontId="12" fillId="0" borderId="1" xfId="0" applyFont="1" applyFill="1" applyBorder="1"/>
    <xf numFmtId="0" fontId="53" fillId="17" borderId="2" xfId="0" applyFont="1" applyFill="1" applyBorder="1" applyProtection="1"/>
    <xf numFmtId="0" fontId="51" fillId="0" borderId="62" xfId="0" applyFont="1" applyFill="1" applyBorder="1" applyProtection="1">
      <protection locked="0"/>
    </xf>
    <xf numFmtId="0" fontId="14" fillId="5" borderId="0" xfId="0" applyFont="1" applyFill="1" applyBorder="1" applyAlignment="1">
      <alignment vertical="center"/>
    </xf>
    <xf numFmtId="166" fontId="18" fillId="5" borderId="0" xfId="6" applyNumberFormat="1" applyFont="1" applyFill="1" applyBorder="1" applyAlignment="1">
      <alignment horizontal="left" vertical="center"/>
    </xf>
    <xf numFmtId="0" fontId="18" fillId="5" borderId="0" xfId="6" applyFont="1" applyFill="1" applyBorder="1" applyAlignment="1">
      <alignment vertical="center"/>
    </xf>
    <xf numFmtId="0" fontId="64" fillId="0" borderId="0" xfId="0" applyFont="1" applyBorder="1" applyAlignment="1">
      <alignment vertical="center"/>
    </xf>
    <xf numFmtId="0" fontId="14" fillId="0" borderId="0" xfId="0" applyFont="1" applyBorder="1" applyAlignment="1">
      <alignment vertical="center"/>
    </xf>
    <xf numFmtId="0" fontId="14" fillId="0" borderId="0" xfId="0" applyFont="1" applyFill="1" applyBorder="1" applyAlignment="1">
      <alignment vertical="center"/>
    </xf>
    <xf numFmtId="0" fontId="65" fillId="0" borderId="0" xfId="0" applyFont="1" applyFill="1" applyBorder="1" applyAlignment="1">
      <alignment vertical="center"/>
    </xf>
    <xf numFmtId="165" fontId="14" fillId="0" borderId="0" xfId="7" applyNumberFormat="1" applyFont="1" applyBorder="1" applyAlignment="1">
      <alignment vertical="center"/>
    </xf>
    <xf numFmtId="165" fontId="14" fillId="0" borderId="0" xfId="0" applyNumberFormat="1" applyFont="1" applyBorder="1" applyAlignment="1">
      <alignment vertical="center"/>
    </xf>
    <xf numFmtId="9" fontId="14" fillId="0" borderId="0" xfId="8" applyFont="1" applyBorder="1" applyAlignment="1">
      <alignment vertical="center"/>
    </xf>
    <xf numFmtId="0" fontId="63" fillId="4" borderId="64" xfId="0" applyFont="1" applyFill="1" applyBorder="1" applyAlignment="1">
      <alignment vertical="center"/>
    </xf>
    <xf numFmtId="0" fontId="63" fillId="4" borderId="65" xfId="0" applyFont="1" applyFill="1" applyBorder="1" applyAlignment="1">
      <alignment vertical="center"/>
    </xf>
    <xf numFmtId="0" fontId="14" fillId="4" borderId="66" xfId="0" applyFont="1" applyFill="1" applyBorder="1" applyAlignment="1">
      <alignment vertical="center"/>
    </xf>
    <xf numFmtId="0" fontId="4" fillId="0" borderId="0" xfId="0" applyFont="1" applyBorder="1" applyAlignment="1">
      <alignment horizontal="left" vertical="center"/>
    </xf>
    <xf numFmtId="165" fontId="4" fillId="0" borderId="0" xfId="0" applyNumberFormat="1" applyFont="1" applyBorder="1" applyAlignment="1">
      <alignment vertical="center"/>
    </xf>
    <xf numFmtId="3" fontId="4" fillId="0" borderId="0" xfId="0" applyNumberFormat="1" applyFont="1" applyBorder="1" applyAlignment="1">
      <alignment vertical="center"/>
    </xf>
    <xf numFmtId="0" fontId="4" fillId="0" borderId="0" xfId="0" applyNumberFormat="1" applyFont="1" applyBorder="1" applyAlignment="1">
      <alignment vertical="center"/>
    </xf>
    <xf numFmtId="9" fontId="4" fillId="0" borderId="0" xfId="0" applyNumberFormat="1" applyFont="1" applyBorder="1" applyAlignment="1">
      <alignment vertical="center"/>
    </xf>
    <xf numFmtId="0" fontId="18" fillId="4" borderId="63" xfId="6" applyNumberFormat="1" applyFont="1" applyFill="1" applyBorder="1" applyAlignment="1">
      <alignment horizontal="right" vertical="center"/>
    </xf>
    <xf numFmtId="165" fontId="18" fillId="4" borderId="63" xfId="6" applyNumberFormat="1" applyFont="1" applyFill="1" applyBorder="1" applyAlignment="1">
      <alignment horizontal="left" vertical="center"/>
    </xf>
    <xf numFmtId="0" fontId="47" fillId="0" borderId="0" xfId="0" applyFont="1" applyBorder="1" applyAlignment="1">
      <alignment horizontal="left" vertical="center"/>
    </xf>
    <xf numFmtId="165" fontId="47" fillId="0" borderId="0" xfId="0" applyNumberFormat="1" applyFont="1" applyBorder="1" applyAlignment="1">
      <alignment vertical="center"/>
    </xf>
    <xf numFmtId="3" fontId="47" fillId="0" borderId="0" xfId="0" applyNumberFormat="1" applyFont="1" applyBorder="1" applyAlignment="1">
      <alignment vertical="center"/>
    </xf>
    <xf numFmtId="0" fontId="47" fillId="0" borderId="0" xfId="0" applyNumberFormat="1" applyFont="1" applyBorder="1" applyAlignment="1">
      <alignment vertical="center"/>
    </xf>
    <xf numFmtId="9" fontId="47" fillId="0" borderId="0" xfId="0" applyNumberFormat="1" applyFont="1" applyBorder="1" applyAlignment="1">
      <alignment vertical="center"/>
    </xf>
    <xf numFmtId="0" fontId="0" fillId="0" borderId="10" xfId="0" applyBorder="1" applyAlignment="1">
      <alignment vertical="center"/>
    </xf>
    <xf numFmtId="0" fontId="0" fillId="0" borderId="39" xfId="0" applyBorder="1" applyAlignment="1">
      <alignment vertical="center"/>
    </xf>
    <xf numFmtId="0" fontId="0" fillId="0" borderId="40" xfId="0" applyBorder="1" applyAlignment="1">
      <alignment vertical="center"/>
    </xf>
    <xf numFmtId="0" fontId="13" fillId="0" borderId="0" xfId="0" applyFont="1" applyFill="1" applyBorder="1" applyAlignment="1">
      <alignment horizontal="center" vertical="center" wrapText="1"/>
    </xf>
    <xf numFmtId="0" fontId="60" fillId="0" borderId="0" xfId="0" applyFont="1" applyFill="1" applyBorder="1" applyAlignment="1">
      <alignment vertical="center"/>
    </xf>
    <xf numFmtId="0" fontId="9" fillId="0" borderId="12" xfId="0" applyFont="1" applyBorder="1" applyAlignment="1">
      <alignment vertical="center"/>
    </xf>
    <xf numFmtId="0" fontId="0" fillId="0" borderId="13" xfId="0" applyFill="1" applyBorder="1" applyAlignment="1">
      <alignment vertical="center"/>
    </xf>
    <xf numFmtId="0" fontId="9" fillId="0" borderId="14" xfId="0" applyFont="1" applyBorder="1" applyAlignment="1">
      <alignment vertical="center"/>
    </xf>
    <xf numFmtId="0" fontId="9" fillId="0" borderId="14" xfId="0" applyFont="1" applyFill="1" applyBorder="1" applyAlignment="1">
      <alignment vertical="center"/>
    </xf>
    <xf numFmtId="0" fontId="14" fillId="5" borderId="13" xfId="0" applyFont="1" applyFill="1" applyBorder="1" applyAlignment="1">
      <alignment vertical="center"/>
    </xf>
    <xf numFmtId="0" fontId="64" fillId="0" borderId="14" xfId="0" applyFont="1" applyFill="1" applyBorder="1" applyAlignment="1">
      <alignment vertical="center"/>
    </xf>
    <xf numFmtId="0" fontId="64" fillId="0" borderId="14" xfId="0" applyFont="1" applyBorder="1" applyAlignment="1">
      <alignment vertical="center"/>
    </xf>
    <xf numFmtId="0" fontId="0" fillId="5" borderId="13" xfId="0" applyFill="1" applyBorder="1" applyAlignment="1">
      <alignment vertical="center"/>
    </xf>
    <xf numFmtId="0" fontId="0" fillId="5" borderId="13" xfId="0" applyFont="1" applyFill="1" applyBorder="1" applyAlignment="1">
      <alignment vertical="center"/>
    </xf>
    <xf numFmtId="0" fontId="0" fillId="0" borderId="14" xfId="0" applyFont="1" applyBorder="1" applyAlignment="1">
      <alignment vertical="center"/>
    </xf>
    <xf numFmtId="0" fontId="9" fillId="0" borderId="41" xfId="0" applyFont="1" applyBorder="1" applyAlignment="1">
      <alignment vertical="center"/>
    </xf>
    <xf numFmtId="0" fontId="0" fillId="0" borderId="2" xfId="0" applyFill="1" applyBorder="1" applyAlignment="1">
      <alignment vertical="center"/>
    </xf>
    <xf numFmtId="0" fontId="0" fillId="0" borderId="6" xfId="0" applyFill="1" applyBorder="1" applyAlignment="1">
      <alignment vertical="center"/>
    </xf>
    <xf numFmtId="0" fontId="0" fillId="0" borderId="3" xfId="0" applyFill="1" applyBorder="1" applyAlignment="1">
      <alignment vertical="center"/>
    </xf>
    <xf numFmtId="0" fontId="18" fillId="4" borderId="67" xfId="6" applyNumberFormat="1" applyFont="1" applyFill="1" applyBorder="1" applyAlignment="1">
      <alignment horizontal="right" vertical="center"/>
    </xf>
    <xf numFmtId="9" fontId="9" fillId="0" borderId="0" xfId="8" applyFont="1" applyBorder="1" applyAlignment="1">
      <alignment vertical="center"/>
    </xf>
    <xf numFmtId="0" fontId="52" fillId="0" borderId="1" xfId="0" applyFont="1" applyFill="1" applyBorder="1" applyAlignment="1" applyProtection="1">
      <alignment wrapText="1"/>
      <protection locked="0"/>
    </xf>
    <xf numFmtId="15" fontId="9" fillId="0" borderId="0" xfId="0" applyNumberFormat="1" applyFont="1" applyFill="1" applyBorder="1" applyAlignment="1">
      <alignment horizontal="right" vertical="center" wrapText="1"/>
    </xf>
    <xf numFmtId="0" fontId="66" fillId="0" borderId="0" xfId="0" applyFont="1"/>
    <xf numFmtId="0" fontId="52" fillId="0" borderId="68" xfId="0" applyFont="1" applyBorder="1" applyAlignment="1">
      <alignment horizontal="center" vertical="center" textRotation="90"/>
    </xf>
    <xf numFmtId="0" fontId="52" fillId="0" borderId="58" xfId="0" applyFont="1" applyBorder="1" applyAlignment="1">
      <alignment horizontal="center" vertical="center" textRotation="90"/>
    </xf>
    <xf numFmtId="0" fontId="0" fillId="5" borderId="26" xfId="0" applyFill="1" applyBorder="1"/>
    <xf numFmtId="0" fontId="0" fillId="0" borderId="28" xfId="0" applyBorder="1"/>
    <xf numFmtId="2" fontId="12" fillId="0" borderId="37" xfId="6" applyNumberFormat="1" applyFont="1" applyFill="1" applyBorder="1" applyAlignment="1">
      <alignment vertical="center"/>
    </xf>
    <xf numFmtId="2" fontId="12" fillId="0" borderId="38" xfId="6" applyNumberFormat="1" applyFont="1" applyFill="1" applyBorder="1" applyAlignment="1">
      <alignment vertical="center"/>
    </xf>
    <xf numFmtId="165" fontId="44" fillId="0" borderId="0" xfId="7" applyNumberFormat="1" applyFont="1" applyFill="1" applyBorder="1" applyAlignment="1">
      <alignment horizontal="center" vertical="center"/>
    </xf>
    <xf numFmtId="0" fontId="67" fillId="0" borderId="0" xfId="0" applyFont="1" applyFill="1" applyBorder="1" applyAlignment="1">
      <alignment horizontal="left" vertical="center" wrapText="1"/>
    </xf>
    <xf numFmtId="0" fontId="4" fillId="0" borderId="0" xfId="0" applyFont="1" applyFill="1" applyBorder="1" applyAlignment="1">
      <alignment horizontal="center" vertical="center"/>
    </xf>
    <xf numFmtId="0" fontId="0" fillId="0" borderId="0" xfId="0" applyFont="1" applyFill="1" applyBorder="1" applyAlignment="1">
      <alignment vertical="center"/>
    </xf>
    <xf numFmtId="0" fontId="7" fillId="0" borderId="0" xfId="6" applyFont="1" applyFill="1" applyBorder="1" applyAlignment="1">
      <alignment horizontal="left" vertical="center"/>
    </xf>
    <xf numFmtId="0" fontId="7" fillId="0" borderId="0" xfId="6" applyFont="1" applyFill="1" applyBorder="1" applyAlignment="1">
      <alignment horizontal="center" vertical="center"/>
    </xf>
    <xf numFmtId="0" fontId="21" fillId="0" borderId="0" xfId="6" applyFont="1" applyFill="1" applyBorder="1" applyAlignment="1">
      <alignment horizontal="center" vertical="center"/>
    </xf>
    <xf numFmtId="0" fontId="30" fillId="0" borderId="0" xfId="0" applyFont="1" applyFill="1" applyBorder="1" applyAlignment="1">
      <alignment horizontal="center" vertical="center"/>
    </xf>
    <xf numFmtId="0" fontId="0" fillId="0" borderId="0" xfId="0" applyFont="1" applyFill="1" applyBorder="1" applyAlignment="1">
      <alignment vertical="center" textRotation="90"/>
    </xf>
    <xf numFmtId="169" fontId="9" fillId="0" borderId="0" xfId="0" applyNumberFormat="1" applyFont="1" applyFill="1" applyBorder="1" applyAlignment="1">
      <alignment vertical="center"/>
    </xf>
    <xf numFmtId="1" fontId="9" fillId="0" borderId="0" xfId="0" applyNumberFormat="1" applyFont="1" applyFill="1" applyBorder="1" applyAlignment="1">
      <alignment horizontal="center" vertical="center"/>
    </xf>
    <xf numFmtId="0" fontId="9" fillId="0" borderId="0" xfId="0" applyNumberFormat="1" applyFont="1" applyFill="1" applyBorder="1" applyAlignment="1">
      <alignment horizontal="center" vertical="center"/>
    </xf>
    <xf numFmtId="0" fontId="9" fillId="0" borderId="0" xfId="0" applyFont="1" applyFill="1" applyBorder="1" applyAlignment="1">
      <alignment vertical="center" textRotation="90"/>
    </xf>
    <xf numFmtId="0" fontId="9" fillId="0" borderId="0" xfId="0" quotePrefix="1" applyFont="1" applyFill="1" applyBorder="1" applyAlignment="1">
      <alignment horizontal="left" vertical="center" wrapText="1"/>
    </xf>
    <xf numFmtId="168" fontId="9" fillId="0" borderId="0" xfId="1" applyNumberFormat="1" applyFont="1" applyFill="1" applyBorder="1" applyAlignment="1">
      <alignment vertical="center" wrapText="1"/>
    </xf>
    <xf numFmtId="169" fontId="9" fillId="0" borderId="0" xfId="0" quotePrefix="1" applyNumberFormat="1" applyFont="1" applyFill="1" applyBorder="1" applyAlignment="1">
      <alignment horizontal="right" vertical="center" wrapText="1"/>
    </xf>
    <xf numFmtId="0" fontId="9" fillId="0" borderId="0" xfId="0" quotePrefix="1" applyFont="1" applyFill="1" applyBorder="1" applyAlignment="1">
      <alignment vertical="center"/>
    </xf>
    <xf numFmtId="1"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right" vertical="center"/>
    </xf>
    <xf numFmtId="0" fontId="9" fillId="0" borderId="0" xfId="0" quotePrefix="1" applyFont="1" applyFill="1" applyBorder="1" applyAlignment="1">
      <alignment horizontal="center" vertical="center" wrapText="1"/>
    </xf>
    <xf numFmtId="169" fontId="9" fillId="0" borderId="0" xfId="0" applyNumberFormat="1" applyFont="1" applyFill="1" applyBorder="1" applyAlignment="1">
      <alignment horizontal="right" vertical="center"/>
    </xf>
    <xf numFmtId="169" fontId="9" fillId="0" borderId="0" xfId="0" applyNumberFormat="1" applyFont="1" applyFill="1" applyBorder="1" applyAlignment="1">
      <alignment horizontal="right" vertical="center" wrapText="1"/>
    </xf>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169" fontId="9" fillId="0" borderId="0" xfId="0" applyNumberFormat="1" applyFont="1" applyFill="1" applyBorder="1" applyAlignment="1">
      <alignment horizontal="left" vertical="center" wrapText="1"/>
    </xf>
    <xf numFmtId="0" fontId="67" fillId="0" borderId="0" xfId="0" applyFont="1" applyFill="1" applyBorder="1" applyAlignment="1">
      <alignment horizontal="right" vertical="center"/>
    </xf>
    <xf numFmtId="0" fontId="67" fillId="0" borderId="0" xfId="0" applyFont="1" applyFill="1" applyBorder="1" applyAlignment="1">
      <alignment horizontal="left" vertical="center"/>
    </xf>
    <xf numFmtId="1" fontId="0" fillId="0" borderId="0" xfId="0" applyNumberFormat="1" applyFont="1" applyFill="1" applyBorder="1" applyAlignment="1">
      <alignment vertical="center"/>
    </xf>
    <xf numFmtId="0" fontId="23" fillId="0" borderId="0" xfId="6" applyFont="1" applyFill="1" applyBorder="1" applyAlignment="1">
      <alignment horizontal="left" vertical="center"/>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left" vertical="center" wrapText="1"/>
    </xf>
    <xf numFmtId="0" fontId="9" fillId="0" borderId="0" xfId="0" applyFont="1" applyBorder="1" applyAlignment="1">
      <alignment textRotation="90"/>
    </xf>
    <xf numFmtId="0" fontId="9" fillId="0" borderId="1" xfId="0" applyFont="1" applyFill="1" applyBorder="1"/>
    <xf numFmtId="0" fontId="9" fillId="0" borderId="3" xfId="0" applyFont="1" applyBorder="1"/>
    <xf numFmtId="0" fontId="9" fillId="0" borderId="1" xfId="0" applyFont="1" applyBorder="1"/>
    <xf numFmtId="0" fontId="9" fillId="0" borderId="2" xfId="0" applyFont="1" applyBorder="1"/>
    <xf numFmtId="0" fontId="45" fillId="0" borderId="16" xfId="6" applyFont="1" applyFill="1" applyBorder="1" applyAlignment="1">
      <alignment horizontal="left" vertical="center"/>
    </xf>
    <xf numFmtId="0" fontId="12" fillId="0" borderId="37" xfId="6" applyFont="1" applyFill="1" applyBorder="1" applyAlignment="1">
      <alignment horizontal="left" vertical="center"/>
    </xf>
    <xf numFmtId="0" fontId="12" fillId="0" borderId="37" xfId="6" applyFont="1" applyFill="1" applyBorder="1" applyAlignment="1">
      <alignment horizontal="right" vertical="center"/>
    </xf>
    <xf numFmtId="2" fontId="12" fillId="0" borderId="37" xfId="6" applyNumberFormat="1" applyFont="1" applyFill="1" applyBorder="1" applyAlignment="1">
      <alignment horizontal="right" vertical="center"/>
    </xf>
    <xf numFmtId="0" fontId="12" fillId="0" borderId="37" xfId="6" applyFont="1" applyFill="1" applyBorder="1" applyAlignment="1">
      <alignment vertical="center"/>
    </xf>
    <xf numFmtId="14" fontId="12" fillId="0" borderId="37" xfId="6" applyNumberFormat="1" applyFont="1" applyFill="1" applyBorder="1" applyAlignment="1">
      <alignment horizontal="right" vertical="center"/>
    </xf>
    <xf numFmtId="1" fontId="12" fillId="0" borderId="37" xfId="6" applyNumberFormat="1" applyFont="1" applyFill="1" applyBorder="1" applyAlignment="1">
      <alignment horizontal="right" vertical="center"/>
    </xf>
    <xf numFmtId="0" fontId="12" fillId="0" borderId="38" xfId="6" applyFont="1" applyFill="1" applyBorder="1" applyAlignment="1">
      <alignment horizontal="left" vertical="center"/>
    </xf>
    <xf numFmtId="0" fontId="56" fillId="0" borderId="38" xfId="6" applyFont="1" applyFill="1" applyBorder="1" applyAlignment="1">
      <alignment horizontal="left" vertical="center"/>
    </xf>
    <xf numFmtId="2" fontId="12" fillId="0" borderId="0" xfId="6" applyNumberFormat="1" applyFont="1" applyFill="1" applyBorder="1" applyAlignment="1">
      <alignment vertical="center"/>
    </xf>
    <xf numFmtId="0" fontId="12" fillId="0" borderId="38" xfId="6" applyFont="1" applyFill="1" applyBorder="1" applyAlignment="1">
      <alignment horizontal="right" vertical="center"/>
    </xf>
    <xf numFmtId="2" fontId="12" fillId="0" borderId="38" xfId="6" applyNumberFormat="1" applyFont="1" applyFill="1" applyBorder="1" applyAlignment="1">
      <alignment horizontal="right" vertical="center"/>
    </xf>
    <xf numFmtId="0" fontId="12" fillId="0" borderId="38" xfId="6" applyFont="1" applyFill="1" applyBorder="1" applyAlignment="1">
      <alignment vertical="center"/>
    </xf>
    <xf numFmtId="0" fontId="9" fillId="0" borderId="0" xfId="0" applyFont="1" applyFill="1" applyAlignment="1">
      <alignment horizontal="left"/>
    </xf>
    <xf numFmtId="0" fontId="9" fillId="0" borderId="0" xfId="0" applyFont="1" applyFill="1" applyAlignment="1">
      <alignment horizontal="right"/>
    </xf>
    <xf numFmtId="1" fontId="9" fillId="0" borderId="0" xfId="0" applyNumberFormat="1" applyFont="1" applyFill="1" applyAlignment="1"/>
    <xf numFmtId="2" fontId="9" fillId="0" borderId="0" xfId="0" applyNumberFormat="1" applyFont="1" applyFill="1" applyAlignment="1">
      <alignment horizontal="right"/>
    </xf>
    <xf numFmtId="14" fontId="9" fillId="0" borderId="0" xfId="0" applyNumberFormat="1" applyFont="1" applyFill="1" applyAlignment="1">
      <alignment horizontal="right"/>
    </xf>
    <xf numFmtId="1" fontId="9" fillId="0" borderId="0" xfId="0" applyNumberFormat="1" applyFont="1" applyFill="1" applyAlignment="1">
      <alignment horizontal="right"/>
    </xf>
    <xf numFmtId="0" fontId="9" fillId="0" borderId="0" xfId="0" applyFont="1" applyFill="1" applyAlignment="1">
      <alignment horizontal="left" wrapText="1"/>
    </xf>
    <xf numFmtId="165" fontId="9" fillId="0" borderId="0" xfId="7" applyNumberFormat="1" applyFont="1" applyFill="1" applyAlignment="1"/>
    <xf numFmtId="0" fontId="9" fillId="0" borderId="37" xfId="0" applyFont="1" applyFill="1" applyBorder="1" applyAlignment="1">
      <alignment horizontal="left" wrapText="1"/>
    </xf>
    <xf numFmtId="0" fontId="9" fillId="0" borderId="37" xfId="0" applyFont="1" applyFill="1" applyBorder="1" applyAlignment="1"/>
    <xf numFmtId="165" fontId="9" fillId="0" borderId="37" xfId="7" applyNumberFormat="1" applyFont="1" applyFill="1" applyBorder="1" applyAlignment="1"/>
    <xf numFmtId="0" fontId="9" fillId="0" borderId="22" xfId="0" applyFont="1" applyFill="1" applyBorder="1" applyAlignment="1">
      <alignment horizontal="right"/>
    </xf>
    <xf numFmtId="0" fontId="9" fillId="0" borderId="38" xfId="0" applyFont="1" applyFill="1" applyBorder="1" applyAlignment="1"/>
    <xf numFmtId="165" fontId="9" fillId="0" borderId="38" xfId="7" applyNumberFormat="1" applyFont="1" applyFill="1" applyBorder="1" applyAlignment="1"/>
    <xf numFmtId="0" fontId="9" fillId="0" borderId="15" xfId="0" applyFont="1" applyFill="1" applyBorder="1" applyAlignment="1">
      <alignment horizontal="right"/>
    </xf>
    <xf numFmtId="0" fontId="9" fillId="0" borderId="0" xfId="5"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xf numFmtId="0" fontId="9" fillId="0" borderId="0" xfId="0" applyFont="1" applyFill="1" applyAlignment="1">
      <alignment wrapText="1"/>
    </xf>
    <xf numFmtId="0" fontId="9" fillId="0" borderId="0" xfId="0" applyFont="1" applyFill="1" applyAlignment="1">
      <alignment horizontal="right" wrapText="1"/>
    </xf>
    <xf numFmtId="0" fontId="44" fillId="0" borderId="0" xfId="0" applyFont="1" applyFill="1" applyAlignment="1">
      <alignment horizontal="center" vertical="center"/>
    </xf>
    <xf numFmtId="14" fontId="44" fillId="0" borderId="0" xfId="0" applyNumberFormat="1" applyFont="1" applyFill="1" applyBorder="1" applyAlignment="1">
      <alignment horizontal="center" vertical="center"/>
    </xf>
    <xf numFmtId="0" fontId="21" fillId="0" borderId="0" xfId="0" applyFont="1" applyFill="1"/>
    <xf numFmtId="0" fontId="0" fillId="5" borderId="0" xfId="0" applyFont="1" applyFill="1"/>
    <xf numFmtId="0" fontId="0" fillId="0" borderId="0" xfId="0" applyFont="1" applyBorder="1"/>
    <xf numFmtId="0" fontId="0" fillId="18" borderId="37" xfId="0" applyFont="1" applyFill="1" applyBorder="1"/>
    <xf numFmtId="0" fontId="0" fillId="5" borderId="37" xfId="0" applyFont="1" applyFill="1" applyBorder="1"/>
    <xf numFmtId="0" fontId="0" fillId="0" borderId="0" xfId="0" applyFont="1"/>
    <xf numFmtId="0" fontId="0" fillId="5" borderId="0" xfId="0" applyFont="1" applyFill="1" applyBorder="1"/>
    <xf numFmtId="0" fontId="0" fillId="20" borderId="0" xfId="0" applyFont="1" applyFill="1" applyBorder="1"/>
    <xf numFmtId="0" fontId="0" fillId="18" borderId="1" xfId="0" applyFont="1" applyFill="1" applyBorder="1"/>
    <xf numFmtId="0" fontId="0" fillId="6" borderId="0" xfId="0" applyFont="1" applyFill="1" applyBorder="1"/>
    <xf numFmtId="0" fontId="0" fillId="0" borderId="0" xfId="0" quotePrefix="1" applyFont="1" applyFill="1" applyBorder="1"/>
    <xf numFmtId="0" fontId="0" fillId="6" borderId="45" xfId="0" applyFont="1" applyFill="1" applyBorder="1"/>
    <xf numFmtId="1" fontId="0" fillId="5" borderId="0" xfId="0" applyNumberFormat="1" applyFont="1" applyFill="1"/>
    <xf numFmtId="0" fontId="0" fillId="6" borderId="0" xfId="0" applyFont="1" applyFill="1"/>
    <xf numFmtId="0" fontId="0" fillId="20" borderId="0" xfId="0" applyFont="1" applyFill="1"/>
    <xf numFmtId="0" fontId="0" fillId="18" borderId="3" xfId="0" applyFont="1" applyFill="1" applyBorder="1"/>
    <xf numFmtId="165" fontId="10" fillId="21" borderId="0" xfId="0" applyNumberFormat="1" applyFont="1" applyFill="1" applyBorder="1" applyAlignment="1">
      <alignment horizontal="right" vertical="center"/>
    </xf>
    <xf numFmtId="0" fontId="52" fillId="0" borderId="17" xfId="0" applyFont="1" applyFill="1" applyBorder="1" applyProtection="1">
      <protection locked="0"/>
    </xf>
    <xf numFmtId="0" fontId="52" fillId="0" borderId="1" xfId="0" applyFont="1" applyFill="1" applyBorder="1" applyAlignment="1" applyProtection="1">
      <alignment horizontal="right" vertical="center"/>
      <protection locked="0"/>
    </xf>
    <xf numFmtId="0" fontId="52" fillId="0" borderId="18" xfId="0" applyFont="1" applyFill="1" applyBorder="1" applyAlignment="1" applyProtection="1">
      <alignment horizontal="right" vertical="center"/>
      <protection locked="0"/>
    </xf>
    <xf numFmtId="0" fontId="52" fillId="0" borderId="18" xfId="0" applyFont="1" applyFill="1" applyBorder="1" applyProtection="1">
      <protection locked="0"/>
    </xf>
    <xf numFmtId="0" fontId="52" fillId="0" borderId="17" xfId="0" applyFont="1" applyFill="1" applyBorder="1" applyAlignment="1" applyProtection="1">
      <alignment horizontal="right" vertical="center"/>
      <protection locked="0"/>
    </xf>
    <xf numFmtId="0" fontId="52" fillId="0" borderId="17" xfId="0" applyFont="1" applyFill="1" applyBorder="1" applyAlignment="1" applyProtection="1">
      <alignment horizontal="right"/>
      <protection locked="0"/>
    </xf>
    <xf numFmtId="0" fontId="52" fillId="0" borderId="1" xfId="0" applyFont="1" applyFill="1" applyBorder="1" applyAlignment="1" applyProtection="1">
      <alignment horizontal="right"/>
      <protection locked="0"/>
    </xf>
    <xf numFmtId="0" fontId="52" fillId="0" borderId="18" xfId="0" applyFont="1" applyFill="1" applyBorder="1" applyAlignment="1" applyProtection="1">
      <alignment horizontal="right"/>
      <protection locked="0"/>
    </xf>
    <xf numFmtId="0" fontId="19" fillId="0" borderId="3" xfId="0" applyFont="1" applyFill="1" applyBorder="1" applyProtection="1">
      <protection locked="0"/>
    </xf>
    <xf numFmtId="0" fontId="46" fillId="0" borderId="29" xfId="0" applyFont="1" applyFill="1" applyBorder="1" applyProtection="1">
      <protection locked="0"/>
    </xf>
    <xf numFmtId="0" fontId="0" fillId="0" borderId="5" xfId="0" quotePrefix="1" applyFont="1" applyFill="1" applyBorder="1" applyAlignment="1">
      <alignment horizontal="center" vertical="center" wrapText="1"/>
    </xf>
    <xf numFmtId="164" fontId="64" fillId="0" borderId="0" xfId="0" applyNumberFormat="1" applyFont="1" applyBorder="1" applyAlignment="1">
      <alignment vertical="center"/>
    </xf>
    <xf numFmtId="0" fontId="3" fillId="0" borderId="37" xfId="0" pivotButton="1" applyFont="1" applyBorder="1" applyAlignment="1">
      <alignment vertical="center"/>
    </xf>
    <xf numFmtId="0" fontId="52" fillId="0" borderId="68" xfId="0" applyFont="1" applyBorder="1" applyAlignment="1">
      <alignment horizontal="center" vertical="center" textRotation="90" wrapText="1"/>
    </xf>
    <xf numFmtId="0" fontId="12" fillId="0" borderId="0" xfId="0" applyFont="1" applyFill="1" applyBorder="1" applyAlignment="1">
      <alignment vertical="center"/>
    </xf>
    <xf numFmtId="0" fontId="12" fillId="4" borderId="1" xfId="0" applyFont="1" applyFill="1" applyBorder="1" applyAlignment="1">
      <alignment vertical="center"/>
    </xf>
    <xf numFmtId="0" fontId="9" fillId="0" borderId="1" xfId="0" applyFont="1" applyBorder="1" applyAlignment="1">
      <alignment textRotation="90"/>
    </xf>
    <xf numFmtId="0" fontId="4" fillId="0" borderId="0" xfId="0" applyFont="1" applyFill="1" applyBorder="1" applyAlignment="1">
      <alignment horizontal="left" vertical="center"/>
    </xf>
    <xf numFmtId="0" fontId="70" fillId="0" borderId="0" xfId="0" applyFont="1" applyBorder="1"/>
    <xf numFmtId="0" fontId="70" fillId="0" borderId="0" xfId="0" applyFont="1" applyFill="1" applyBorder="1"/>
    <xf numFmtId="1" fontId="21" fillId="25" borderId="0" xfId="0" applyNumberFormat="1" applyFont="1" applyFill="1" applyBorder="1" applyAlignment="1">
      <alignment horizontal="center" vertical="center"/>
    </xf>
    <xf numFmtId="0" fontId="9" fillId="0" borderId="0" xfId="0" applyFont="1" applyFill="1" applyBorder="1" applyAlignment="1">
      <alignment horizontal="center" vertical="center" wrapText="1"/>
    </xf>
    <xf numFmtId="0" fontId="70" fillId="0" borderId="0" xfId="0" applyFont="1" applyBorder="1" applyAlignment="1">
      <alignment horizontal="center"/>
    </xf>
    <xf numFmtId="0" fontId="0" fillId="5" borderId="10" xfId="0" applyFill="1" applyBorder="1" applyAlignment="1">
      <alignment horizontal="left"/>
    </xf>
    <xf numFmtId="0" fontId="0" fillId="5" borderId="39" xfId="0" applyFill="1" applyBorder="1" applyAlignment="1">
      <alignment horizontal="left"/>
    </xf>
    <xf numFmtId="49" fontId="9" fillId="3" borderId="0" xfId="0" applyNumberFormat="1" applyFont="1" applyFill="1" applyBorder="1" applyAlignment="1">
      <alignment vertical="center"/>
    </xf>
    <xf numFmtId="14" fontId="9" fillId="0" borderId="0" xfId="0" applyNumberFormat="1" applyFont="1" applyFill="1" applyBorder="1" applyAlignment="1" applyProtection="1">
      <alignment horizontal="right" vertical="center"/>
    </xf>
    <xf numFmtId="0" fontId="70" fillId="0" borderId="0" xfId="0" applyNumberFormat="1" applyFont="1" applyBorder="1"/>
    <xf numFmtId="0" fontId="72" fillId="0" borderId="0" xfId="0" applyFont="1" applyFill="1" applyBorder="1" applyAlignment="1">
      <alignment vertical="center"/>
    </xf>
    <xf numFmtId="1" fontId="72" fillId="0" borderId="0" xfId="0" applyNumberFormat="1" applyFont="1" applyFill="1" applyBorder="1" applyAlignment="1">
      <alignment horizontal="center" vertical="center"/>
    </xf>
    <xf numFmtId="0" fontId="72" fillId="0" borderId="0" xfId="0" applyNumberFormat="1" applyFont="1" applyFill="1" applyBorder="1" applyAlignment="1">
      <alignment horizontal="center" vertical="center"/>
    </xf>
    <xf numFmtId="0" fontId="72" fillId="0" borderId="0" xfId="0" applyNumberFormat="1" applyFont="1" applyFill="1" applyBorder="1" applyAlignment="1">
      <alignment horizontal="right" vertical="center"/>
    </xf>
    <xf numFmtId="1" fontId="72" fillId="0" borderId="0" xfId="0" applyNumberFormat="1" applyFont="1" applyFill="1" applyBorder="1" applyAlignment="1">
      <alignment horizontal="right" vertical="center"/>
    </xf>
    <xf numFmtId="0" fontId="72" fillId="0" borderId="0" xfId="0" applyFont="1" applyFill="1" applyBorder="1" applyAlignment="1">
      <alignment horizontal="left" vertical="center" wrapText="1"/>
    </xf>
    <xf numFmtId="0" fontId="0" fillId="5" borderId="13" xfId="0" applyFill="1" applyBorder="1" applyAlignment="1">
      <alignment horizontal="left"/>
    </xf>
    <xf numFmtId="0" fontId="50" fillId="0" borderId="0" xfId="0" applyFont="1" applyFill="1" applyBorder="1" applyAlignment="1" applyProtection="1">
      <alignment horizontal="left" vertical="center"/>
      <protection locked="0"/>
    </xf>
    <xf numFmtId="0" fontId="53" fillId="17" borderId="8" xfId="0" applyFont="1" applyFill="1" applyBorder="1" applyProtection="1"/>
    <xf numFmtId="0" fontId="52" fillId="0" borderId="14" xfId="0" applyFont="1" applyFill="1" applyBorder="1" applyAlignment="1" applyProtection="1">
      <alignment horizontal="center" vertical="center"/>
      <protection locked="0"/>
    </xf>
    <xf numFmtId="0" fontId="9" fillId="2" borderId="0" xfId="0" applyFont="1" applyFill="1"/>
    <xf numFmtId="0" fontId="9" fillId="2" borderId="0" xfId="0" applyFont="1" applyFill="1" applyBorder="1"/>
    <xf numFmtId="0" fontId="71" fillId="0" borderId="0" xfId="17" applyFont="1" applyFill="1" applyBorder="1" applyAlignment="1">
      <alignment vertical="center"/>
    </xf>
    <xf numFmtId="49" fontId="9" fillId="0" borderId="72" xfId="0" applyNumberFormat="1" applyFont="1" applyFill="1" applyBorder="1" applyAlignment="1">
      <alignment horizontal="left" vertical="center"/>
    </xf>
    <xf numFmtId="0" fontId="71" fillId="0" borderId="0" xfId="19" applyFont="1" applyFill="1" applyBorder="1" applyAlignment="1">
      <alignment vertical="center"/>
    </xf>
    <xf numFmtId="49" fontId="9" fillId="0" borderId="72" xfId="0" applyNumberFormat="1" applyFont="1" applyFill="1" applyBorder="1" applyAlignment="1">
      <alignment horizontal="left" vertical="center" wrapText="1"/>
    </xf>
    <xf numFmtId="0" fontId="9" fillId="0" borderId="72" xfId="0" applyNumberFormat="1" applyFont="1" applyFill="1" applyBorder="1" applyAlignment="1">
      <alignment horizontal="left" vertical="center"/>
    </xf>
    <xf numFmtId="0" fontId="9" fillId="0" borderId="72" xfId="0" applyFont="1" applyFill="1" applyBorder="1" applyAlignment="1">
      <alignment horizontal="left" vertical="center"/>
    </xf>
    <xf numFmtId="0" fontId="71" fillId="0" borderId="0" xfId="13" applyFont="1" applyFill="1" applyBorder="1" applyAlignment="1">
      <alignment horizontal="right"/>
    </xf>
    <xf numFmtId="0" fontId="52" fillId="0" borderId="2" xfId="0" applyFont="1" applyFill="1" applyBorder="1" applyProtection="1">
      <protection locked="0"/>
    </xf>
    <xf numFmtId="49" fontId="9" fillId="0" borderId="0" xfId="6" applyNumberFormat="1" applyFont="1" applyFill="1" applyBorder="1" applyAlignment="1">
      <alignment horizontal="left" vertical="center"/>
    </xf>
    <xf numFmtId="0" fontId="0" fillId="0" borderId="0" xfId="0" applyAlignment="1">
      <alignment horizontal="left" indent="1"/>
    </xf>
    <xf numFmtId="165" fontId="0" fillId="18" borderId="34" xfId="0" applyNumberFormat="1" applyFill="1" applyBorder="1"/>
    <xf numFmtId="49" fontId="9" fillId="22" borderId="44" xfId="0" applyNumberFormat="1" applyFont="1" applyFill="1" applyBorder="1" applyAlignment="1">
      <alignment vertical="center"/>
    </xf>
    <xf numFmtId="165" fontId="9" fillId="0" borderId="0" xfId="7" quotePrefix="1" applyNumberFormat="1" applyFont="1" applyFill="1" applyBorder="1" applyAlignment="1">
      <alignment vertical="center"/>
    </xf>
    <xf numFmtId="0" fontId="52" fillId="0" borderId="0" xfId="0" applyFont="1" applyFill="1" applyBorder="1" applyAlignment="1">
      <alignment vertical="center"/>
    </xf>
    <xf numFmtId="3" fontId="12" fillId="0" borderId="0" xfId="18" applyNumberFormat="1" applyFont="1" applyFill="1" applyBorder="1" applyAlignment="1">
      <alignment horizontal="center" vertical="center"/>
    </xf>
    <xf numFmtId="0" fontId="9" fillId="0" borderId="0" xfId="18" applyFont="1" applyFill="1" applyBorder="1" applyAlignment="1">
      <alignment horizontal="left" vertical="center"/>
    </xf>
    <xf numFmtId="0" fontId="12" fillId="0" borderId="0" xfId="18" applyFont="1" applyFill="1" applyBorder="1" applyAlignment="1">
      <alignment horizontal="center" vertical="center"/>
    </xf>
    <xf numFmtId="165" fontId="9" fillId="0" borderId="0" xfId="18" applyNumberFormat="1" applyFont="1" applyFill="1" applyBorder="1" applyAlignment="1">
      <alignment horizontal="left" vertical="center"/>
    </xf>
    <xf numFmtId="0" fontId="12" fillId="0" borderId="0" xfId="0" applyFont="1" applyAlignment="1">
      <alignment vertical="center"/>
    </xf>
    <xf numFmtId="0" fontId="5" fillId="0" borderId="44" xfId="0" applyFont="1" applyFill="1" applyBorder="1" applyAlignment="1">
      <alignment horizontal="center" vertical="center"/>
    </xf>
    <xf numFmtId="165" fontId="0" fillId="20" borderId="38" xfId="0" applyNumberFormat="1" applyFill="1" applyBorder="1"/>
    <xf numFmtId="0" fontId="34" fillId="0" borderId="0" xfId="0" applyFont="1" applyAlignment="1">
      <alignment wrapText="1"/>
    </xf>
    <xf numFmtId="10" fontId="0" fillId="0" borderId="0" xfId="0" applyNumberFormat="1"/>
    <xf numFmtId="0" fontId="73" fillId="0" borderId="0" xfId="0" applyFont="1" applyAlignment="1"/>
    <xf numFmtId="0" fontId="73" fillId="0" borderId="0" xfId="0" applyFont="1" applyAlignment="1">
      <alignment vertical="center"/>
    </xf>
    <xf numFmtId="9" fontId="9" fillId="0" borderId="0" xfId="8" applyFont="1" applyFill="1" applyAlignment="1"/>
    <xf numFmtId="0" fontId="0" fillId="0" borderId="0" xfId="0" pivotButton="1" applyAlignment="1">
      <alignment vertical="center"/>
    </xf>
    <xf numFmtId="166" fontId="45" fillId="6" borderId="0" xfId="6" applyNumberFormat="1" applyFont="1" applyFill="1" applyBorder="1" applyAlignment="1">
      <alignment vertical="center"/>
    </xf>
    <xf numFmtId="0" fontId="0" fillId="0" borderId="0" xfId="0" applyNumberFormat="1" applyAlignment="1">
      <alignment vertical="center"/>
    </xf>
    <xf numFmtId="0" fontId="0" fillId="0" borderId="0" xfId="0" pivotButton="1" applyAlignment="1">
      <alignment horizontal="center" vertical="center"/>
    </xf>
    <xf numFmtId="166" fontId="45" fillId="6" borderId="0" xfId="6" applyNumberFormat="1" applyFont="1" applyFill="1" applyBorder="1" applyAlignment="1">
      <alignment horizontal="left" vertical="center"/>
    </xf>
    <xf numFmtId="0" fontId="9" fillId="0" borderId="0" xfId="11" applyFont="1" applyFill="1" applyAlignment="1">
      <alignment horizontal="left" vertical="center" wrapText="1"/>
    </xf>
    <xf numFmtId="14" fontId="9" fillId="0" borderId="0" xfId="0" applyNumberFormat="1" applyFont="1" applyFill="1" applyBorder="1" applyAlignment="1">
      <alignment horizontal="right" vertical="center"/>
    </xf>
    <xf numFmtId="49" fontId="9" fillId="0" borderId="44" xfId="0" applyNumberFormat="1" applyFont="1" applyFill="1" applyBorder="1" applyAlignment="1">
      <alignment horizontal="left" vertical="center"/>
    </xf>
    <xf numFmtId="0" fontId="19" fillId="0" borderId="1" xfId="0" applyFont="1" applyFill="1" applyBorder="1" applyAlignment="1">
      <alignment vertical="center"/>
    </xf>
    <xf numFmtId="0" fontId="19" fillId="0" borderId="2" xfId="0" applyFont="1" applyFill="1" applyBorder="1" applyAlignment="1">
      <alignment vertical="center"/>
    </xf>
    <xf numFmtId="0" fontId="19" fillId="0" borderId="5" xfId="0" applyFont="1" applyFill="1" applyBorder="1" applyProtection="1">
      <protection locked="0"/>
    </xf>
    <xf numFmtId="0" fontId="19" fillId="0" borderId="8" xfId="0" applyFont="1" applyFill="1" applyBorder="1" applyProtection="1">
      <protection locked="0"/>
    </xf>
    <xf numFmtId="0" fontId="19" fillId="0" borderId="6" xfId="0" applyFont="1" applyFill="1" applyBorder="1" applyAlignment="1">
      <alignment vertical="center"/>
    </xf>
    <xf numFmtId="0" fontId="46" fillId="0" borderId="17" xfId="0" applyFont="1" applyFill="1" applyBorder="1" applyAlignment="1" applyProtection="1">
      <alignment horizontal="right" vertical="center"/>
      <protection locked="0"/>
    </xf>
    <xf numFmtId="0" fontId="46" fillId="0" borderId="1" xfId="0" applyFont="1" applyFill="1" applyBorder="1" applyAlignment="1" applyProtection="1">
      <alignment horizontal="right" vertical="center"/>
      <protection locked="0"/>
    </xf>
    <xf numFmtId="0" fontId="46" fillId="0" borderId="18" xfId="0" applyFont="1" applyFill="1" applyBorder="1" applyAlignment="1" applyProtection="1">
      <alignment horizontal="right" vertical="center"/>
      <protection locked="0"/>
    </xf>
    <xf numFmtId="0" fontId="19" fillId="0" borderId="1" xfId="0" applyFont="1" applyFill="1" applyBorder="1" applyProtection="1"/>
    <xf numFmtId="49" fontId="9" fillId="22" borderId="44" xfId="0" applyNumberFormat="1" applyFont="1" applyFill="1" applyBorder="1" applyAlignment="1">
      <alignment horizontal="left" vertical="center"/>
    </xf>
    <xf numFmtId="0" fontId="9" fillId="22" borderId="44" xfId="0" applyFont="1" applyFill="1" applyBorder="1" applyAlignment="1">
      <alignment horizontal="left" vertical="center"/>
    </xf>
    <xf numFmtId="49" fontId="9" fillId="0" borderId="44" xfId="0" applyNumberFormat="1" applyFont="1" applyBorder="1" applyAlignment="1">
      <alignment horizontal="left" vertical="center"/>
    </xf>
    <xf numFmtId="0" fontId="9" fillId="0" borderId="44" xfId="0" applyFont="1" applyBorder="1" applyAlignment="1">
      <alignment horizontal="left" vertical="center"/>
    </xf>
    <xf numFmtId="0" fontId="74" fillId="0" borderId="0" xfId="0" applyFont="1"/>
    <xf numFmtId="169" fontId="21" fillId="0" borderId="1" xfId="0" applyNumberFormat="1" applyFont="1" applyBorder="1" applyAlignment="1">
      <alignment horizontal="right" vertical="center" wrapText="1"/>
    </xf>
    <xf numFmtId="0" fontId="21" fillId="25" borderId="1" xfId="0" applyFont="1" applyFill="1" applyBorder="1" applyAlignment="1">
      <alignment vertical="center"/>
    </xf>
    <xf numFmtId="0" fontId="38" fillId="0" borderId="0" xfId="0" applyFont="1" applyFill="1" applyBorder="1" applyAlignment="1" applyProtection="1">
      <alignment horizontal="left" vertical="center"/>
      <protection locked="0"/>
    </xf>
    <xf numFmtId="43" fontId="9" fillId="0" borderId="0" xfId="7" applyFont="1" applyFill="1" applyBorder="1" applyAlignment="1">
      <alignment vertical="center"/>
    </xf>
    <xf numFmtId="1" fontId="9" fillId="0" borderId="0" xfId="0" applyNumberFormat="1" applyFont="1" applyFill="1" applyAlignment="1">
      <alignment horizontal="center" vertical="center"/>
    </xf>
    <xf numFmtId="49" fontId="21" fillId="0" borderId="0" xfId="0" applyNumberFormat="1" applyFont="1" applyFill="1" applyBorder="1" applyAlignment="1">
      <alignment horizontal="left" vertical="center"/>
    </xf>
    <xf numFmtId="0" fontId="21" fillId="0" borderId="0" xfId="0" applyFont="1" applyFill="1" applyBorder="1" applyAlignment="1">
      <alignment horizontal="left" vertical="center"/>
    </xf>
    <xf numFmtId="0" fontId="21" fillId="22" borderId="0" xfId="0" applyFont="1" applyFill="1" applyBorder="1" applyAlignment="1">
      <alignment horizontal="left" vertical="center"/>
    </xf>
    <xf numFmtId="49" fontId="21" fillId="6" borderId="0" xfId="0" applyNumberFormat="1" applyFont="1" applyFill="1" applyBorder="1" applyAlignment="1">
      <alignment horizontal="left" vertical="center"/>
    </xf>
    <xf numFmtId="0" fontId="9" fillId="6" borderId="0" xfId="0" applyFont="1" applyFill="1" applyBorder="1" applyAlignment="1">
      <alignment vertical="center"/>
    </xf>
    <xf numFmtId="0" fontId="9" fillId="26" borderId="0" xfId="0" applyFont="1" applyFill="1" applyBorder="1" applyAlignment="1">
      <alignment vertical="center"/>
    </xf>
    <xf numFmtId="49" fontId="9" fillId="26" borderId="0" xfId="0" applyNumberFormat="1" applyFont="1" applyFill="1" applyBorder="1" applyAlignment="1">
      <alignment horizontal="left" vertical="center"/>
    </xf>
    <xf numFmtId="169" fontId="9" fillId="26" borderId="0" xfId="0" applyNumberFormat="1" applyFont="1" applyFill="1" applyBorder="1" applyAlignment="1">
      <alignment vertical="center"/>
    </xf>
    <xf numFmtId="169" fontId="9" fillId="6" borderId="0" xfId="0" applyNumberFormat="1" applyFont="1" applyFill="1" applyBorder="1" applyAlignment="1">
      <alignment vertical="center"/>
    </xf>
    <xf numFmtId="49" fontId="9" fillId="6" borderId="0" xfId="0" applyNumberFormat="1" applyFont="1" applyFill="1" applyBorder="1" applyAlignment="1">
      <alignment vertical="center"/>
    </xf>
    <xf numFmtId="0" fontId="9" fillId="0" borderId="0" xfId="0" applyFont="1" applyFill="1" applyBorder="1" applyAlignment="1">
      <alignment vertical="center" wrapText="1"/>
    </xf>
    <xf numFmtId="49" fontId="9" fillId="22" borderId="0" xfId="0" applyNumberFormat="1" applyFont="1" applyFill="1" applyBorder="1" applyAlignment="1">
      <alignment horizontal="left" vertical="center"/>
    </xf>
    <xf numFmtId="0" fontId="9" fillId="6" borderId="0" xfId="0" applyFont="1" applyFill="1" applyBorder="1" applyAlignment="1">
      <alignment vertical="center" wrapText="1"/>
    </xf>
    <xf numFmtId="0" fontId="9" fillId="22" borderId="0" xfId="0" applyFont="1" applyFill="1" applyBorder="1" applyAlignment="1">
      <alignment wrapText="1"/>
    </xf>
    <xf numFmtId="0" fontId="9" fillId="6" borderId="0" xfId="0" applyFont="1" applyFill="1" applyBorder="1" applyAlignment="1">
      <alignment horizontal="left"/>
    </xf>
    <xf numFmtId="49" fontId="9" fillId="6" borderId="0" xfId="0" applyNumberFormat="1" applyFont="1" applyFill="1" applyBorder="1" applyAlignment="1">
      <alignment horizontal="left" vertical="center"/>
    </xf>
    <xf numFmtId="0" fontId="9" fillId="22" borderId="0" xfId="0" applyFont="1" applyFill="1" applyBorder="1"/>
    <xf numFmtId="0" fontId="0" fillId="0" borderId="0" xfId="0" applyBorder="1" applyAlignment="1">
      <alignment horizontal="left" vertical="center"/>
    </xf>
    <xf numFmtId="1" fontId="9" fillId="0" borderId="0" xfId="0" applyNumberFormat="1" applyFont="1" applyFill="1" applyBorder="1" applyAlignment="1">
      <alignment horizontal="left" vertical="top"/>
    </xf>
    <xf numFmtId="0" fontId="52" fillId="0" borderId="21" xfId="0" applyFont="1" applyFill="1" applyBorder="1" applyProtection="1">
      <protection locked="0"/>
    </xf>
    <xf numFmtId="0" fontId="52" fillId="0" borderId="7" xfId="0" applyFont="1" applyFill="1" applyBorder="1" applyProtection="1">
      <protection locked="0"/>
    </xf>
    <xf numFmtId="0" fontId="52" fillId="0" borderId="20" xfId="0" applyFont="1" applyFill="1" applyBorder="1" applyProtection="1">
      <protection locked="0"/>
    </xf>
    <xf numFmtId="0" fontId="52" fillId="0" borderId="15" xfId="0" applyFont="1" applyFill="1" applyBorder="1" applyProtection="1">
      <protection locked="0"/>
    </xf>
    <xf numFmtId="0" fontId="46" fillId="0" borderId="76" xfId="0" applyFont="1" applyFill="1" applyBorder="1" applyAlignment="1" applyProtection="1">
      <alignment horizontal="center"/>
    </xf>
    <xf numFmtId="0" fontId="46" fillId="0" borderId="77" xfId="0" applyFont="1" applyFill="1" applyBorder="1" applyAlignment="1" applyProtection="1">
      <alignment horizontal="center"/>
    </xf>
    <xf numFmtId="0" fontId="46" fillId="0" borderId="78" xfId="0" applyFont="1" applyFill="1" applyBorder="1" applyAlignment="1" applyProtection="1">
      <alignment horizontal="center"/>
    </xf>
    <xf numFmtId="0" fontId="46" fillId="0" borderId="74" xfId="0" applyFont="1" applyFill="1" applyBorder="1" applyAlignment="1" applyProtection="1">
      <alignment horizontal="center" wrapText="1"/>
    </xf>
    <xf numFmtId="0" fontId="46" fillId="0" borderId="60" xfId="0" applyFont="1" applyFill="1" applyBorder="1" applyAlignment="1" applyProtection="1">
      <alignment horizontal="center" wrapText="1"/>
    </xf>
    <xf numFmtId="0" fontId="46" fillId="0" borderId="61" xfId="0" applyFont="1" applyFill="1" applyBorder="1" applyAlignment="1" applyProtection="1">
      <alignment horizontal="center" wrapText="1"/>
    </xf>
    <xf numFmtId="0" fontId="46" fillId="0" borderId="28" xfId="0" applyFont="1" applyFill="1" applyBorder="1" applyAlignment="1" applyProtection="1">
      <alignment horizontal="center" wrapText="1"/>
    </xf>
    <xf numFmtId="0" fontId="46" fillId="0" borderId="24" xfId="0" applyFont="1" applyFill="1" applyBorder="1" applyAlignment="1" applyProtection="1">
      <alignment horizontal="center" wrapText="1"/>
    </xf>
    <xf numFmtId="0" fontId="46" fillId="0" borderId="24" xfId="0" applyFont="1" applyFill="1" applyBorder="1" applyAlignment="1" applyProtection="1">
      <alignment horizontal="center"/>
      <protection locked="0"/>
    </xf>
    <xf numFmtId="0" fontId="46" fillId="0" borderId="54" xfId="0" applyFont="1" applyFill="1" applyBorder="1" applyAlignment="1" applyProtection="1">
      <alignment horizontal="center" wrapText="1"/>
      <protection locked="0"/>
    </xf>
    <xf numFmtId="0" fontId="46" fillId="0" borderId="55" xfId="0" applyFont="1" applyFill="1" applyBorder="1" applyAlignment="1" applyProtection="1">
      <alignment horizontal="center" wrapText="1"/>
      <protection locked="0"/>
    </xf>
    <xf numFmtId="0" fontId="46" fillId="0" borderId="68" xfId="0" applyFont="1" applyFill="1" applyBorder="1" applyAlignment="1" applyProtection="1">
      <alignment horizontal="center" wrapText="1"/>
      <protection locked="0"/>
    </xf>
    <xf numFmtId="0" fontId="46" fillId="0" borderId="28" xfId="0" applyFont="1" applyFill="1" applyBorder="1" applyAlignment="1" applyProtection="1">
      <alignment horizontal="center"/>
      <protection locked="0"/>
    </xf>
    <xf numFmtId="0" fontId="46" fillId="0" borderId="24" xfId="0" applyFont="1" applyFill="1" applyBorder="1" applyAlignment="1" applyProtection="1">
      <alignment horizontal="center" wrapText="1"/>
      <protection locked="0"/>
    </xf>
    <xf numFmtId="0" fontId="46" fillId="0" borderId="58" xfId="0" applyFont="1" applyFill="1" applyBorder="1" applyAlignment="1" applyProtection="1">
      <alignment horizontal="center" wrapText="1"/>
    </xf>
    <xf numFmtId="0" fontId="46" fillId="0" borderId="55" xfId="0" applyFont="1" applyFill="1" applyBorder="1" applyAlignment="1" applyProtection="1">
      <alignment horizontal="center" wrapText="1"/>
    </xf>
    <xf numFmtId="0" fontId="46" fillId="0" borderId="68" xfId="0" applyFont="1" applyFill="1" applyBorder="1" applyAlignment="1" applyProtection="1">
      <alignment horizontal="center" wrapText="1"/>
    </xf>
    <xf numFmtId="0" fontId="52" fillId="0" borderId="7" xfId="0" applyFont="1" applyFill="1" applyBorder="1" applyProtection="1"/>
    <xf numFmtId="1" fontId="52" fillId="0" borderId="15" xfId="0" applyNumberFormat="1" applyFont="1" applyFill="1" applyBorder="1" applyProtection="1"/>
    <xf numFmtId="1" fontId="52" fillId="0" borderId="21" xfId="0" applyNumberFormat="1" applyFont="1" applyFill="1" applyBorder="1" applyProtection="1"/>
    <xf numFmtId="1" fontId="53" fillId="17" borderId="17" xfId="0" applyNumberFormat="1" applyFont="1" applyFill="1" applyBorder="1" applyProtection="1"/>
    <xf numFmtId="1" fontId="52" fillId="0" borderId="75" xfId="0" applyNumberFormat="1" applyFont="1" applyFill="1" applyBorder="1" applyProtection="1"/>
    <xf numFmtId="1" fontId="53" fillId="17" borderId="2" xfId="0" applyNumberFormat="1" applyFont="1" applyFill="1" applyBorder="1" applyProtection="1"/>
    <xf numFmtId="1" fontId="46" fillId="0" borderId="29" xfId="0" applyNumberFormat="1" applyFont="1" applyFill="1" applyBorder="1" applyProtection="1">
      <protection locked="0"/>
    </xf>
    <xf numFmtId="1" fontId="52" fillId="0" borderId="0" xfId="0" applyNumberFormat="1" applyFont="1" applyFill="1" applyBorder="1" applyProtection="1">
      <protection locked="0"/>
    </xf>
    <xf numFmtId="0" fontId="46" fillId="27" borderId="54" xfId="0" applyFont="1" applyFill="1" applyBorder="1" applyAlignment="1" applyProtection="1">
      <alignment horizontal="center" wrapText="1"/>
      <protection locked="0"/>
    </xf>
    <xf numFmtId="0" fontId="46" fillId="27" borderId="55" xfId="0" applyFont="1" applyFill="1" applyBorder="1" applyAlignment="1" applyProtection="1">
      <alignment horizontal="center" wrapText="1"/>
      <protection locked="0"/>
    </xf>
    <xf numFmtId="0" fontId="46" fillId="27" borderId="56" xfId="0" applyFont="1" applyFill="1" applyBorder="1" applyAlignment="1" applyProtection="1">
      <alignment horizontal="center" wrapText="1"/>
      <protection locked="0"/>
    </xf>
    <xf numFmtId="0" fontId="46" fillId="27" borderId="24" xfId="0" applyFont="1" applyFill="1" applyBorder="1" applyAlignment="1" applyProtection="1">
      <alignment horizontal="center"/>
      <protection locked="0"/>
    </xf>
    <xf numFmtId="0" fontId="75" fillId="0" borderId="2" xfId="0" applyFont="1" applyFill="1" applyBorder="1" applyProtection="1">
      <protection locked="0"/>
    </xf>
    <xf numFmtId="0" fontId="12" fillId="29" borderId="38" xfId="6" applyFont="1" applyFill="1" applyBorder="1" applyAlignment="1">
      <alignment vertical="center"/>
    </xf>
    <xf numFmtId="1" fontId="12" fillId="28" borderId="38" xfId="6" applyNumberFormat="1" applyFont="1" applyFill="1" applyBorder="1" applyAlignment="1">
      <alignment horizontal="right" vertical="center"/>
    </xf>
    <xf numFmtId="0" fontId="52" fillId="2" borderId="1" xfId="0" applyFont="1" applyFill="1" applyBorder="1" applyAlignment="1" applyProtection="1">
      <alignment horizontal="right" vertical="center"/>
      <protection locked="0"/>
    </xf>
    <xf numFmtId="0" fontId="52" fillId="2" borderId="1" xfId="0" applyFont="1" applyFill="1" applyBorder="1" applyProtection="1">
      <protection locked="0"/>
    </xf>
    <xf numFmtId="0" fontId="52" fillId="2" borderId="17" xfId="0" applyFont="1" applyFill="1" applyBorder="1" applyAlignment="1" applyProtection="1">
      <alignment horizontal="right" vertical="center"/>
      <protection locked="0"/>
    </xf>
    <xf numFmtId="0" fontId="52" fillId="2" borderId="17" xfId="0" applyFont="1" applyFill="1" applyBorder="1" applyProtection="1">
      <protection locked="0"/>
    </xf>
    <xf numFmtId="1" fontId="9" fillId="0" borderId="0" xfId="0" applyNumberFormat="1" applyFont="1" applyFill="1" applyBorder="1" applyAlignment="1">
      <alignment horizontal="left" vertical="center"/>
    </xf>
    <xf numFmtId="0" fontId="52" fillId="0" borderId="5" xfId="0" applyFont="1" applyBorder="1" applyAlignment="1">
      <alignment vertical="center" textRotation="90"/>
    </xf>
    <xf numFmtId="0" fontId="52" fillId="0" borderId="5" xfId="0" applyFont="1" applyBorder="1" applyAlignment="1">
      <alignment horizontal="center" vertical="center" textRotation="90" wrapText="1"/>
    </xf>
    <xf numFmtId="15" fontId="9" fillId="0" borderId="1" xfId="0" applyNumberFormat="1" applyFont="1" applyFill="1" applyBorder="1" applyAlignment="1">
      <alignment horizontal="left" vertical="center"/>
    </xf>
    <xf numFmtId="170" fontId="53" fillId="17" borderId="17" xfId="0" applyNumberFormat="1" applyFont="1" applyFill="1" applyBorder="1" applyProtection="1"/>
    <xf numFmtId="0" fontId="9" fillId="0" borderId="0" xfId="0" applyNumberFormat="1" applyFont="1" applyFill="1" applyBorder="1" applyAlignment="1" applyProtection="1">
      <alignment horizontal="left" vertical="center" wrapText="1"/>
      <protection locked="0"/>
    </xf>
    <xf numFmtId="0" fontId="71" fillId="0" borderId="72" xfId="13" applyFont="1" applyFill="1" applyBorder="1" applyAlignment="1"/>
    <xf numFmtId="0" fontId="0" fillId="0" borderId="5" xfId="0" applyBorder="1" applyAlignment="1">
      <alignment vertical="center"/>
    </xf>
    <xf numFmtId="0" fontId="9" fillId="31" borderId="0" xfId="0" applyFont="1" applyFill="1" applyAlignment="1">
      <alignment horizontal="right" vertical="center"/>
    </xf>
    <xf numFmtId="0" fontId="5" fillId="0" borderId="0" xfId="0" applyFont="1" applyFill="1" applyAlignment="1">
      <alignment horizontal="right" vertical="center"/>
    </xf>
    <xf numFmtId="0" fontId="0" fillId="6" borderId="0" xfId="0" applyFill="1"/>
    <xf numFmtId="0" fontId="0" fillId="5" borderId="0" xfId="0" applyFill="1"/>
    <xf numFmtId="0" fontId="71" fillId="0" borderId="0" xfId="13" applyFont="1" applyAlignment="1"/>
    <xf numFmtId="0" fontId="9" fillId="28" borderId="0" xfId="0" applyFont="1" applyFill="1" applyAlignment="1">
      <alignment horizontal="right" vertical="center"/>
    </xf>
    <xf numFmtId="15" fontId="9" fillId="0" borderId="3" xfId="0" applyNumberFormat="1" applyFont="1" applyFill="1" applyBorder="1" applyAlignment="1">
      <alignment horizontal="left" vertical="center"/>
    </xf>
    <xf numFmtId="0" fontId="9" fillId="0" borderId="2" xfId="0" applyFont="1" applyFill="1" applyBorder="1"/>
    <xf numFmtId="0" fontId="53" fillId="17" borderId="75" xfId="0" applyFont="1" applyFill="1" applyBorder="1" applyAlignment="1" applyProtection="1"/>
    <xf numFmtId="0" fontId="53" fillId="17" borderId="38" xfId="0" applyFont="1" applyFill="1" applyBorder="1" applyAlignment="1" applyProtection="1"/>
    <xf numFmtId="0" fontId="53" fillId="17" borderId="15" xfId="0" applyFont="1" applyFill="1" applyBorder="1" applyAlignment="1" applyProtection="1"/>
    <xf numFmtId="0" fontId="53" fillId="17" borderId="7" xfId="0" applyFont="1" applyFill="1" applyBorder="1" applyProtection="1"/>
    <xf numFmtId="0" fontId="53" fillId="17" borderId="7" xfId="0" applyFont="1" applyFill="1" applyBorder="1" applyAlignment="1" applyProtection="1">
      <alignment horizontal="center"/>
    </xf>
    <xf numFmtId="0" fontId="53" fillId="17" borderId="20" xfId="0" applyFont="1" applyFill="1" applyBorder="1" applyProtection="1"/>
    <xf numFmtId="0" fontId="53" fillId="17" borderId="21" xfId="0" applyFont="1" applyFill="1" applyBorder="1" applyProtection="1"/>
    <xf numFmtId="0" fontId="19" fillId="0" borderId="84" xfId="0" applyFont="1" applyFill="1" applyBorder="1" applyProtection="1">
      <protection locked="0"/>
    </xf>
    <xf numFmtId="0" fontId="52" fillId="0" borderId="5" xfId="0" applyFont="1" applyFill="1" applyBorder="1" applyProtection="1"/>
    <xf numFmtId="0" fontId="19" fillId="0" borderId="5" xfId="0" applyFont="1" applyFill="1" applyBorder="1" applyProtection="1"/>
    <xf numFmtId="0" fontId="52" fillId="0" borderId="5" xfId="0" applyFont="1" applyFill="1" applyBorder="1" applyAlignment="1" applyProtection="1">
      <alignment horizontal="center"/>
    </xf>
    <xf numFmtId="0" fontId="52" fillId="0" borderId="16" xfId="0" applyFont="1" applyFill="1" applyBorder="1" applyProtection="1"/>
    <xf numFmtId="0" fontId="52" fillId="0" borderId="5" xfId="0" applyFont="1" applyFill="1" applyBorder="1" applyAlignment="1" applyProtection="1">
      <alignment horizontal="right" vertical="center"/>
      <protection locked="0"/>
    </xf>
    <xf numFmtId="0" fontId="52" fillId="0" borderId="88" xfId="0" applyFont="1" applyFill="1" applyBorder="1" applyAlignment="1" applyProtection="1">
      <alignment horizontal="right" vertical="center"/>
      <protection locked="0"/>
    </xf>
    <xf numFmtId="0" fontId="52" fillId="0" borderId="5" xfId="0" applyFont="1" applyFill="1" applyBorder="1" applyProtection="1">
      <protection locked="0"/>
    </xf>
    <xf numFmtId="0" fontId="52" fillId="0" borderId="34" xfId="0" applyFont="1" applyFill="1" applyBorder="1" applyProtection="1">
      <protection locked="0"/>
    </xf>
    <xf numFmtId="1" fontId="52" fillId="0" borderId="34" xfId="0" applyNumberFormat="1" applyFont="1" applyFill="1" applyBorder="1" applyProtection="1"/>
    <xf numFmtId="1" fontId="52" fillId="0" borderId="36" xfId="0" applyNumberFormat="1" applyFont="1" applyFill="1" applyBorder="1" applyProtection="1"/>
    <xf numFmtId="1" fontId="52" fillId="0" borderId="13" xfId="0" applyNumberFormat="1" applyFont="1" applyFill="1" applyBorder="1" applyProtection="1"/>
    <xf numFmtId="0" fontId="0" fillId="0" borderId="0" xfId="0" applyFont="1" applyFill="1" applyBorder="1" applyAlignment="1">
      <alignment horizontal="right" vertical="center"/>
    </xf>
    <xf numFmtId="0" fontId="52" fillId="0" borderId="84" xfId="0" applyFont="1" applyFill="1" applyBorder="1" applyAlignment="1" applyProtection="1">
      <alignment horizontal="right" vertical="center"/>
      <protection locked="0"/>
    </xf>
    <xf numFmtId="0" fontId="46" fillId="17" borderId="17" xfId="0" applyFont="1" applyFill="1" applyBorder="1" applyProtection="1"/>
    <xf numFmtId="0" fontId="52" fillId="0" borderId="84" xfId="0" applyFont="1" applyFill="1" applyBorder="1" applyProtection="1">
      <protection locked="0"/>
    </xf>
    <xf numFmtId="0" fontId="46" fillId="17" borderId="21" xfId="0" applyFont="1" applyFill="1" applyBorder="1" applyProtection="1"/>
    <xf numFmtId="0" fontId="52" fillId="30" borderId="1" xfId="0" applyFont="1" applyFill="1" applyBorder="1" applyProtection="1">
      <protection locked="0"/>
    </xf>
    <xf numFmtId="0" fontId="52" fillId="2" borderId="5" xfId="0" applyFont="1" applyFill="1" applyBorder="1" applyProtection="1">
      <protection locked="0"/>
    </xf>
    <xf numFmtId="0" fontId="46" fillId="17" borderId="2" xfId="0" applyFont="1" applyFill="1" applyBorder="1" applyProtection="1"/>
    <xf numFmtId="1" fontId="9" fillId="0" borderId="47" xfId="0" applyNumberFormat="1" applyFont="1" applyFill="1" applyBorder="1" applyAlignment="1">
      <alignment horizontal="center" vertical="center"/>
    </xf>
    <xf numFmtId="0" fontId="9" fillId="31" borderId="0" xfId="0" applyFont="1" applyFill="1" applyBorder="1" applyAlignment="1">
      <alignment horizontal="right" vertical="center"/>
    </xf>
    <xf numFmtId="0" fontId="9" fillId="29" borderId="38" xfId="6" applyFont="1" applyFill="1" applyBorder="1" applyAlignment="1">
      <alignment vertical="center"/>
    </xf>
    <xf numFmtId="0" fontId="0" fillId="28" borderId="1" xfId="0" applyFill="1" applyBorder="1" applyAlignment="1">
      <alignment vertical="center"/>
    </xf>
    <xf numFmtId="15" fontId="9" fillId="2" borderId="1" xfId="0" applyNumberFormat="1" applyFont="1" applyFill="1" applyBorder="1" applyAlignment="1">
      <alignment horizontal="left" vertical="center"/>
    </xf>
    <xf numFmtId="0" fontId="9" fillId="2" borderId="1" xfId="0" applyFont="1" applyFill="1" applyBorder="1"/>
    <xf numFmtId="0" fontId="76" fillId="0" borderId="0" xfId="0" applyFont="1"/>
    <xf numFmtId="166" fontId="12" fillId="0" borderId="20" xfId="6" applyNumberFormat="1" applyFont="1" applyFill="1" applyBorder="1" applyAlignment="1">
      <alignment horizontal="left" vertical="center"/>
    </xf>
    <xf numFmtId="166" fontId="12" fillId="0" borderId="38" xfId="6" applyNumberFormat="1" applyFont="1" applyFill="1" applyBorder="1" applyAlignment="1">
      <alignment horizontal="left" vertical="center"/>
    </xf>
    <xf numFmtId="0" fontId="10" fillId="0" borderId="37" xfId="6" applyFont="1" applyFill="1" applyBorder="1" applyAlignment="1">
      <alignment horizontal="right" vertical="top" wrapText="1"/>
    </xf>
    <xf numFmtId="0" fontId="10" fillId="0" borderId="38" xfId="6" applyFont="1" applyFill="1" applyBorder="1" applyAlignment="1">
      <alignment horizontal="right" vertical="top" wrapText="1"/>
    </xf>
    <xf numFmtId="0" fontId="12" fillId="0" borderId="38" xfId="6" applyFont="1" applyFill="1" applyBorder="1" applyAlignment="1">
      <alignment horizontal="center" vertical="center"/>
    </xf>
    <xf numFmtId="0" fontId="12" fillId="0" borderId="38" xfId="6" applyFont="1" applyFill="1" applyBorder="1" applyAlignment="1">
      <alignment horizontal="left" vertical="center"/>
    </xf>
    <xf numFmtId="0" fontId="7" fillId="6" borderId="0" xfId="0" applyFont="1" applyFill="1" applyBorder="1" applyAlignment="1">
      <alignment horizontal="right"/>
    </xf>
    <xf numFmtId="3" fontId="7" fillId="6" borderId="0" xfId="0" applyNumberFormat="1" applyFont="1" applyFill="1" applyBorder="1" applyAlignment="1">
      <alignment horizontal="right"/>
    </xf>
    <xf numFmtId="3" fontId="7" fillId="6" borderId="45" xfId="0" applyNumberFormat="1" applyFont="1" applyFill="1" applyBorder="1" applyAlignment="1">
      <alignment horizontal="right"/>
    </xf>
    <xf numFmtId="0" fontId="57" fillId="6" borderId="0" xfId="6" applyFont="1" applyFill="1" applyBorder="1" applyAlignment="1">
      <alignment horizontal="left" vertical="center"/>
    </xf>
    <xf numFmtId="0" fontId="57" fillId="6" borderId="45" xfId="6" applyFont="1" applyFill="1" applyBorder="1" applyAlignment="1">
      <alignment horizontal="left" vertical="center"/>
    </xf>
    <xf numFmtId="0" fontId="34" fillId="0" borderId="37" xfId="0" applyFont="1" applyFill="1" applyBorder="1" applyAlignment="1">
      <alignment horizontal="right" vertical="center"/>
    </xf>
    <xf numFmtId="0" fontId="38" fillId="5" borderId="37" xfId="6" applyFont="1" applyFill="1" applyBorder="1" applyAlignment="1">
      <alignment horizontal="left"/>
    </xf>
    <xf numFmtId="0" fontId="34" fillId="0" borderId="0" xfId="0" applyFont="1" applyAlignment="1">
      <alignment horizontal="left" wrapText="1"/>
    </xf>
    <xf numFmtId="0" fontId="45" fillId="0" borderId="37" xfId="6" applyFont="1" applyFill="1" applyBorder="1" applyAlignment="1">
      <alignment horizontal="center"/>
    </xf>
    <xf numFmtId="0" fontId="57" fillId="5" borderId="0" xfId="6" applyFont="1" applyFill="1" applyBorder="1" applyAlignment="1">
      <alignment horizontal="left" vertical="center"/>
    </xf>
    <xf numFmtId="0" fontId="23" fillId="18" borderId="0" xfId="6" applyFont="1" applyFill="1" applyBorder="1" applyAlignment="1">
      <alignment horizontal="left" vertical="center"/>
    </xf>
    <xf numFmtId="166" fontId="26" fillId="18" borderId="0" xfId="6" applyNumberFormat="1" applyFont="1" applyFill="1" applyBorder="1" applyAlignment="1">
      <alignment horizontal="left" vertical="center"/>
    </xf>
    <xf numFmtId="0" fontId="10" fillId="21" borderId="49" xfId="0" applyFont="1" applyFill="1" applyBorder="1" applyAlignment="1">
      <alignment horizontal="center" vertical="center" wrapText="1"/>
    </xf>
    <xf numFmtId="0" fontId="10" fillId="21" borderId="0" xfId="0" applyFont="1" applyFill="1" applyBorder="1" applyAlignment="1">
      <alignment horizontal="center" vertical="center"/>
    </xf>
    <xf numFmtId="0" fontId="10" fillId="21" borderId="49" xfId="0" applyFont="1" applyFill="1" applyBorder="1" applyAlignment="1">
      <alignment horizontal="center" vertical="center"/>
    </xf>
    <xf numFmtId="0" fontId="10" fillId="21" borderId="48" xfId="0" applyFont="1" applyFill="1" applyBorder="1" applyAlignment="1">
      <alignment horizontal="center" vertical="center"/>
    </xf>
    <xf numFmtId="166" fontId="45" fillId="6" borderId="20" xfId="6" applyNumberFormat="1" applyFont="1" applyFill="1" applyBorder="1" applyAlignment="1">
      <alignment horizontal="left" vertical="center"/>
    </xf>
    <xf numFmtId="166" fontId="45" fillId="6" borderId="38" xfId="6" applyNumberFormat="1" applyFont="1" applyFill="1" applyBorder="1" applyAlignment="1">
      <alignment horizontal="left" vertical="center"/>
    </xf>
    <xf numFmtId="0" fontId="46" fillId="0" borderId="43" xfId="0" applyFont="1" applyFill="1" applyBorder="1" applyAlignment="1" applyProtection="1">
      <alignment horizontal="center" vertical="center" wrapText="1"/>
    </xf>
    <xf numFmtId="0" fontId="46" fillId="0" borderId="30" xfId="0" applyFont="1" applyFill="1" applyBorder="1" applyAlignment="1" applyProtection="1">
      <alignment horizontal="center" vertical="center" wrapText="1"/>
    </xf>
    <xf numFmtId="0" fontId="46" fillId="0" borderId="42" xfId="0" applyFont="1" applyFill="1" applyBorder="1" applyAlignment="1" applyProtection="1">
      <alignment horizontal="center" vertical="center" wrapText="1"/>
    </xf>
    <xf numFmtId="0" fontId="46" fillId="0" borderId="59" xfId="0" applyFont="1" applyFill="1" applyBorder="1" applyAlignment="1" applyProtection="1">
      <alignment horizontal="center" vertical="center"/>
    </xf>
    <xf numFmtId="0" fontId="46" fillId="0" borderId="60" xfId="0" applyFont="1" applyFill="1" applyBorder="1" applyAlignment="1" applyProtection="1">
      <alignment horizontal="center" vertical="center"/>
    </xf>
    <xf numFmtId="0" fontId="46" fillId="0" borderId="61" xfId="0" applyFont="1" applyFill="1" applyBorder="1" applyAlignment="1" applyProtection="1">
      <alignment horizontal="center" vertical="center"/>
    </xf>
    <xf numFmtId="0" fontId="50" fillId="0" borderId="0" xfId="0" applyFont="1" applyFill="1" applyBorder="1" applyAlignment="1" applyProtection="1">
      <alignment horizontal="left" vertical="center"/>
      <protection locked="0"/>
    </xf>
    <xf numFmtId="0" fontId="50" fillId="0" borderId="34" xfId="0" applyFont="1" applyFill="1" applyBorder="1" applyAlignment="1" applyProtection="1">
      <alignment horizontal="left" vertical="center"/>
      <protection locked="0"/>
    </xf>
    <xf numFmtId="0" fontId="22" fillId="0" borderId="31" xfId="0" applyNumberFormat="1" applyFont="1" applyFill="1" applyBorder="1" applyAlignment="1" applyProtection="1">
      <alignment horizontal="center" vertical="center"/>
      <protection locked="0"/>
    </xf>
    <xf numFmtId="0" fontId="22" fillId="0" borderId="17" xfId="0" applyNumberFormat="1" applyFont="1" applyFill="1" applyBorder="1" applyAlignment="1" applyProtection="1">
      <alignment horizontal="center" vertical="center"/>
      <protection locked="0"/>
    </xf>
    <xf numFmtId="0" fontId="22" fillId="0" borderId="32" xfId="0" applyNumberFormat="1"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protection locked="0"/>
    </xf>
    <xf numFmtId="0" fontId="22" fillId="0" borderId="57" xfId="0" applyNumberFormat="1" applyFont="1" applyFill="1" applyBorder="1" applyAlignment="1" applyProtection="1">
      <alignment horizontal="center" vertical="center" wrapText="1"/>
      <protection locked="0"/>
    </xf>
    <xf numFmtId="0" fontId="22" fillId="0" borderId="2" xfId="0" applyNumberFormat="1" applyFont="1" applyFill="1" applyBorder="1" applyAlignment="1" applyProtection="1">
      <alignment horizontal="center" vertical="center" wrapText="1"/>
      <protection locked="0"/>
    </xf>
    <xf numFmtId="0" fontId="46" fillId="27" borderId="59" xfId="0" applyFont="1" applyFill="1" applyBorder="1" applyAlignment="1" applyProtection="1">
      <alignment horizontal="center" vertical="center"/>
      <protection locked="0"/>
    </xf>
    <xf numFmtId="0" fontId="46" fillId="27" borderId="60" xfId="0" applyFont="1" applyFill="1" applyBorder="1" applyAlignment="1" applyProtection="1">
      <alignment horizontal="center" vertical="center"/>
      <protection locked="0"/>
    </xf>
    <xf numFmtId="0" fontId="46" fillId="27" borderId="61" xfId="0" applyFont="1" applyFill="1" applyBorder="1" applyAlignment="1" applyProtection="1">
      <alignment horizontal="center" vertical="center"/>
      <protection locked="0"/>
    </xf>
    <xf numFmtId="0" fontId="46" fillId="0" borderId="58" xfId="0" applyFont="1" applyFill="1" applyBorder="1" applyAlignment="1" applyProtection="1">
      <alignment horizontal="center" vertical="center"/>
      <protection locked="0"/>
    </xf>
    <xf numFmtId="0" fontId="46" fillId="0" borderId="55" xfId="0" applyFont="1" applyFill="1" applyBorder="1" applyAlignment="1" applyProtection="1">
      <alignment horizontal="center" vertical="center"/>
      <protection locked="0"/>
    </xf>
    <xf numFmtId="0" fontId="46" fillId="0" borderId="56" xfId="0" applyFont="1" applyFill="1" applyBorder="1" applyAlignment="1" applyProtection="1">
      <alignment horizontal="center" vertical="center"/>
      <protection locked="0"/>
    </xf>
    <xf numFmtId="0" fontId="46" fillId="0" borderId="10" xfId="0" applyFont="1" applyFill="1" applyBorder="1" applyAlignment="1" applyProtection="1">
      <alignment horizontal="center" vertical="center"/>
      <protection locked="0"/>
    </xf>
    <xf numFmtId="0" fontId="46" fillId="0" borderId="11" xfId="0" applyFont="1" applyFill="1" applyBorder="1" applyAlignment="1" applyProtection="1">
      <alignment horizontal="center" vertical="center"/>
      <protection locked="0"/>
    </xf>
    <xf numFmtId="0" fontId="22" fillId="0" borderId="74" xfId="0" applyFont="1" applyFill="1" applyBorder="1" applyAlignment="1" applyProtection="1">
      <alignment horizontal="center"/>
      <protection locked="0"/>
    </xf>
    <xf numFmtId="0" fontId="22" fillId="0" borderId="60" xfId="0" applyFont="1" applyFill="1" applyBorder="1" applyAlignment="1" applyProtection="1">
      <alignment horizontal="center"/>
      <protection locked="0"/>
    </xf>
    <xf numFmtId="0" fontId="22" fillId="0" borderId="61" xfId="0" applyFont="1" applyFill="1" applyBorder="1" applyAlignment="1" applyProtection="1">
      <alignment horizontal="center"/>
      <protection locked="0"/>
    </xf>
    <xf numFmtId="0" fontId="47" fillId="32" borderId="1" xfId="0" applyNumberFormat="1" applyFont="1" applyFill="1" applyBorder="1" applyAlignment="1" applyProtection="1">
      <alignment horizontal="center" vertical="center" wrapText="1"/>
      <protection locked="0"/>
    </xf>
    <xf numFmtId="0" fontId="0" fillId="0" borderId="0" xfId="0" applyBorder="1" applyAlignment="1">
      <alignment horizontal="center" vertical="center"/>
    </xf>
    <xf numFmtId="0" fontId="60" fillId="0" borderId="31" xfId="0" applyFont="1" applyFill="1" applyBorder="1" applyAlignment="1">
      <alignment horizontal="center" vertical="center"/>
    </xf>
    <xf numFmtId="0" fontId="60" fillId="0" borderId="32" xfId="0" applyFont="1" applyFill="1" applyBorder="1" applyAlignment="1">
      <alignment horizontal="center" vertical="center"/>
    </xf>
    <xf numFmtId="0" fontId="60" fillId="0" borderId="33" xfId="0" applyFont="1" applyFill="1" applyBorder="1" applyAlignment="1">
      <alignment horizontal="center" vertical="center"/>
    </xf>
    <xf numFmtId="0" fontId="0" fillId="0" borderId="84" xfId="0" applyBorder="1" applyAlignment="1">
      <alignment horizontal="center" vertical="center"/>
    </xf>
    <xf numFmtId="0" fontId="0" fillId="0" borderId="5" xfId="0" applyBorder="1" applyAlignment="1">
      <alignment horizontal="center" vertical="center"/>
    </xf>
    <xf numFmtId="0" fontId="0" fillId="0" borderId="29" xfId="0" applyBorder="1" applyAlignment="1">
      <alignment horizontal="center" vertical="center"/>
    </xf>
    <xf numFmtId="0" fontId="0" fillId="0" borderId="83" xfId="0" applyBorder="1"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0" fontId="0" fillId="0" borderId="38" xfId="0" applyBorder="1" applyAlignment="1">
      <alignment horizontal="center" vertical="center"/>
    </xf>
    <xf numFmtId="0" fontId="0" fillId="0" borderId="6" xfId="0" applyBorder="1" applyAlignment="1">
      <alignment horizontal="center" vertical="center"/>
    </xf>
    <xf numFmtId="0" fontId="0" fillId="0" borderId="62" xfId="0" applyBorder="1" applyAlignment="1">
      <alignment horizontal="center" vertical="center"/>
    </xf>
    <xf numFmtId="0" fontId="0" fillId="0" borderId="71" xfId="0" applyBorder="1" applyAlignment="1">
      <alignment horizontal="center" vertical="center"/>
    </xf>
    <xf numFmtId="166" fontId="26" fillId="18" borderId="20" xfId="6" applyNumberFormat="1" applyFont="1" applyFill="1" applyBorder="1" applyAlignment="1">
      <alignment horizontal="left" vertical="center"/>
    </xf>
    <xf numFmtId="166" fontId="26" fillId="18" borderId="38" xfId="6" applyNumberFormat="1" applyFont="1" applyFill="1" applyBorder="1" applyAlignment="1">
      <alignment horizontal="left" vertical="center"/>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38" fillId="18" borderId="16" xfId="6" applyFont="1" applyFill="1" applyBorder="1" applyAlignment="1">
      <alignment horizontal="left" vertical="center"/>
    </xf>
    <xf numFmtId="0" fontId="38" fillId="18" borderId="37" xfId="6" applyFont="1" applyFill="1" applyBorder="1" applyAlignment="1">
      <alignment horizontal="left" vertical="center"/>
    </xf>
    <xf numFmtId="0" fontId="0" fillId="0" borderId="81" xfId="0" applyBorder="1" applyAlignment="1">
      <alignment horizontal="center" vertical="center"/>
    </xf>
    <xf numFmtId="0" fontId="0" fillId="0" borderId="69" xfId="0" applyBorder="1" applyAlignment="1">
      <alignment horizontal="center" vertical="center"/>
    </xf>
    <xf numFmtId="0" fontId="0" fillId="0" borderId="70" xfId="0" applyBorder="1" applyAlignment="1">
      <alignment horizontal="center" vertical="center"/>
    </xf>
    <xf numFmtId="0" fontId="0" fillId="0" borderId="8" xfId="0" applyBorder="1" applyAlignment="1">
      <alignment horizontal="center" vertical="center"/>
    </xf>
    <xf numFmtId="0" fontId="12" fillId="4" borderId="50"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12" fillId="4" borderId="52" xfId="0" applyFont="1" applyFill="1" applyBorder="1" applyAlignment="1">
      <alignment horizontal="center" vertical="center" wrapText="1"/>
    </xf>
    <xf numFmtId="0" fontId="12" fillId="4" borderId="50" xfId="0" applyFont="1" applyFill="1" applyBorder="1" applyAlignment="1">
      <alignment horizontal="center" vertical="center"/>
    </xf>
    <xf numFmtId="0" fontId="12" fillId="4" borderId="11" xfId="0" applyFont="1" applyFill="1" applyBorder="1" applyAlignment="1">
      <alignment horizontal="center" vertical="center"/>
    </xf>
    <xf numFmtId="0" fontId="12" fillId="4" borderId="52" xfId="0" applyFont="1" applyFill="1" applyBorder="1" applyAlignment="1">
      <alignment horizontal="center" vertical="center"/>
    </xf>
    <xf numFmtId="0" fontId="12" fillId="4" borderId="85" xfId="0" applyFont="1" applyFill="1" applyBorder="1" applyAlignment="1">
      <alignment horizontal="center" vertical="center" wrapText="1"/>
    </xf>
    <xf numFmtId="0" fontId="12" fillId="4" borderId="86" xfId="0" applyFont="1" applyFill="1" applyBorder="1" applyAlignment="1">
      <alignment horizontal="center" vertical="center" wrapText="1"/>
    </xf>
    <xf numFmtId="0" fontId="12" fillId="4" borderId="87" xfId="0" applyFont="1" applyFill="1" applyBorder="1" applyAlignment="1">
      <alignment horizontal="center" vertical="center" wrapText="1"/>
    </xf>
    <xf numFmtId="0" fontId="38" fillId="0" borderId="0" xfId="0" applyFont="1" applyFill="1" applyBorder="1" applyAlignment="1" applyProtection="1">
      <alignment horizontal="left" vertical="center"/>
      <protection locked="0"/>
    </xf>
    <xf numFmtId="0" fontId="38" fillId="0" borderId="34" xfId="0" applyFont="1" applyFill="1" applyBorder="1" applyAlignment="1" applyProtection="1">
      <alignment horizontal="left" vertical="center"/>
      <protection locked="0"/>
    </xf>
    <xf numFmtId="0" fontId="12" fillId="4" borderId="10" xfId="0" applyFont="1" applyFill="1" applyBorder="1" applyAlignment="1">
      <alignment horizontal="center" vertical="center" textRotation="90"/>
    </xf>
    <xf numFmtId="0" fontId="12" fillId="4" borderId="13" xfId="0" applyFont="1" applyFill="1" applyBorder="1" applyAlignment="1">
      <alignment horizontal="center" vertical="center" textRotation="90"/>
    </xf>
    <xf numFmtId="0" fontId="3" fillId="4" borderId="73" xfId="0" applyFont="1" applyFill="1" applyBorder="1" applyAlignment="1">
      <alignment horizontal="center" vertical="center"/>
    </xf>
    <xf numFmtId="0" fontId="3" fillId="4" borderId="79" xfId="0" applyFont="1" applyFill="1" applyBorder="1" applyAlignment="1">
      <alignment horizontal="center" vertical="center"/>
    </xf>
    <xf numFmtId="0" fontId="12" fillId="4" borderId="52" xfId="0" applyFont="1" applyFill="1" applyBorder="1" applyAlignment="1">
      <alignment horizontal="center" vertical="center" textRotation="90" wrapText="1"/>
    </xf>
    <xf numFmtId="0" fontId="12" fillId="4" borderId="80" xfId="0" applyFont="1" applyFill="1" applyBorder="1" applyAlignment="1">
      <alignment horizontal="center" vertical="center" textRotation="90" wrapText="1"/>
    </xf>
    <xf numFmtId="0" fontId="12" fillId="4" borderId="51" xfId="0" applyFont="1" applyFill="1" applyBorder="1" applyAlignment="1">
      <alignment horizontal="center" vertical="center" textRotation="90"/>
    </xf>
    <xf numFmtId="0" fontId="12" fillId="4" borderId="53" xfId="0" applyFont="1" applyFill="1" applyBorder="1" applyAlignment="1">
      <alignment horizontal="center" vertical="center" textRotation="90"/>
    </xf>
    <xf numFmtId="0" fontId="12" fillId="4" borderId="52" xfId="0" applyFont="1" applyFill="1" applyBorder="1" applyAlignment="1">
      <alignment horizontal="center" vertical="center" textRotation="90"/>
    </xf>
    <xf numFmtId="0" fontId="12" fillId="4" borderId="0" xfId="0" applyFont="1" applyFill="1" applyBorder="1" applyAlignment="1">
      <alignment horizontal="center" vertical="center" textRotation="90"/>
    </xf>
    <xf numFmtId="0" fontId="18" fillId="0" borderId="0" xfId="6" applyFont="1" applyFill="1" applyBorder="1" applyAlignment="1">
      <alignment horizontal="left" vertical="center"/>
    </xf>
    <xf numFmtId="0" fontId="23" fillId="0" borderId="0" xfId="6" applyFont="1" applyFill="1" applyBorder="1" applyAlignment="1">
      <alignment horizontal="left" vertical="center"/>
    </xf>
    <xf numFmtId="166" fontId="26" fillId="0" borderId="0" xfId="6" applyNumberFormat="1" applyFont="1" applyFill="1" applyBorder="1" applyAlignment="1">
      <alignment horizontal="left" vertical="center"/>
    </xf>
    <xf numFmtId="166" fontId="18" fillId="18" borderId="0" xfId="6" applyNumberFormat="1" applyFont="1" applyFill="1" applyBorder="1" applyAlignment="1">
      <alignment horizontal="left" wrapText="1"/>
    </xf>
    <xf numFmtId="0" fontId="41" fillId="0" borderId="0" xfId="0" applyFont="1" applyFill="1" applyBorder="1" applyAlignment="1">
      <alignment horizontal="left" wrapText="1"/>
    </xf>
    <xf numFmtId="0" fontId="42" fillId="0" borderId="0" xfId="0" applyFont="1" applyFill="1" applyBorder="1" applyAlignment="1">
      <alignment horizontal="left" vertical="center"/>
    </xf>
    <xf numFmtId="165" fontId="42" fillId="0" borderId="0" xfId="9" applyNumberFormat="1" applyFont="1" applyFill="1" applyBorder="1" applyAlignment="1">
      <alignment horizontal="center" vertical="center"/>
    </xf>
    <xf numFmtId="9" fontId="43" fillId="0" borderId="0" xfId="8" applyFont="1" applyFill="1" applyBorder="1" applyAlignment="1">
      <alignment horizontal="right" vertical="center"/>
    </xf>
    <xf numFmtId="9" fontId="43" fillId="0" borderId="0" xfId="8" applyFont="1" applyFill="1" applyBorder="1" applyAlignment="1">
      <alignment horizontal="center" vertical="center"/>
    </xf>
    <xf numFmtId="165" fontId="43" fillId="0" borderId="0" xfId="9" applyNumberFormat="1" applyFont="1" applyFill="1" applyBorder="1" applyAlignment="1">
      <alignment horizontal="center" vertical="center"/>
    </xf>
  </cellXfs>
  <cellStyles count="20">
    <cellStyle name="Calculation" xfId="18" builtinId="22"/>
    <cellStyle name="Comma" xfId="7" builtinId="3"/>
    <cellStyle name="Comma 2" xfId="1"/>
    <cellStyle name="Comma 3" xfId="14"/>
    <cellStyle name="Comma 4" xfId="15"/>
    <cellStyle name="Comma 4 10" xfId="9"/>
    <cellStyle name="Hyperlink" xfId="6" builtinId="8"/>
    <cellStyle name="Normal" xfId="0" builtinId="0"/>
    <cellStyle name="Normal 2" xfId="2"/>
    <cellStyle name="Normal 2 2" xfId="3"/>
    <cellStyle name="Normal 4" xfId="4"/>
    <cellStyle name="Normal 5" xfId="10"/>
    <cellStyle name="Normal 6" xfId="12"/>
    <cellStyle name="Normal_6_Village Tracts" xfId="16"/>
    <cellStyle name="Normal_Sheet1" xfId="13"/>
    <cellStyle name="Normal_Sheet1_1" xfId="17"/>
    <cellStyle name="Normal_Sheet11" xfId="5"/>
    <cellStyle name="Normal_Sheet3_1" xfId="11"/>
    <cellStyle name="Normal_Towns" xfId="19"/>
    <cellStyle name="Percent" xfId="8" builtinId="5"/>
  </cellStyles>
  <dxfs count="1026">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4"/>
      </font>
    </dxf>
    <dxf>
      <font>
        <color theme="4"/>
      </font>
    </dxf>
    <dxf>
      <border>
        <bottom style="medium">
          <color auto="1"/>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ill>
        <patternFill>
          <bgColor auto="1"/>
        </patternFill>
      </fill>
    </dxf>
    <dxf>
      <border>
        <left/>
        <right/>
        <top/>
        <bottom/>
        <horizontal/>
      </border>
    </dxf>
    <dxf>
      <border>
        <left/>
        <right/>
        <top/>
        <bottom/>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4"/>
      </font>
    </dxf>
    <dxf>
      <font>
        <color theme="4"/>
      </font>
    </dxf>
    <dxf>
      <border>
        <bottom style="medium">
          <color auto="1"/>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ill>
        <patternFill>
          <bgColor auto="1"/>
        </patternFill>
      </fill>
    </dxf>
    <dxf>
      <border>
        <left/>
        <right/>
        <top/>
        <bottom/>
        <horizontal/>
      </border>
    </dxf>
    <dxf>
      <border>
        <left/>
        <right/>
        <top/>
        <bottom/>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right/>
        <top/>
        <bottom/>
        <horizontal/>
      </border>
    </dxf>
    <dxf>
      <border>
        <left/>
        <right/>
        <top/>
        <bottom/>
        <horizontal/>
      </border>
    </dxf>
    <dxf>
      <fill>
        <patternFill>
          <bgColor auto="1"/>
        </patternFill>
      </fill>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auto="1"/>
        </bottom>
      </border>
    </dxf>
    <dxf>
      <font>
        <color theme="4"/>
      </font>
    </dxf>
    <dxf>
      <font>
        <color theme="4"/>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numFmt numFmtId="169" formatCode="dd\-mmm\-yyyy"/>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69" formatCode="dd\-mmm\-yyyy"/>
      <fill>
        <patternFill patternType="none">
          <fgColor indexed="64"/>
          <bgColor auto="1"/>
        </patternFill>
      </fill>
      <alignment vertical="center"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ont>
        <strike val="0"/>
        <outline val="0"/>
        <shadow val="0"/>
        <u val="none"/>
        <vertAlign val="baseline"/>
        <sz val="1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ont>
        <strike val="0"/>
        <outline val="0"/>
        <shadow val="0"/>
        <u val="none"/>
        <vertAlign val="baseline"/>
        <color auto="1"/>
        <name val="Calibri"/>
        <scheme val="minor"/>
      </font>
      <border diagonalUp="0" diagonalDown="0">
        <left style="thin">
          <color indexed="64"/>
        </left>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outline="0">
        <left style="thin">
          <color indexed="64"/>
        </left>
        <right/>
        <top style="thin">
          <color indexed="64"/>
        </top>
        <bottom style="thin">
          <color indexed="64"/>
        </bottom>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right style="thin">
          <color indexed="64"/>
        </right>
        <top style="thin">
          <color indexed="64"/>
        </top>
        <bottom style="thin">
          <color indexed="64"/>
        </bottom>
      </border>
    </dxf>
    <dxf>
      <numFmt numFmtId="175" formatCode="d\-mmm\-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scheme val="minor"/>
      </font>
    </dxf>
    <dxf>
      <border outline="0">
        <bottom style="thin">
          <color indexed="64"/>
        </bottom>
      </border>
    </dxf>
    <dxf>
      <font>
        <strike val="0"/>
        <outline val="0"/>
        <shadow val="0"/>
        <u val="none"/>
        <vertAlign val="baseline"/>
        <color auto="1"/>
        <name val="Calibri"/>
        <scheme val="minor"/>
      </font>
      <fill>
        <patternFill patternType="none">
          <fgColor indexed="64"/>
          <bgColor indexed="65"/>
        </patternFill>
      </fill>
      <border diagonalUp="0" diagonalDown="0" outline="0">
        <left style="thin">
          <color indexed="64"/>
        </left>
        <right style="thin">
          <color indexed="64"/>
        </right>
        <top/>
        <bottom/>
      </border>
    </dxf>
    <dxf>
      <font>
        <strike val="0"/>
        <outline val="0"/>
        <shadow val="0"/>
        <u val="none"/>
        <vertAlign val="baseline"/>
        <sz val="10"/>
        <color theme="1"/>
        <name val="Calibri"/>
        <scheme val="minor"/>
      </font>
      <numFmt numFmtId="13" formatCode="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indexed="64"/>
          <bgColor theme="3" tint="0.79998168889431442"/>
        </patternFill>
      </fill>
      <alignment horizontal="center" vertical="center" textRotation="0" wrapText="1"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alignment vertical="center" textRotation="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alignment vertical="center" textRotation="0" indent="0" justifyLastLine="0" shrinkToFit="0" readingOrder="0"/>
    </dxf>
    <dxf>
      <border>
        <bottom style="thin">
          <color indexed="64"/>
        </bottom>
      </border>
    </dxf>
    <dxf>
      <alignment vertical="center" textRotation="0" indent="0" justifyLastLine="0" shrinkToFit="0" readingOrder="0"/>
      <border diagonalUp="0" diagonalDown="0" outline="0">
        <left style="thin">
          <color indexed="64"/>
        </left>
        <right style="thin">
          <color indexed="64"/>
        </right>
        <top/>
        <bottom/>
      </border>
    </dxf>
    <dxf>
      <font>
        <b val="0"/>
        <i val="0"/>
        <color auto="1"/>
      </font>
      <fill>
        <patternFill>
          <bgColor rgb="FFFF0000"/>
        </patternFill>
      </fill>
    </dxf>
    <dxf>
      <font>
        <b val="0"/>
        <i val="0"/>
        <color auto="1"/>
      </font>
      <fill>
        <patternFill>
          <bgColor rgb="FFFF0000"/>
        </patternFill>
      </fill>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ill>
        <patternFill patternType="solid">
          <bgColor rgb="FFFFC800"/>
        </patternFill>
      </fill>
    </dxf>
    <dxf>
      <numFmt numFmtId="165" formatCode="_-* #,##0_-;\-* #,##0_-;_-* &quot;-&quot;??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6"/>
        <color rgb="FF000000"/>
        <name val="Calibri"/>
        <scheme val="none"/>
      </font>
      <numFmt numFmtId="165" formatCode="_-* #,##0_-;\-* #,##0_-;_-* &quot;-&quot;??_-;_-@_-"/>
      <fill>
        <patternFill patternType="none">
          <fgColor rgb="FF000000"/>
          <bgColor rgb="FFFFFFFF"/>
        </patternFill>
      </fill>
    </dxf>
    <dxf>
      <font>
        <b/>
        <i val="0"/>
        <strike val="0"/>
        <condense val="0"/>
        <extend val="0"/>
        <outline val="0"/>
        <shadow val="0"/>
        <u val="none"/>
        <vertAlign val="baseline"/>
        <sz val="16"/>
        <color theme="1"/>
        <name val="Calibri"/>
        <scheme val="minor"/>
      </font>
      <numFmt numFmtId="1" formatCode="0"/>
      <fill>
        <patternFill patternType="none">
          <fgColor indexed="64"/>
          <bgColor indexed="65"/>
        </patternFill>
      </fill>
      <border diagonalUp="0" diagonalDown="0" outline="0">
        <left style="thin">
          <color indexed="64"/>
        </left>
        <right/>
        <top style="thin">
          <color indexed="64"/>
        </top>
        <bottom/>
      </border>
    </dxf>
    <dxf>
      <font>
        <b/>
        <strike val="0"/>
        <outline val="0"/>
        <shadow val="0"/>
        <u val="none"/>
        <vertAlign val="baseline"/>
        <sz val="16"/>
        <name val="Calibri"/>
      </font>
      <numFmt numFmtId="1" formatCode="0"/>
      <fill>
        <patternFill patternType="none">
          <fgColor indexed="64"/>
          <bgColor indexed="65"/>
        </patternFill>
      </fill>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style="thin">
          <color indexed="64"/>
        </right>
        <top style="thin">
          <color indexed="64"/>
        </top>
        <bottom/>
      </border>
    </dxf>
    <dxf>
      <font>
        <b/>
        <strike val="0"/>
        <outline val="0"/>
        <shadow val="0"/>
        <u val="none"/>
        <vertAlign val="baseline"/>
        <sz val="16"/>
        <name val="Calibri"/>
      </font>
      <numFmt numFmtId="0" formatCode="General"/>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solid">
          <fgColor indexed="64"/>
          <bgColor theme="3" tint="0.79998168889431442"/>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indexed="64"/>
          <bgColor theme="3" tint="0.79998168889431442"/>
        </patternFill>
      </fill>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solid">
          <fgColor theme="5" tint="0.59999389629810485"/>
          <bgColor theme="5"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strike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theme="5" tint="0.79998168889431442"/>
          <bgColor theme="5" tint="0.79998168889431442"/>
        </patternFill>
      </fill>
    </dxf>
    <dxf>
      <border outline="0">
        <top style="thin">
          <color rgb="FF000000"/>
        </top>
      </border>
    </dxf>
    <dxf>
      <font>
        <strike val="0"/>
        <outline val="0"/>
        <shadow val="0"/>
        <u val="none"/>
        <vertAlign val="baseline"/>
        <sz val="16"/>
        <name val="Calibri"/>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6"/>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6"/>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numFmt numFmtId="13" formatCode="0%"/>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numFmt numFmtId="165" formatCode="_-* #,##0_-;\-* #,##0_-;_-* &quot;-&quot;??_-;_-@_-"/>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numFmt numFmtId="170"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numFmt numFmtId="176" formatCode="m/d/yyyy"/>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2" formatCode="0.0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ill>
        <patternFill patternType="none">
          <fgColor indexed="64"/>
          <bgColor indexed="65"/>
        </patternFill>
      </fill>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
      <fill>
        <patternFill>
          <bgColor rgb="FFFF00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ill>
        <patternFill>
          <bgColor rgb="FFFF0000"/>
        </patternFill>
      </fill>
    </dxf>
  </dxfs>
  <tableStyles count="0" defaultTableStyle="TableStyleMedium2" defaultPivotStyle="PivotStyleLight16"/>
  <colors>
    <mruColors>
      <color rgb="FFFFFF00"/>
      <color rgb="FFFF0000"/>
      <color rgb="FF588824"/>
      <color rgb="FFCC0000"/>
      <color rgb="FFCC3300"/>
      <color rgb="FF993300"/>
      <color rgb="FF6CA62C"/>
      <color rgb="FFFD2361"/>
      <color rgb="FFCCE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4.xml"/><Relationship Id="rId39" Type="http://schemas.openxmlformats.org/officeDocument/2006/relationships/customXml" Target="../customXml/item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42" Type="http://schemas.openxmlformats.org/officeDocument/2006/relationships/customXml" Target="../customXml/item1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3.xml"/><Relationship Id="rId33" Type="http://schemas.openxmlformats.org/officeDocument/2006/relationships/customXml" Target="../customXml/item2.xml"/><Relationship Id="rId38" Type="http://schemas.openxmlformats.org/officeDocument/2006/relationships/customXml" Target="../customXml/item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41" Type="http://schemas.openxmlformats.org/officeDocument/2006/relationships/customXml" Target="../customXml/item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32" Type="http://schemas.openxmlformats.org/officeDocument/2006/relationships/customXml" Target="../customXml/item1.xml"/><Relationship Id="rId37" Type="http://schemas.openxmlformats.org/officeDocument/2006/relationships/customXml" Target="../customXml/item6.xml"/><Relationship Id="rId40" Type="http://schemas.openxmlformats.org/officeDocument/2006/relationships/customXml" Target="../customXml/item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theme" Target="theme/theme1.xml"/><Relationship Id="rId36"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pivotCacheDefinition" Target="pivotCache/pivotCacheDefinition5.xml"/><Relationship Id="rId30" Type="http://schemas.openxmlformats.org/officeDocument/2006/relationships/sharedStrings" Target="sharedStrings.xml"/><Relationship Id="rId35" Type="http://schemas.openxmlformats.org/officeDocument/2006/relationships/customXml" Target="../customXml/item4.xml"/><Relationship Id="rId43" Type="http://schemas.openxmlformats.org/officeDocument/2006/relationships/xmlMaps" Target="xmlMap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[shelter-nfi-cccm_kachin_northern_shan_cluster_analysis_report_April_2019.xlsx]IDP location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dLbl>
          <c:idx val="0"/>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18703335334551241"/>
          <c:y val="0.13559827434694499"/>
          <c:w val="0.7620403747860286"/>
          <c:h val="0.77055567472927888"/>
        </c:manualLayout>
      </c:layout>
      <c:barChart>
        <c:barDir val="bar"/>
        <c:grouping val="clustered"/>
        <c:varyColors val="0"/>
        <c:ser>
          <c:idx val="0"/>
          <c:order val="0"/>
          <c:tx>
            <c:strRef>
              <c:f>'IDP location Analysis'!$R$11</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'IDP location Analysis'!$Q$12:$Q$32</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Analysis'!$R$12:$R$32</c:f>
              <c:numCache>
                <c:formatCode>General</c:formatCode>
                <c:ptCount val="20"/>
                <c:pt idx="0">
                  <c:v>7899</c:v>
                </c:pt>
                <c:pt idx="1">
                  <c:v>3094</c:v>
                </c:pt>
                <c:pt idx="2">
                  <c:v>4038</c:v>
                </c:pt>
                <c:pt idx="3">
                  <c:v>183</c:v>
                </c:pt>
                <c:pt idx="4">
                  <c:v>120</c:v>
                </c:pt>
                <c:pt idx="5">
                  <c:v>4732</c:v>
                </c:pt>
                <c:pt idx="6">
                  <c:v>13812</c:v>
                </c:pt>
                <c:pt idx="7">
                  <c:v>313</c:v>
                </c:pt>
                <c:pt idx="8">
                  <c:v>1459</c:v>
                </c:pt>
                <c:pt idx="9">
                  <c:v>382</c:v>
                </c:pt>
                <c:pt idx="10">
                  <c:v>25132</c:v>
                </c:pt>
                <c:pt idx="11">
                  <c:v>1048</c:v>
                </c:pt>
                <c:pt idx="12">
                  <c:v>11374</c:v>
                </c:pt>
                <c:pt idx="13">
                  <c:v>2018</c:v>
                </c:pt>
                <c:pt idx="14">
                  <c:v>609</c:v>
                </c:pt>
                <c:pt idx="15">
                  <c:v>429</c:v>
                </c:pt>
                <c:pt idx="16">
                  <c:v>1867</c:v>
                </c:pt>
                <c:pt idx="17">
                  <c:v>1047</c:v>
                </c:pt>
                <c:pt idx="18">
                  <c:v>1156</c:v>
                </c:pt>
                <c:pt idx="19">
                  <c:v>25825</c:v>
                </c:pt>
              </c:numCache>
            </c:numRef>
          </c:val>
        </c:ser>
        <c:dLbls>
          <c:showLegendKey val="0"/>
          <c:showVal val="0"/>
          <c:showCatName val="0"/>
          <c:showSerName val="0"/>
          <c:showPercent val="0"/>
          <c:showBubbleSize val="0"/>
        </c:dLbls>
        <c:gapWidth val="150"/>
        <c:axId val="191216968"/>
        <c:axId val="191217360"/>
      </c:barChart>
      <c:catAx>
        <c:axId val="191216968"/>
        <c:scaling>
          <c:orientation val="minMax"/>
        </c:scaling>
        <c:delete val="0"/>
        <c:axPos val="l"/>
        <c:numFmt formatCode="General" sourceLinked="0"/>
        <c:majorTickMark val="out"/>
        <c:minorTickMark val="none"/>
        <c:tickLblPos val="nextTo"/>
        <c:crossAx val="191217360"/>
        <c:crosses val="autoZero"/>
        <c:auto val="1"/>
        <c:lblAlgn val="ctr"/>
        <c:lblOffset val="100"/>
        <c:noMultiLvlLbl val="1"/>
      </c:catAx>
      <c:valAx>
        <c:axId val="191217360"/>
        <c:scaling>
          <c:orientation val="minMax"/>
        </c:scaling>
        <c:delete val="0"/>
        <c:axPos val="b"/>
        <c:majorGridlines/>
        <c:numFmt formatCode="General" sourceLinked="1"/>
        <c:majorTickMark val="out"/>
        <c:minorTickMark val="none"/>
        <c:tickLblPos val="nextTo"/>
        <c:crossAx val="191216968"/>
        <c:crosses val="autoZero"/>
        <c:crossBetween val="between"/>
        <c:dispUnits>
          <c:builtInUnit val="thousands"/>
          <c:dispUnitsLbl>
            <c:layout/>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overview'!$F$10</c:f>
              <c:numCache>
                <c:formatCode>General</c:formatCode>
                <c:ptCount val="1"/>
                <c:pt idx="0">
                  <c:v>72</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overview'!$E$10</c:f>
              <c:numCache>
                <c:formatCode>#,##0</c:formatCode>
                <c:ptCount val="1"/>
                <c:pt idx="0">
                  <c:v>328</c:v>
                </c:pt>
              </c:numCache>
            </c:numRef>
          </c:val>
        </c:ser>
        <c:dLbls>
          <c:showLegendKey val="0"/>
          <c:showVal val="0"/>
          <c:showCatName val="0"/>
          <c:showSerName val="0"/>
          <c:showPercent val="0"/>
          <c:showBubbleSize val="0"/>
        </c:dLbls>
        <c:gapWidth val="500"/>
        <c:overlap val="-71"/>
        <c:axId val="222558184"/>
        <c:axId val="256197752"/>
      </c:barChart>
      <c:catAx>
        <c:axId val="222558184"/>
        <c:scaling>
          <c:orientation val="minMax"/>
        </c:scaling>
        <c:delete val="1"/>
        <c:axPos val="b"/>
        <c:majorTickMark val="none"/>
        <c:minorTickMark val="none"/>
        <c:tickLblPos val="nextTo"/>
        <c:crossAx val="256197752"/>
        <c:crosses val="autoZero"/>
        <c:auto val="1"/>
        <c:lblAlgn val="ctr"/>
        <c:lblOffset val="100"/>
        <c:noMultiLvlLbl val="0"/>
      </c:catAx>
      <c:valAx>
        <c:axId val="25619775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2255818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overview'!$F$11</c:f>
              <c:numCache>
                <c:formatCode>General</c:formatCode>
                <c:ptCount val="1"/>
                <c:pt idx="0">
                  <c:v>20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overview'!$E$11</c:f>
              <c:numCache>
                <c:formatCode>#,##0</c:formatCode>
                <c:ptCount val="1"/>
                <c:pt idx="0">
                  <c:v>186</c:v>
                </c:pt>
              </c:numCache>
            </c:numRef>
          </c:val>
        </c:ser>
        <c:dLbls>
          <c:showLegendKey val="0"/>
          <c:showVal val="0"/>
          <c:showCatName val="0"/>
          <c:showSerName val="0"/>
          <c:showPercent val="0"/>
          <c:showBubbleSize val="0"/>
        </c:dLbls>
        <c:gapWidth val="500"/>
        <c:overlap val="-71"/>
        <c:axId val="256198536"/>
        <c:axId val="256198928"/>
      </c:barChart>
      <c:catAx>
        <c:axId val="256198536"/>
        <c:scaling>
          <c:orientation val="minMax"/>
        </c:scaling>
        <c:delete val="1"/>
        <c:axPos val="b"/>
        <c:numFmt formatCode="General" sourceLinked="1"/>
        <c:majorTickMark val="none"/>
        <c:minorTickMark val="none"/>
        <c:tickLblPos val="nextTo"/>
        <c:crossAx val="256198928"/>
        <c:crosses val="autoZero"/>
        <c:auto val="1"/>
        <c:lblAlgn val="ctr"/>
        <c:lblOffset val="100"/>
        <c:noMultiLvlLbl val="0"/>
      </c:catAx>
      <c:valAx>
        <c:axId val="25619892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619853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overview'!$F$12</c:f>
              <c:numCache>
                <c:formatCode>General</c:formatCode>
                <c:ptCount val="1"/>
                <c:pt idx="0">
                  <c:v>258</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overview'!$E$12</c:f>
              <c:numCache>
                <c:formatCode>#,##0</c:formatCode>
                <c:ptCount val="1"/>
                <c:pt idx="0">
                  <c:v>614</c:v>
                </c:pt>
              </c:numCache>
            </c:numRef>
          </c:val>
        </c:ser>
        <c:dLbls>
          <c:showLegendKey val="0"/>
          <c:showVal val="0"/>
          <c:showCatName val="0"/>
          <c:showSerName val="0"/>
          <c:showPercent val="0"/>
          <c:showBubbleSize val="0"/>
        </c:dLbls>
        <c:gapWidth val="500"/>
        <c:overlap val="-71"/>
        <c:axId val="256199712"/>
        <c:axId val="256200104"/>
      </c:barChart>
      <c:catAx>
        <c:axId val="256199712"/>
        <c:scaling>
          <c:orientation val="minMax"/>
        </c:scaling>
        <c:delete val="1"/>
        <c:axPos val="b"/>
        <c:numFmt formatCode="General" sourceLinked="1"/>
        <c:majorTickMark val="none"/>
        <c:minorTickMark val="none"/>
        <c:tickLblPos val="nextTo"/>
        <c:crossAx val="256200104"/>
        <c:crosses val="autoZero"/>
        <c:auto val="1"/>
        <c:lblAlgn val="ctr"/>
        <c:lblOffset val="100"/>
        <c:noMultiLvlLbl val="0"/>
      </c:catAx>
      <c:valAx>
        <c:axId val="25620010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619971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9963177742333"/>
          <c:y val="9.8934534050617973E-2"/>
          <c:w val="0.48300810089668672"/>
          <c:h val="0.6890628929837721"/>
        </c:manualLayout>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overview'!$F$15</c:f>
              <c:numCache>
                <c:formatCode>General</c:formatCode>
                <c:ptCount val="1"/>
                <c:pt idx="0">
                  <c:v>286</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overview'!$E$15</c:f>
              <c:numCache>
                <c:formatCode>#,##0</c:formatCode>
                <c:ptCount val="1"/>
                <c:pt idx="0">
                  <c:v>642</c:v>
                </c:pt>
              </c:numCache>
            </c:numRef>
          </c:val>
        </c:ser>
        <c:dLbls>
          <c:showLegendKey val="0"/>
          <c:showVal val="0"/>
          <c:showCatName val="0"/>
          <c:showSerName val="0"/>
          <c:showPercent val="0"/>
          <c:showBubbleSize val="0"/>
        </c:dLbls>
        <c:gapWidth val="500"/>
        <c:overlap val="-71"/>
        <c:axId val="256200888"/>
        <c:axId val="256201280"/>
      </c:barChart>
      <c:catAx>
        <c:axId val="256200888"/>
        <c:scaling>
          <c:orientation val="minMax"/>
        </c:scaling>
        <c:delete val="1"/>
        <c:axPos val="b"/>
        <c:numFmt formatCode="General" sourceLinked="1"/>
        <c:majorTickMark val="none"/>
        <c:minorTickMark val="none"/>
        <c:tickLblPos val="nextTo"/>
        <c:crossAx val="256201280"/>
        <c:crosses val="autoZero"/>
        <c:auto val="1"/>
        <c:lblAlgn val="ctr"/>
        <c:lblOffset val="100"/>
        <c:noMultiLvlLbl val="0"/>
      </c:catAx>
      <c:valAx>
        <c:axId val="25620128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620088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overview'!$F$16</c:f>
              <c:numCache>
                <c:formatCode>General</c:formatCode>
                <c:ptCount val="1"/>
                <c:pt idx="0">
                  <c:v>179</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overview'!$E$16</c:f>
              <c:numCache>
                <c:formatCode>#,##0</c:formatCode>
                <c:ptCount val="1"/>
                <c:pt idx="0">
                  <c:v>1184</c:v>
                </c:pt>
              </c:numCache>
            </c:numRef>
          </c:val>
        </c:ser>
        <c:dLbls>
          <c:showLegendKey val="0"/>
          <c:showVal val="0"/>
          <c:showCatName val="0"/>
          <c:showSerName val="0"/>
          <c:showPercent val="0"/>
          <c:showBubbleSize val="0"/>
        </c:dLbls>
        <c:gapWidth val="500"/>
        <c:overlap val="-71"/>
        <c:axId val="256815016"/>
        <c:axId val="256815408"/>
      </c:barChart>
      <c:catAx>
        <c:axId val="256815016"/>
        <c:scaling>
          <c:orientation val="minMax"/>
        </c:scaling>
        <c:delete val="1"/>
        <c:axPos val="b"/>
        <c:numFmt formatCode="General" sourceLinked="1"/>
        <c:majorTickMark val="none"/>
        <c:minorTickMark val="none"/>
        <c:tickLblPos val="nextTo"/>
        <c:crossAx val="256815408"/>
        <c:crosses val="autoZero"/>
        <c:auto val="1"/>
        <c:lblAlgn val="ctr"/>
        <c:lblOffset val="100"/>
        <c:noMultiLvlLbl val="0"/>
      </c:catAx>
      <c:valAx>
        <c:axId val="25681540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681501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overview'!$F$17</c:f>
              <c:numCache>
                <c:formatCode>General</c:formatCode>
                <c:ptCount val="1"/>
                <c:pt idx="0">
                  <c:v>11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overview'!$E$17</c:f>
              <c:numCache>
                <c:formatCode>#,##0</c:formatCode>
                <c:ptCount val="1"/>
                <c:pt idx="0">
                  <c:v>33</c:v>
                </c:pt>
              </c:numCache>
            </c:numRef>
          </c:val>
        </c:ser>
        <c:dLbls>
          <c:showLegendKey val="0"/>
          <c:showVal val="0"/>
          <c:showCatName val="0"/>
          <c:showSerName val="0"/>
          <c:showPercent val="0"/>
          <c:showBubbleSize val="0"/>
        </c:dLbls>
        <c:gapWidth val="500"/>
        <c:overlap val="-71"/>
        <c:axId val="256816192"/>
        <c:axId val="256816584"/>
      </c:barChart>
      <c:catAx>
        <c:axId val="256816192"/>
        <c:scaling>
          <c:orientation val="minMax"/>
        </c:scaling>
        <c:delete val="1"/>
        <c:axPos val="b"/>
        <c:numFmt formatCode="General" sourceLinked="1"/>
        <c:majorTickMark val="none"/>
        <c:minorTickMark val="none"/>
        <c:tickLblPos val="nextTo"/>
        <c:crossAx val="256816584"/>
        <c:crosses val="autoZero"/>
        <c:auto val="1"/>
        <c:lblAlgn val="ctr"/>
        <c:lblOffset val="100"/>
        <c:noMultiLvlLbl val="0"/>
      </c:catAx>
      <c:valAx>
        <c:axId val="25681658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681619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overview'!$F$18</c:f>
              <c:numCache>
                <c:formatCode>General</c:formatCode>
                <c:ptCount val="1"/>
                <c:pt idx="0">
                  <c:v>242</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overview'!$E$18</c:f>
              <c:numCache>
                <c:formatCode>#,##0</c:formatCode>
                <c:ptCount val="1"/>
                <c:pt idx="0">
                  <c:v>277</c:v>
                </c:pt>
              </c:numCache>
            </c:numRef>
          </c:val>
        </c:ser>
        <c:dLbls>
          <c:showLegendKey val="0"/>
          <c:showVal val="0"/>
          <c:showCatName val="0"/>
          <c:showSerName val="0"/>
          <c:showPercent val="0"/>
          <c:showBubbleSize val="0"/>
        </c:dLbls>
        <c:gapWidth val="500"/>
        <c:overlap val="-71"/>
        <c:axId val="256817368"/>
        <c:axId val="256817760"/>
      </c:barChart>
      <c:catAx>
        <c:axId val="256817368"/>
        <c:scaling>
          <c:orientation val="minMax"/>
        </c:scaling>
        <c:delete val="1"/>
        <c:axPos val="b"/>
        <c:numFmt formatCode="General" sourceLinked="1"/>
        <c:majorTickMark val="none"/>
        <c:minorTickMark val="none"/>
        <c:tickLblPos val="nextTo"/>
        <c:crossAx val="256817760"/>
        <c:crosses val="autoZero"/>
        <c:auto val="1"/>
        <c:lblAlgn val="ctr"/>
        <c:lblOffset val="100"/>
        <c:noMultiLvlLbl val="0"/>
      </c:catAx>
      <c:valAx>
        <c:axId val="25681776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681736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overview'!$F$19</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overview'!$E$19</c:f>
              <c:numCache>
                <c:formatCode>#,##0</c:formatCode>
                <c:ptCount val="1"/>
                <c:pt idx="0">
                  <c:v>0</c:v>
                </c:pt>
              </c:numCache>
            </c:numRef>
          </c:val>
        </c:ser>
        <c:dLbls>
          <c:showLegendKey val="0"/>
          <c:showVal val="0"/>
          <c:showCatName val="0"/>
          <c:showSerName val="0"/>
          <c:showPercent val="0"/>
          <c:showBubbleSize val="0"/>
        </c:dLbls>
        <c:gapWidth val="500"/>
        <c:overlap val="-71"/>
        <c:axId val="257314264"/>
        <c:axId val="257314656"/>
      </c:barChart>
      <c:catAx>
        <c:axId val="257314264"/>
        <c:scaling>
          <c:orientation val="minMax"/>
        </c:scaling>
        <c:delete val="1"/>
        <c:axPos val="b"/>
        <c:numFmt formatCode="General" sourceLinked="1"/>
        <c:majorTickMark val="none"/>
        <c:minorTickMark val="none"/>
        <c:tickLblPos val="nextTo"/>
        <c:crossAx val="257314656"/>
        <c:crosses val="autoZero"/>
        <c:auto val="1"/>
        <c:lblAlgn val="ctr"/>
        <c:lblOffset val="100"/>
        <c:noMultiLvlLbl val="0"/>
      </c:catAx>
      <c:valAx>
        <c:axId val="25731465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731426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overview'!$F$20</c:f>
              <c:numCache>
                <c:formatCode>General</c:formatCode>
                <c:ptCount val="1"/>
                <c:pt idx="0">
                  <c:v>367</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overview'!$E$20</c:f>
              <c:numCache>
                <c:formatCode>#,##0</c:formatCode>
                <c:ptCount val="1"/>
                <c:pt idx="0">
                  <c:v>3007</c:v>
                </c:pt>
              </c:numCache>
            </c:numRef>
          </c:val>
        </c:ser>
        <c:dLbls>
          <c:showLegendKey val="0"/>
          <c:showVal val="0"/>
          <c:showCatName val="0"/>
          <c:showSerName val="0"/>
          <c:showPercent val="0"/>
          <c:showBubbleSize val="0"/>
        </c:dLbls>
        <c:gapWidth val="500"/>
        <c:overlap val="-71"/>
        <c:axId val="257315440"/>
        <c:axId val="257315832"/>
      </c:barChart>
      <c:catAx>
        <c:axId val="257315440"/>
        <c:scaling>
          <c:orientation val="minMax"/>
        </c:scaling>
        <c:delete val="1"/>
        <c:axPos val="b"/>
        <c:numFmt formatCode="General" sourceLinked="1"/>
        <c:majorTickMark val="none"/>
        <c:minorTickMark val="none"/>
        <c:tickLblPos val="nextTo"/>
        <c:crossAx val="257315832"/>
        <c:crosses val="autoZero"/>
        <c:auto val="1"/>
        <c:lblAlgn val="ctr"/>
        <c:lblOffset val="100"/>
        <c:noMultiLvlLbl val="0"/>
      </c:catAx>
      <c:valAx>
        <c:axId val="25731583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731544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overview'!$F$21</c:f>
              <c:numCache>
                <c:formatCode>General</c:formatCode>
                <c:ptCount val="1"/>
                <c:pt idx="0">
                  <c:v>17</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overview'!$E$21</c:f>
              <c:numCache>
                <c:formatCode>#,##0</c:formatCode>
                <c:ptCount val="1"/>
                <c:pt idx="0">
                  <c:v>95</c:v>
                </c:pt>
              </c:numCache>
            </c:numRef>
          </c:val>
        </c:ser>
        <c:dLbls>
          <c:showLegendKey val="0"/>
          <c:showVal val="0"/>
          <c:showCatName val="0"/>
          <c:showSerName val="0"/>
          <c:showPercent val="0"/>
          <c:showBubbleSize val="0"/>
        </c:dLbls>
        <c:gapWidth val="500"/>
        <c:overlap val="-71"/>
        <c:axId val="257316616"/>
        <c:axId val="257317008"/>
      </c:barChart>
      <c:catAx>
        <c:axId val="257316616"/>
        <c:scaling>
          <c:orientation val="minMax"/>
        </c:scaling>
        <c:delete val="1"/>
        <c:axPos val="b"/>
        <c:numFmt formatCode="General" sourceLinked="1"/>
        <c:majorTickMark val="none"/>
        <c:minorTickMark val="none"/>
        <c:tickLblPos val="nextTo"/>
        <c:crossAx val="257317008"/>
        <c:crosses val="autoZero"/>
        <c:auto val="1"/>
        <c:lblAlgn val="ctr"/>
        <c:lblOffset val="100"/>
        <c:noMultiLvlLbl val="0"/>
      </c:catAx>
      <c:valAx>
        <c:axId val="25731700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731661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(NGCA)</a:t>
            </a:r>
            <a:endParaRPr lang="en-US" sz="1100"/>
          </a:p>
        </c:rich>
      </c:tx>
      <c:layout/>
      <c:overlay val="0"/>
      <c:spPr>
        <a:noFill/>
        <a:ln>
          <a:noFill/>
        </a:ln>
        <a:effectLst/>
      </c:spPr>
    </c:title>
    <c:autoTitleDeleted val="0"/>
    <c:plotArea>
      <c:layout/>
      <c:pieChart>
        <c:varyColors val="1"/>
        <c:ser>
          <c:idx val="1"/>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dLbl>
              <c:idx val="0"/>
              <c:layout/>
              <c:tx>
                <c:rich>
                  <a:bodyPr/>
                  <a:lstStyle/>
                  <a:p>
                    <a:fld id="{44799A07-966F-4DF6-BE84-3C79D20A3A23}"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1"/>
              <c:layout>
                <c:manualLayout>
                  <c:x val="-1.5771935617686122E-2"/>
                  <c:y val="1.1173251904778889E-2"/>
                </c:manualLayout>
              </c:layout>
              <c:tx>
                <c:rich>
                  <a:bodyPr/>
                  <a:lstStyle/>
                  <a:p>
                    <a:fld id="{52680980-0D51-4938-BBA4-9781E7F74962}"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2"/>
              <c:layout>
                <c:manualLayout>
                  <c:x val="5.0328773478695663E-3"/>
                  <c:y val="2.2199900975075099E-2"/>
                </c:manualLayout>
              </c:layout>
              <c:tx>
                <c:rich>
                  <a:bodyPr/>
                  <a:lstStyle/>
                  <a:p>
                    <a:fld id="{8E4DB0FA-7203-4444-88AE-27C198A048EF}"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3"/>
              <c:layout>
                <c:manualLayout>
                  <c:x val="1.4630918275195203E-2"/>
                  <c:y val="1.0710772859916003E-2"/>
                </c:manualLayout>
              </c:layout>
              <c:tx>
                <c:rich>
                  <a:bodyPr/>
                  <a:lstStyle/>
                  <a:p>
                    <a:fld id="{E0AEF8C0-563F-4006-8832-A84076777F3C}"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Graphs!$A$9:$A$12</c:f>
              <c:strCache>
                <c:ptCount val="4"/>
                <c:pt idx="0">
                  <c:v>Camp</c:v>
                </c:pt>
                <c:pt idx="1">
                  <c:v>Host families</c:v>
                </c:pt>
                <c:pt idx="2">
                  <c:v>Boarding School</c:v>
                </c:pt>
                <c:pt idx="3">
                  <c:v>Camp like setting</c:v>
                </c:pt>
              </c:strCache>
            </c:strRef>
          </c:cat>
          <c:val>
            <c:numRef>
              <c:f>Graphs!$B$9:$B$12</c:f>
              <c:numCache>
                <c:formatCode>#,##0</c:formatCode>
                <c:ptCount val="4"/>
                <c:pt idx="0">
                  <c:v>37529</c:v>
                </c:pt>
                <c:pt idx="1">
                  <c:v>0</c:v>
                </c:pt>
                <c:pt idx="2">
                  <c:v>872</c:v>
                </c:pt>
                <c:pt idx="3">
                  <c:v>1397</c:v>
                </c:pt>
              </c:numCache>
            </c:numRef>
          </c:val>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overview'!$F$22</c:f>
              <c:numCache>
                <c:formatCode>General</c:formatCode>
                <c:ptCount val="1"/>
                <c:pt idx="0">
                  <c:v>438</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overview'!$E$22</c:f>
              <c:numCache>
                <c:formatCode>#,##0</c:formatCode>
                <c:ptCount val="1"/>
                <c:pt idx="0">
                  <c:v>876</c:v>
                </c:pt>
              </c:numCache>
            </c:numRef>
          </c:val>
        </c:ser>
        <c:dLbls>
          <c:showLegendKey val="0"/>
          <c:showVal val="0"/>
          <c:showCatName val="0"/>
          <c:showSerName val="0"/>
          <c:showPercent val="0"/>
          <c:showBubbleSize val="0"/>
        </c:dLbls>
        <c:gapWidth val="500"/>
        <c:overlap val="-71"/>
        <c:axId val="257317792"/>
        <c:axId val="257501624"/>
      </c:barChart>
      <c:catAx>
        <c:axId val="257317792"/>
        <c:scaling>
          <c:orientation val="minMax"/>
        </c:scaling>
        <c:delete val="1"/>
        <c:axPos val="b"/>
        <c:numFmt formatCode="General" sourceLinked="1"/>
        <c:majorTickMark val="none"/>
        <c:minorTickMark val="none"/>
        <c:tickLblPos val="nextTo"/>
        <c:crossAx val="257501624"/>
        <c:crosses val="autoZero"/>
        <c:auto val="1"/>
        <c:lblAlgn val="ctr"/>
        <c:lblOffset val="100"/>
        <c:noMultiLvlLbl val="0"/>
      </c:catAx>
      <c:valAx>
        <c:axId val="25750162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731779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overview'!$F$23</c:f>
              <c:numCache>
                <c:formatCode>General</c:formatCode>
                <c:ptCount val="1"/>
                <c:pt idx="0">
                  <c:v>30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overview'!$E$23</c:f>
              <c:numCache>
                <c:formatCode>#,##0</c:formatCode>
                <c:ptCount val="1"/>
                <c:pt idx="0">
                  <c:v>322</c:v>
                </c:pt>
              </c:numCache>
            </c:numRef>
          </c:val>
        </c:ser>
        <c:dLbls>
          <c:showLegendKey val="0"/>
          <c:showVal val="0"/>
          <c:showCatName val="0"/>
          <c:showSerName val="0"/>
          <c:showPercent val="0"/>
          <c:showBubbleSize val="0"/>
        </c:dLbls>
        <c:gapWidth val="500"/>
        <c:overlap val="-71"/>
        <c:axId val="257502408"/>
        <c:axId val="257502800"/>
      </c:barChart>
      <c:catAx>
        <c:axId val="257502408"/>
        <c:scaling>
          <c:orientation val="minMax"/>
        </c:scaling>
        <c:delete val="1"/>
        <c:axPos val="b"/>
        <c:numFmt formatCode="General" sourceLinked="1"/>
        <c:majorTickMark val="none"/>
        <c:minorTickMark val="none"/>
        <c:tickLblPos val="nextTo"/>
        <c:crossAx val="257502800"/>
        <c:crosses val="autoZero"/>
        <c:auto val="1"/>
        <c:lblAlgn val="ctr"/>
        <c:lblOffset val="100"/>
        <c:noMultiLvlLbl val="0"/>
      </c:catAx>
      <c:valAx>
        <c:axId val="25750280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750240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overview'!$F$24</c:f>
              <c:numCache>
                <c:formatCode>General</c:formatCode>
                <c:ptCount val="1"/>
                <c:pt idx="0">
                  <c:v>36</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overview'!$E$24</c:f>
              <c:numCache>
                <c:formatCode>#,##0</c:formatCode>
                <c:ptCount val="1"/>
                <c:pt idx="0">
                  <c:v>190</c:v>
                </c:pt>
              </c:numCache>
            </c:numRef>
          </c:val>
        </c:ser>
        <c:dLbls>
          <c:showLegendKey val="0"/>
          <c:showVal val="0"/>
          <c:showCatName val="0"/>
          <c:showSerName val="0"/>
          <c:showPercent val="0"/>
          <c:showBubbleSize val="0"/>
        </c:dLbls>
        <c:gapWidth val="500"/>
        <c:overlap val="-71"/>
        <c:axId val="257503584"/>
        <c:axId val="257503976"/>
      </c:barChart>
      <c:catAx>
        <c:axId val="257503584"/>
        <c:scaling>
          <c:orientation val="minMax"/>
        </c:scaling>
        <c:delete val="1"/>
        <c:axPos val="b"/>
        <c:numFmt formatCode="General" sourceLinked="1"/>
        <c:majorTickMark val="none"/>
        <c:minorTickMark val="none"/>
        <c:tickLblPos val="nextTo"/>
        <c:crossAx val="257503976"/>
        <c:crosses val="autoZero"/>
        <c:auto val="1"/>
        <c:lblAlgn val="ctr"/>
        <c:lblOffset val="100"/>
        <c:noMultiLvlLbl val="0"/>
      </c:catAx>
      <c:valAx>
        <c:axId val="25750397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750358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overview'!$F$26</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overview'!$E$26</c:f>
              <c:numCache>
                <c:formatCode>#,##0</c:formatCode>
                <c:ptCount val="1"/>
                <c:pt idx="0">
                  <c:v>0</c:v>
                </c:pt>
              </c:numCache>
            </c:numRef>
          </c:val>
        </c:ser>
        <c:dLbls>
          <c:showLegendKey val="0"/>
          <c:showVal val="0"/>
          <c:showCatName val="0"/>
          <c:showSerName val="0"/>
          <c:showPercent val="0"/>
          <c:showBubbleSize val="0"/>
        </c:dLbls>
        <c:gapWidth val="500"/>
        <c:overlap val="-71"/>
        <c:axId val="257504760"/>
        <c:axId val="257505152"/>
      </c:barChart>
      <c:catAx>
        <c:axId val="257504760"/>
        <c:scaling>
          <c:orientation val="minMax"/>
        </c:scaling>
        <c:delete val="1"/>
        <c:axPos val="b"/>
        <c:numFmt formatCode="General" sourceLinked="1"/>
        <c:majorTickMark val="none"/>
        <c:minorTickMark val="none"/>
        <c:tickLblPos val="nextTo"/>
        <c:crossAx val="257505152"/>
        <c:crosses val="autoZero"/>
        <c:auto val="1"/>
        <c:lblAlgn val="ctr"/>
        <c:lblOffset val="100"/>
        <c:noMultiLvlLbl val="0"/>
      </c:catAx>
      <c:valAx>
        <c:axId val="25750515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750476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overview'!$F$27</c:f>
              <c:numCache>
                <c:formatCode>General</c:formatCode>
                <c:ptCount val="1"/>
                <c:pt idx="0">
                  <c:v>178</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overview'!$E$27</c:f>
              <c:numCache>
                <c:formatCode>#,##0</c:formatCode>
                <c:ptCount val="1"/>
                <c:pt idx="0">
                  <c:v>178</c:v>
                </c:pt>
              </c:numCache>
            </c:numRef>
          </c:val>
        </c:ser>
        <c:dLbls>
          <c:showLegendKey val="0"/>
          <c:showVal val="0"/>
          <c:showCatName val="0"/>
          <c:showSerName val="0"/>
          <c:showPercent val="0"/>
          <c:showBubbleSize val="0"/>
        </c:dLbls>
        <c:gapWidth val="500"/>
        <c:overlap val="-71"/>
        <c:axId val="257884432"/>
        <c:axId val="257884824"/>
      </c:barChart>
      <c:catAx>
        <c:axId val="257884432"/>
        <c:scaling>
          <c:orientation val="minMax"/>
        </c:scaling>
        <c:delete val="1"/>
        <c:axPos val="b"/>
        <c:numFmt formatCode="General" sourceLinked="1"/>
        <c:majorTickMark val="none"/>
        <c:minorTickMark val="none"/>
        <c:tickLblPos val="nextTo"/>
        <c:crossAx val="257884824"/>
        <c:crosses val="autoZero"/>
        <c:auto val="1"/>
        <c:lblAlgn val="ctr"/>
        <c:lblOffset val="100"/>
        <c:noMultiLvlLbl val="0"/>
      </c:catAx>
      <c:valAx>
        <c:axId val="25788482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788443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5873971466938"/>
          <c:y val="0.19384550915319901"/>
          <c:w val="0.49639055867482584"/>
          <c:h val="0.61230898169360204"/>
        </c:manualLayout>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overview'!$F$29</c:f>
              <c:numCache>
                <c:formatCode>General</c:formatCode>
                <c:ptCount val="1"/>
                <c:pt idx="0">
                  <c:v>295</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overview'!$E$29</c:f>
              <c:numCache>
                <c:formatCode>#,##0</c:formatCode>
                <c:ptCount val="1"/>
                <c:pt idx="0">
                  <c:v>2119</c:v>
                </c:pt>
              </c:numCache>
            </c:numRef>
          </c:val>
        </c:ser>
        <c:dLbls>
          <c:showLegendKey val="0"/>
          <c:showVal val="0"/>
          <c:showCatName val="0"/>
          <c:showSerName val="0"/>
          <c:showPercent val="0"/>
          <c:showBubbleSize val="0"/>
        </c:dLbls>
        <c:gapWidth val="500"/>
        <c:overlap val="-71"/>
        <c:axId val="257885608"/>
        <c:axId val="257886000"/>
      </c:barChart>
      <c:catAx>
        <c:axId val="257885608"/>
        <c:scaling>
          <c:orientation val="minMax"/>
        </c:scaling>
        <c:delete val="1"/>
        <c:axPos val="b"/>
        <c:numFmt formatCode="General" sourceLinked="1"/>
        <c:majorTickMark val="none"/>
        <c:minorTickMark val="none"/>
        <c:tickLblPos val="nextTo"/>
        <c:crossAx val="257886000"/>
        <c:crosses val="autoZero"/>
        <c:auto val="1"/>
        <c:lblAlgn val="ctr"/>
        <c:lblOffset val="100"/>
        <c:noMultiLvlLbl val="0"/>
      </c:catAx>
      <c:valAx>
        <c:axId val="25788600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788560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overview'!$F$25</c:f>
              <c:numCache>
                <c:formatCode>General</c:formatCode>
                <c:ptCount val="1"/>
                <c:pt idx="0">
                  <c:v>60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overview'!$E$25</c:f>
              <c:numCache>
                <c:formatCode>#,##0</c:formatCode>
                <c:ptCount val="1"/>
                <c:pt idx="0">
                  <c:v>60</c:v>
                </c:pt>
              </c:numCache>
            </c:numRef>
          </c:val>
        </c:ser>
        <c:dLbls>
          <c:showLegendKey val="0"/>
          <c:showVal val="0"/>
          <c:showCatName val="0"/>
          <c:showSerName val="0"/>
          <c:showPercent val="0"/>
          <c:showBubbleSize val="0"/>
        </c:dLbls>
        <c:gapWidth val="500"/>
        <c:overlap val="-71"/>
        <c:axId val="257886784"/>
        <c:axId val="257887176"/>
      </c:barChart>
      <c:catAx>
        <c:axId val="257886784"/>
        <c:scaling>
          <c:orientation val="minMax"/>
        </c:scaling>
        <c:delete val="1"/>
        <c:axPos val="b"/>
        <c:numFmt formatCode="General" sourceLinked="1"/>
        <c:majorTickMark val="none"/>
        <c:minorTickMark val="none"/>
        <c:tickLblPos val="nextTo"/>
        <c:crossAx val="257887176"/>
        <c:crosses val="autoZero"/>
        <c:auto val="1"/>
        <c:lblAlgn val="ctr"/>
        <c:lblOffset val="100"/>
        <c:noMultiLvlLbl val="0"/>
      </c:catAx>
      <c:valAx>
        <c:axId val="25788717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788678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overview'!$F$28</c:f>
              <c:numCache>
                <c:formatCode>General</c:formatCode>
                <c:ptCount val="1"/>
                <c:pt idx="0">
                  <c:v>118</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overview'!$E$28</c:f>
              <c:numCache>
                <c:formatCode>#,##0</c:formatCode>
                <c:ptCount val="1"/>
                <c:pt idx="0">
                  <c:v>139</c:v>
                </c:pt>
              </c:numCache>
            </c:numRef>
          </c:val>
        </c:ser>
        <c:dLbls>
          <c:showLegendKey val="0"/>
          <c:showVal val="0"/>
          <c:showCatName val="0"/>
          <c:showSerName val="0"/>
          <c:showPercent val="0"/>
          <c:showBubbleSize val="0"/>
        </c:dLbls>
        <c:gapWidth val="500"/>
        <c:overlap val="-71"/>
        <c:axId val="257761160"/>
        <c:axId val="257761552"/>
      </c:barChart>
      <c:catAx>
        <c:axId val="257761160"/>
        <c:scaling>
          <c:orientation val="minMax"/>
        </c:scaling>
        <c:delete val="1"/>
        <c:axPos val="b"/>
        <c:numFmt formatCode="General" sourceLinked="1"/>
        <c:majorTickMark val="none"/>
        <c:minorTickMark val="none"/>
        <c:tickLblPos val="nextTo"/>
        <c:crossAx val="257761552"/>
        <c:crosses val="autoZero"/>
        <c:auto val="1"/>
        <c:lblAlgn val="ctr"/>
        <c:lblOffset val="100"/>
        <c:noMultiLvlLbl val="0"/>
      </c:catAx>
      <c:valAx>
        <c:axId val="25776155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776116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overview'!$F$13</c:f>
              <c:numCache>
                <c:formatCode>General</c:formatCode>
                <c:ptCount val="1"/>
                <c:pt idx="0">
                  <c:v>25</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overview'!$E$13</c:f>
              <c:numCache>
                <c:formatCode>#,##0</c:formatCode>
                <c:ptCount val="1"/>
                <c:pt idx="0">
                  <c:v>42</c:v>
                </c:pt>
              </c:numCache>
            </c:numRef>
          </c:val>
        </c:ser>
        <c:dLbls>
          <c:showLegendKey val="0"/>
          <c:showVal val="0"/>
          <c:showCatName val="0"/>
          <c:showSerName val="0"/>
          <c:showPercent val="0"/>
          <c:showBubbleSize val="0"/>
        </c:dLbls>
        <c:gapWidth val="500"/>
        <c:overlap val="-71"/>
        <c:axId val="257762336"/>
        <c:axId val="257762728"/>
      </c:barChart>
      <c:catAx>
        <c:axId val="257762336"/>
        <c:scaling>
          <c:orientation val="minMax"/>
        </c:scaling>
        <c:delete val="1"/>
        <c:axPos val="b"/>
        <c:numFmt formatCode="General" sourceLinked="1"/>
        <c:majorTickMark val="none"/>
        <c:minorTickMark val="none"/>
        <c:tickLblPos val="nextTo"/>
        <c:crossAx val="257762728"/>
        <c:crosses val="autoZero"/>
        <c:auto val="1"/>
        <c:lblAlgn val="ctr"/>
        <c:lblOffset val="100"/>
        <c:noMultiLvlLbl val="0"/>
      </c:catAx>
      <c:valAx>
        <c:axId val="25776272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776233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[shelter-nfi-cccm_kachin_northern_shan_cluster_analysis_report_April_2019.xlsx]NFI Summary!PivotTable2</c:name>
    <c:fmtId val="0"/>
  </c:pivotSource>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en-US" sz="1050" b="1">
                <a:solidFill>
                  <a:sysClr val="windowText" lastClr="000000"/>
                </a:solidFill>
              </a:rPr>
              <a:t># of distributions by agencies/location</a:t>
            </a:r>
            <a:endParaRPr lang="en-US" sz="800" b="0" baseline="0">
              <a:solidFill>
                <a:sysClr val="windowText" lastClr="000000"/>
              </a:solidFill>
            </a:endParaRPr>
          </a:p>
          <a:p>
            <a:pPr>
              <a:defRPr sz="1050" b="0" i="0" u="none" strike="noStrike" kern="1200" spc="0" baseline="0">
                <a:solidFill>
                  <a:sysClr val="windowText" lastClr="000000"/>
                </a:solidFill>
                <a:latin typeface="+mn-lt"/>
                <a:ea typeface="+mn-ea"/>
                <a:cs typeface="+mn-cs"/>
              </a:defRPr>
            </a:pPr>
            <a:r>
              <a:rPr lang="en-US" sz="800" b="0" baseline="0">
                <a:solidFill>
                  <a:sysClr val="windowText" lastClr="000000"/>
                </a:solidFill>
              </a:rPr>
              <a:t>(2018- 2019</a:t>
            </a:r>
            <a:r>
              <a:rPr lang="en-US" sz="800" b="0">
                <a:solidFill>
                  <a:sysClr val="windowText" lastClr="000000"/>
                </a:solidFill>
              </a:rPr>
              <a:t>)</a:t>
            </a:r>
          </a:p>
        </c:rich>
      </c:tx>
      <c:layout>
        <c:manualLayout>
          <c:xMode val="edge"/>
          <c:yMode val="edge"/>
          <c:x val="0.3781295157816002"/>
          <c:y val="3.4376572381337622E-2"/>
        </c:manualLayout>
      </c:layout>
      <c:overlay val="0"/>
      <c:spPr>
        <a:noFill/>
        <a:ln>
          <a:noFill/>
        </a:ln>
        <a:effectLst/>
      </c:spPr>
    </c:title>
    <c:autoTitleDeleted val="0"/>
    <c:pivotFmts>
      <c:pivotFmt>
        <c:idx val="0"/>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3.8686990675521379E-2"/>
          <c:y val="0.2193174482421178"/>
          <c:w val="0.92262601864895721"/>
          <c:h val="0.38385371254605938"/>
        </c:manualLayout>
      </c:layout>
      <c:barChart>
        <c:barDir val="col"/>
        <c:grouping val="clustered"/>
        <c:varyColors val="0"/>
        <c:ser>
          <c:idx val="0"/>
          <c:order val="0"/>
          <c:tx>
            <c:strRef>
              <c:f>'NFI Summary'!$AY$4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'NFI Summary'!$AX$5:$AX$18</c:f>
              <c:strCache>
                <c:ptCount val="13"/>
                <c:pt idx="0">
                  <c:v>Metta</c:v>
                </c:pt>
                <c:pt idx="1">
                  <c:v>MRCS</c:v>
                </c:pt>
                <c:pt idx="2">
                  <c:v>NRC</c:v>
                </c:pt>
                <c:pt idx="3">
                  <c:v>UNHCR</c:v>
                </c:pt>
                <c:pt idx="4">
                  <c:v>SCI</c:v>
                </c:pt>
                <c:pt idx="5">
                  <c:v>IRC</c:v>
                </c:pt>
                <c:pt idx="6">
                  <c:v>KMSS_Myitkyina</c:v>
                </c:pt>
                <c:pt idx="7">
                  <c:v>DRC</c:v>
                </c:pt>
                <c:pt idx="8">
                  <c:v>KBC</c:v>
                </c:pt>
                <c:pt idx="9">
                  <c:v>WVI</c:v>
                </c:pt>
                <c:pt idx="10">
                  <c:v>Plan Int.</c:v>
                </c:pt>
                <c:pt idx="11">
                  <c:v>SI</c:v>
                </c:pt>
                <c:pt idx="12">
                  <c:v>ICRC (Observer)</c:v>
                </c:pt>
              </c:strCache>
            </c:strRef>
          </c:cat>
          <c:val>
            <c:numRef>
              <c:f>'NFI Summary'!$AY$5:$AY$18</c:f>
              <c:numCache>
                <c:formatCode>General</c:formatCode>
                <c:ptCount val="13"/>
                <c:pt idx="0">
                  <c:v>15</c:v>
                </c:pt>
                <c:pt idx="1">
                  <c:v>14</c:v>
                </c:pt>
                <c:pt idx="2">
                  <c:v>45</c:v>
                </c:pt>
                <c:pt idx="3">
                  <c:v>102</c:v>
                </c:pt>
                <c:pt idx="4">
                  <c:v>7</c:v>
                </c:pt>
                <c:pt idx="5">
                  <c:v>59</c:v>
                </c:pt>
                <c:pt idx="6">
                  <c:v>2</c:v>
                </c:pt>
                <c:pt idx="7">
                  <c:v>88</c:v>
                </c:pt>
                <c:pt idx="8">
                  <c:v>1</c:v>
                </c:pt>
                <c:pt idx="9">
                  <c:v>20</c:v>
                </c:pt>
                <c:pt idx="10">
                  <c:v>4</c:v>
                </c:pt>
                <c:pt idx="11">
                  <c:v>1</c:v>
                </c:pt>
                <c:pt idx="12">
                  <c:v>71</c:v>
                </c:pt>
              </c:numCache>
            </c:numRef>
          </c:val>
        </c:ser>
        <c:dLbls>
          <c:showLegendKey val="0"/>
          <c:showVal val="0"/>
          <c:showCatName val="0"/>
          <c:showSerName val="0"/>
          <c:showPercent val="0"/>
          <c:showBubbleSize val="0"/>
        </c:dLbls>
        <c:gapWidth val="219"/>
        <c:overlap val="-27"/>
        <c:axId val="257763120"/>
        <c:axId val="257763904"/>
      </c:barChart>
      <c:catAx>
        <c:axId val="25776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57763904"/>
        <c:crosses val="autoZero"/>
        <c:auto val="1"/>
        <c:lblAlgn val="ctr"/>
        <c:lblOffset val="100"/>
        <c:noMultiLvlLbl val="0"/>
      </c:catAx>
      <c:valAx>
        <c:axId val="257763904"/>
        <c:scaling>
          <c:orientation val="minMax"/>
        </c:scaling>
        <c:delete val="1"/>
        <c:axPos val="l"/>
        <c:numFmt formatCode="General" sourceLinked="1"/>
        <c:majorTickMark val="none"/>
        <c:minorTickMark val="none"/>
        <c:tickLblPos val="nextTo"/>
        <c:crossAx val="257763120"/>
        <c:crosses val="autoZero"/>
        <c:crossBetween val="between"/>
      </c:valAx>
      <c:spPr>
        <a:noFill/>
        <a:ln>
          <a:noFill/>
        </a:ln>
        <a:effectLst/>
      </c:spPr>
    </c:plotArea>
    <c:plotVisOnly val="1"/>
    <c:dispBlanksAs val="gap"/>
    <c:showDLblsOverMax val="0"/>
  </c:chart>
  <c:spPr>
    <a:no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a:t>
            </a:r>
            <a:r>
              <a:rPr lang="en-US" baseline="0"/>
              <a:t> proportion </a:t>
            </a:r>
            <a:r>
              <a:rPr lang="en-US"/>
              <a:t>according to state</a:t>
            </a:r>
          </a:p>
        </c:rich>
      </c:tx>
      <c:layout/>
      <c:overlay val="0"/>
      <c:spPr>
        <a:noFill/>
        <a:ln>
          <a:noFill/>
        </a:ln>
        <a:effectLst/>
      </c:spPr>
    </c:title>
    <c:autoTitleDeleted val="0"/>
    <c:plotArea>
      <c:layout/>
      <c:pieChart>
        <c:varyColors val="1"/>
        <c:ser>
          <c:idx val="0"/>
          <c:order val="0"/>
          <c:dPt>
            <c:idx val="0"/>
            <c:bubble3D val="0"/>
            <c:spPr>
              <a:solidFill>
                <a:schemeClr val="tx2">
                  <a:lumMod val="40000"/>
                  <a:lumOff val="60000"/>
                </a:schemeClr>
              </a:solidFill>
              <a:ln w="19050">
                <a:solidFill>
                  <a:schemeClr val="lt1"/>
                </a:solidFill>
              </a:ln>
              <a:effectLst/>
            </c:spPr>
          </c:dPt>
          <c:dPt>
            <c:idx val="1"/>
            <c:bubble3D val="0"/>
            <c:spPr>
              <a:solidFill>
                <a:schemeClr val="tx2">
                  <a:lumMod val="20000"/>
                  <a:lumOff val="80000"/>
                </a:schemeClr>
              </a:solidFill>
              <a:ln w="19050">
                <a:solidFill>
                  <a:schemeClr val="lt1"/>
                </a:solidFill>
              </a:ln>
              <a:effectLst/>
            </c:spPr>
          </c:dPt>
          <c:dLbls>
            <c:dLbl>
              <c:idx val="0"/>
              <c:layout>
                <c:manualLayout>
                  <c:x val="-7.9112536909389561E-2"/>
                  <c:y val="0.1192959458213546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layout/>
                </c:ext>
              </c:extLst>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Graphs!$A$16:$A$17</c:f>
              <c:strCache>
                <c:ptCount val="2"/>
                <c:pt idx="0">
                  <c:v>Kachin</c:v>
                </c:pt>
                <c:pt idx="1">
                  <c:v>Northern Shan</c:v>
                </c:pt>
              </c:strCache>
            </c:strRef>
          </c:cat>
          <c:val>
            <c:numRef>
              <c:f>Graphs!$B$16:$B$17</c:f>
              <c:numCache>
                <c:formatCode>General</c:formatCode>
                <c:ptCount val="2"/>
                <c:pt idx="0">
                  <c:v>97514</c:v>
                </c:pt>
                <c:pt idx="1">
                  <c:v>9023</c:v>
                </c:pt>
              </c:numCache>
            </c:numRef>
          </c:val>
        </c:ser>
        <c:dLbls>
          <c:showLegendKey val="0"/>
          <c:showVal val="0"/>
          <c:showCatName val="0"/>
          <c:showSerName val="0"/>
          <c:showPercent val="0"/>
          <c:showBubbleSize val="0"/>
          <c:showLeaderLines val="0"/>
        </c:dLbls>
        <c:firstSliceAng val="0"/>
      </c:pieChart>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68444608389631456"/>
          <c:y val="0.40279274824195993"/>
          <c:w val="0.29720142122005899"/>
          <c:h val="0.2246026703769203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[shelter-nfi-cccm_kachin_northern_shan_cluster_analysis_report_April_2019.xlsx]NFI Summary!PivotTable3</c:name>
    <c:fmtId val="4"/>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050" b="1">
                <a:solidFill>
                  <a:sysClr val="windowText" lastClr="000000"/>
                </a:solidFill>
              </a:rPr>
              <a:t># of each item distributed</a:t>
            </a:r>
            <a:r>
              <a:rPr lang="en-US" sz="1050" b="1" baseline="0">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n-US" sz="800" b="0" baseline="0">
                <a:solidFill>
                  <a:sysClr val="windowText" lastClr="000000"/>
                </a:solidFill>
              </a:rPr>
              <a:t>(2017, 2018 and 2019)</a:t>
            </a:r>
            <a:endParaRPr lang="en-US" sz="800" b="0">
              <a:solidFill>
                <a:sysClr val="windowText" lastClr="000000"/>
              </a:solidFill>
            </a:endParaRPr>
          </a:p>
        </c:rich>
      </c:tx>
      <c:layout>
        <c:manualLayout>
          <c:xMode val="edge"/>
          <c:yMode val="edge"/>
          <c:x val="0.30467899677018734"/>
          <c:y val="2.7584668278826656E-2"/>
        </c:manualLayout>
      </c:layout>
      <c:overlay val="0"/>
      <c:spPr>
        <a:noFill/>
        <a:ln>
          <a:noFill/>
        </a:ln>
        <a:effectLst/>
      </c:spPr>
    </c:title>
    <c:autoTitleDeleted val="0"/>
    <c:pivotFmts>
      <c:pivotFmt>
        <c:idx val="0"/>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4133767013245133E-2"/>
          <c:y val="0.14474201937296108"/>
          <c:w val="0.96562926509186353"/>
          <c:h val="0.48678097235660323"/>
        </c:manualLayout>
      </c:layout>
      <c:barChart>
        <c:barDir val="col"/>
        <c:grouping val="clustered"/>
        <c:varyColors val="0"/>
        <c:ser>
          <c:idx val="0"/>
          <c:order val="0"/>
          <c:tx>
            <c:strRef>
              <c:f>'NFI Summary'!$AV$4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'NFI Summary'!$AU$5:$AU$14</c:f>
              <c:strCache>
                <c:ptCount val="10"/>
                <c:pt idx="0">
                  <c:v> Cash for NFI (# of HHs covered)</c:v>
                </c:pt>
                <c:pt idx="1">
                  <c:v> NFI Core Kit</c:v>
                </c:pt>
                <c:pt idx="2">
                  <c:v> Sanitary Kit</c:v>
                </c:pt>
                <c:pt idx="3">
                  <c:v> Mosquito net</c:v>
                </c:pt>
                <c:pt idx="4">
                  <c:v> Tarpaulin</c:v>
                </c:pt>
                <c:pt idx="5">
                  <c:v> Blanket</c:v>
                </c:pt>
                <c:pt idx="6">
                  <c:v> Kitchen Set</c:v>
                </c:pt>
                <c:pt idx="7">
                  <c:v> Plastic Bucket</c:v>
                </c:pt>
                <c:pt idx="8">
                  <c:v> Plastic Mat</c:v>
                </c:pt>
                <c:pt idx="9">
                  <c:v> Solar lamps</c:v>
                </c:pt>
              </c:strCache>
            </c:strRef>
          </c:cat>
          <c:val>
            <c:numRef>
              <c:f>'NFI Summary'!$AV$5:$AV$14</c:f>
              <c:numCache>
                <c:formatCode>General</c:formatCode>
                <c:ptCount val="10"/>
                <c:pt idx="0">
                  <c:v>1932</c:v>
                </c:pt>
                <c:pt idx="1">
                  <c:v>2590</c:v>
                </c:pt>
                <c:pt idx="2">
                  <c:v>5248</c:v>
                </c:pt>
                <c:pt idx="3">
                  <c:v>6690</c:v>
                </c:pt>
                <c:pt idx="4">
                  <c:v>2833</c:v>
                </c:pt>
                <c:pt idx="5">
                  <c:v>12893</c:v>
                </c:pt>
                <c:pt idx="6">
                  <c:v>3693</c:v>
                </c:pt>
                <c:pt idx="7">
                  <c:v>2102</c:v>
                </c:pt>
                <c:pt idx="8">
                  <c:v>15542</c:v>
                </c:pt>
                <c:pt idx="9">
                  <c:v>6479</c:v>
                </c:pt>
              </c:numCache>
            </c:numRef>
          </c:val>
        </c:ser>
        <c:dLbls>
          <c:dLblPos val="outEnd"/>
          <c:showLegendKey val="0"/>
          <c:showVal val="1"/>
          <c:showCatName val="0"/>
          <c:showSerName val="0"/>
          <c:showPercent val="0"/>
          <c:showBubbleSize val="0"/>
        </c:dLbls>
        <c:gapWidth val="219"/>
        <c:overlap val="-27"/>
        <c:axId val="257764688"/>
        <c:axId val="263968760"/>
      </c:barChart>
      <c:catAx>
        <c:axId val="257764688"/>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63968760"/>
        <c:crosses val="autoZero"/>
        <c:auto val="1"/>
        <c:lblAlgn val="ctr"/>
        <c:lblOffset val="100"/>
        <c:noMultiLvlLbl val="0"/>
      </c:catAx>
      <c:valAx>
        <c:axId val="263968760"/>
        <c:scaling>
          <c:orientation val="minMax"/>
        </c:scaling>
        <c:delete val="1"/>
        <c:axPos val="l"/>
        <c:numFmt formatCode="General" sourceLinked="1"/>
        <c:majorTickMark val="none"/>
        <c:minorTickMark val="none"/>
        <c:tickLblPos val="nextTo"/>
        <c:crossAx val="257764688"/>
        <c:crosses val="autoZero"/>
        <c:crossBetween val="between"/>
      </c:valAx>
      <c:spPr>
        <a:noFill/>
        <a:ln>
          <a:noFill/>
        </a:ln>
        <a:effectLst/>
      </c:spPr>
    </c:plotArea>
    <c:plotVisOnly val="1"/>
    <c:dispBlanksAs val="gap"/>
    <c:showDLblsOverMax val="0"/>
  </c:chart>
  <c:spPr>
    <a:solidFill>
      <a:schemeClr val="bg1"/>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[shelter-nfi-cccm_kachin_northern_shan_cluster_analysis_report_April_2019.xlsx]NFI Summary!PivotTable4</c:name>
    <c:fmtId val="1"/>
  </c:pivotSource>
  <c:chart>
    <c:autoTitleDeleted val="1"/>
    <c:pivotFmts>
      <c:pivotFmt>
        <c:idx val="0"/>
        <c:spPr>
          <a:solidFill>
            <a:schemeClr val="accent6"/>
          </a:solidFill>
          <a:ln>
            <a:noFill/>
          </a:ln>
          <a:effectLst/>
        </c:spPr>
        <c:marker>
          <c:symbol val="none"/>
        </c:marker>
        <c:dLbl>
          <c:idx val="0"/>
          <c:layout/>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2.9247729682794588E-2"/>
          <c:y val="8.6820057174014517E-2"/>
          <c:w val="0.9205058717253839"/>
          <c:h val="0.44316284722767696"/>
        </c:manualLayout>
      </c:layout>
      <c:barChart>
        <c:barDir val="col"/>
        <c:grouping val="clustered"/>
        <c:varyColors val="0"/>
        <c:ser>
          <c:idx val="0"/>
          <c:order val="0"/>
          <c:tx>
            <c:strRef>
              <c:f>'NFI Summary'!$AV$18</c:f>
              <c:strCache>
                <c:ptCount val="1"/>
                <c:pt idx="0">
                  <c:v>Total</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'NFI Summary'!$AU$19:$AU$62</c:f>
              <c:strCache>
                <c:ptCount val="43"/>
                <c:pt idx="0">
                  <c:v>Bhamo</c:v>
                </c:pt>
                <c:pt idx="1">
                  <c:v>Chipwi</c:v>
                </c:pt>
                <c:pt idx="2">
                  <c:v>Hpakant</c:v>
                </c:pt>
                <c:pt idx="3">
                  <c:v>Hseni</c:v>
                </c:pt>
                <c:pt idx="4">
                  <c:v>Kutkai</c:v>
                </c:pt>
                <c:pt idx="5">
                  <c:v>Mansi</c:v>
                </c:pt>
                <c:pt idx="6">
                  <c:v>Myitkyina</c:v>
                </c:pt>
                <c:pt idx="7">
                  <c:v>Namtu</c:v>
                </c:pt>
                <c:pt idx="8">
                  <c:v>Shwegu</c:v>
                </c:pt>
                <c:pt idx="9">
                  <c:v>Sumprabum</c:v>
                </c:pt>
                <c:pt idx="10">
                  <c:v>Tanai</c:v>
                </c:pt>
                <c:pt idx="11">
                  <c:v>Waingmaw</c:v>
                </c:pt>
                <c:pt idx="12">
                  <c:v>Mohnyin</c:v>
                </c:pt>
                <c:pt idx="13">
                  <c:v>Kyaukme</c:v>
                </c:pt>
                <c:pt idx="14">
                  <c:v>Momauk</c:v>
                </c:pt>
                <c:pt idx="15">
                  <c:v>Namhkan</c:v>
                </c:pt>
                <c:pt idx="16">
                  <c:v>Muse</c:v>
                </c:pt>
                <c:pt idx="17">
                  <c:v>Mogaung</c:v>
                </c:pt>
                <c:pt idx="18">
                  <c:v>Injangyang</c:v>
                </c:pt>
                <c:pt idx="19">
                  <c:v>Puta-O</c:v>
                </c:pt>
                <c:pt idx="20">
                  <c:v>Manton</c:v>
                </c:pt>
                <c:pt idx="21">
                  <c:v>Hsipaw</c:v>
                </c:pt>
                <c:pt idx="22">
                  <c:v>lashio</c:v>
                </c:pt>
                <c:pt idx="23">
                  <c:v>Mong Shu</c:v>
                </c:pt>
                <c:pt idx="24">
                  <c:v>Luakking </c:v>
                </c:pt>
                <c:pt idx="25">
                  <c:v>Mawkmai</c:v>
                </c:pt>
                <c:pt idx="26">
                  <c:v>Laukkaing</c:v>
                </c:pt>
                <c:pt idx="27">
                  <c:v>Kut Kai</c:v>
                </c:pt>
                <c:pt idx="28">
                  <c:v>Namkham</c:v>
                </c:pt>
                <c:pt idx="29">
                  <c:v>Waimaw</c:v>
                </c:pt>
                <c:pt idx="30">
                  <c:v>Kamai (K)</c:v>
                </c:pt>
                <c:pt idx="31">
                  <c:v>Hpakant (K)</c:v>
                </c:pt>
                <c:pt idx="32">
                  <c:v>Waimaw (K)</c:v>
                </c:pt>
                <c:pt idx="33">
                  <c:v>Kutkai (S)</c:v>
                </c:pt>
                <c:pt idx="34">
                  <c:v>Namtu (S)</c:v>
                </c:pt>
                <c:pt idx="35">
                  <c:v>Mansi </c:v>
                </c:pt>
                <c:pt idx="36">
                  <c:v>Moemauk </c:v>
                </c:pt>
                <c:pt idx="37">
                  <c:v>Kamai </c:v>
                </c:pt>
                <c:pt idx="38">
                  <c:v>Hpakant </c:v>
                </c:pt>
                <c:pt idx="39">
                  <c:v>Waimaw </c:v>
                </c:pt>
                <c:pt idx="40">
                  <c:v>Nam Hkam </c:v>
                </c:pt>
                <c:pt idx="41">
                  <c:v>Mandong</c:v>
                </c:pt>
                <c:pt idx="42">
                  <c:v>Moe mouk</c:v>
                </c:pt>
              </c:strCache>
            </c:strRef>
          </c:cat>
          <c:val>
            <c:numRef>
              <c:f>'NFI Summary'!$AV$19:$AV$62</c:f>
              <c:numCache>
                <c:formatCode>General</c:formatCode>
                <c:ptCount val="43"/>
                <c:pt idx="0">
                  <c:v>32</c:v>
                </c:pt>
                <c:pt idx="1">
                  <c:v>12</c:v>
                </c:pt>
                <c:pt idx="2">
                  <c:v>21</c:v>
                </c:pt>
                <c:pt idx="3">
                  <c:v>5</c:v>
                </c:pt>
                <c:pt idx="4">
                  <c:v>62</c:v>
                </c:pt>
                <c:pt idx="5">
                  <c:v>57</c:v>
                </c:pt>
                <c:pt idx="6">
                  <c:v>72</c:v>
                </c:pt>
                <c:pt idx="7">
                  <c:v>55</c:v>
                </c:pt>
                <c:pt idx="8">
                  <c:v>8</c:v>
                </c:pt>
                <c:pt idx="9">
                  <c:v>32</c:v>
                </c:pt>
                <c:pt idx="10">
                  <c:v>6</c:v>
                </c:pt>
                <c:pt idx="11">
                  <c:v>59</c:v>
                </c:pt>
                <c:pt idx="12">
                  <c:v>3</c:v>
                </c:pt>
                <c:pt idx="13">
                  <c:v>13</c:v>
                </c:pt>
                <c:pt idx="14">
                  <c:v>23</c:v>
                </c:pt>
                <c:pt idx="15">
                  <c:v>35</c:v>
                </c:pt>
                <c:pt idx="16">
                  <c:v>12</c:v>
                </c:pt>
                <c:pt idx="17">
                  <c:v>22</c:v>
                </c:pt>
                <c:pt idx="18">
                  <c:v>2</c:v>
                </c:pt>
                <c:pt idx="19">
                  <c:v>2</c:v>
                </c:pt>
                <c:pt idx="20">
                  <c:v>6</c:v>
                </c:pt>
                <c:pt idx="21">
                  <c:v>11</c:v>
                </c:pt>
                <c:pt idx="22">
                  <c:v>5</c:v>
                </c:pt>
                <c:pt idx="23">
                  <c:v>2</c:v>
                </c:pt>
                <c:pt idx="24">
                  <c:v>1</c:v>
                </c:pt>
                <c:pt idx="25">
                  <c:v>2</c:v>
                </c:pt>
                <c:pt idx="26">
                  <c:v>4</c:v>
                </c:pt>
                <c:pt idx="27">
                  <c:v>6</c:v>
                </c:pt>
                <c:pt idx="28">
                  <c:v>10</c:v>
                </c:pt>
                <c:pt idx="29">
                  <c:v>1</c:v>
                </c:pt>
                <c:pt idx="30">
                  <c:v>1</c:v>
                </c:pt>
                <c:pt idx="31">
                  <c:v>1</c:v>
                </c:pt>
                <c:pt idx="32">
                  <c:v>1</c:v>
                </c:pt>
                <c:pt idx="33">
                  <c:v>3</c:v>
                </c:pt>
                <c:pt idx="34">
                  <c:v>3</c:v>
                </c:pt>
                <c:pt idx="35">
                  <c:v>1</c:v>
                </c:pt>
                <c:pt idx="36">
                  <c:v>1</c:v>
                </c:pt>
                <c:pt idx="37">
                  <c:v>1</c:v>
                </c:pt>
                <c:pt idx="38">
                  <c:v>4</c:v>
                </c:pt>
                <c:pt idx="39">
                  <c:v>1</c:v>
                </c:pt>
                <c:pt idx="40">
                  <c:v>5</c:v>
                </c:pt>
                <c:pt idx="41">
                  <c:v>1</c:v>
                </c:pt>
                <c:pt idx="42">
                  <c:v>2</c:v>
                </c:pt>
              </c:numCache>
            </c:numRef>
          </c:val>
        </c:ser>
        <c:dLbls>
          <c:dLblPos val="outEnd"/>
          <c:showLegendKey val="0"/>
          <c:showVal val="1"/>
          <c:showCatName val="0"/>
          <c:showSerName val="0"/>
          <c:showPercent val="0"/>
          <c:showBubbleSize val="0"/>
        </c:dLbls>
        <c:gapWidth val="219"/>
        <c:overlap val="-27"/>
        <c:axId val="263969544"/>
        <c:axId val="263969936"/>
      </c:barChart>
      <c:catAx>
        <c:axId val="263969544"/>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63969936"/>
        <c:crosses val="autoZero"/>
        <c:auto val="1"/>
        <c:lblAlgn val="ctr"/>
        <c:lblOffset val="100"/>
        <c:noMultiLvlLbl val="0"/>
      </c:catAx>
      <c:valAx>
        <c:axId val="263969936"/>
        <c:scaling>
          <c:orientation val="minMax"/>
        </c:scaling>
        <c:delete val="1"/>
        <c:axPos val="l"/>
        <c:numFmt formatCode="General" sourceLinked="1"/>
        <c:majorTickMark val="none"/>
        <c:minorTickMark val="none"/>
        <c:tickLblPos val="nextTo"/>
        <c:crossAx val="263969544"/>
        <c:crosses val="autoZero"/>
        <c:crossBetween val="between"/>
      </c:valAx>
      <c:spPr>
        <a:noFill/>
        <a:ln>
          <a:noFill/>
        </a:ln>
        <a:effectLst/>
      </c:spPr>
    </c:plotArea>
    <c:plotVisOnly val="1"/>
    <c:dispBlanksAs val="gap"/>
    <c:showDLblsOverMax val="0"/>
  </c:chart>
  <c:spPr>
    <a:noFill/>
    <a:ln w="19050"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[shelter-nfi-cccm_kachin_northern_shan_cluster_analysis_report_April_2019.xlsx]IDP location Analysis!PivotTable4</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itle>
    <c:autoTitleDeleted val="0"/>
    <c:pivotFmts>
      <c:pivotFmt>
        <c:idx val="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pivotFmt>
      <c:pivotFmt>
        <c:idx val="3"/>
        <c:spPr>
          <a:solidFill>
            <a:schemeClr val="accent2"/>
          </a:solidFill>
          <a:ln w="19050">
            <a:solidFill>
              <a:schemeClr val="lt1"/>
            </a:solidFill>
          </a:ln>
          <a:effectLst/>
        </c:spPr>
      </c:pivotFmt>
    </c:pivotFmts>
    <c:plotArea>
      <c:layout/>
      <c:pieChart>
        <c:varyColors val="1"/>
        <c:ser>
          <c:idx val="0"/>
          <c:order val="0"/>
          <c:tx>
            <c:strRef>
              <c:f>'IDP location Analysis'!$C$46:$C$47</c:f>
              <c:strCache>
                <c:ptCount val="1"/>
                <c:pt idx="0">
                  <c:v>Open </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'IDP location Analysis'!$B$48:$B$50</c:f>
              <c:strCache>
                <c:ptCount val="2"/>
                <c:pt idx="0">
                  <c:v>GCA</c:v>
                </c:pt>
                <c:pt idx="1">
                  <c:v>NGCA</c:v>
                </c:pt>
              </c:strCache>
            </c:strRef>
          </c:cat>
          <c:val>
            <c:numRef>
              <c:f>'IDP location Analysis'!$C$48:$C$50</c:f>
              <c:numCache>
                <c:formatCode>_-* #,##0_-;\-* #,##0_-;_-* "-"??_-;_-@_-</c:formatCode>
                <c:ptCount val="2"/>
                <c:pt idx="0">
                  <c:v>66739</c:v>
                </c:pt>
                <c:pt idx="1">
                  <c:v>39798</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6790102016573019"/>
          <c:h val="0.1950612617720243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[shelter-nfi-cccm_kachin_northern_shan_cluster_analysis_report_April_2019.xlsx]IDP location Analysis!PivotTable7</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solidFill>
                  <a:sysClr val="windowText" lastClr="000000"/>
                </a:solidFill>
                <a:effectLst/>
              </a:rPr>
              <a:t>Kachin &amp; Northern Shan States </a:t>
            </a:r>
            <a:endParaRPr lang="en-GB">
              <a:solidFill>
                <a:sysClr val="windowText" lastClr="000000"/>
              </a:solidFill>
              <a:effectLst/>
            </a:endParaRPr>
          </a:p>
          <a:p>
            <a:pPr>
              <a:defRPr sz="1400" b="0" i="0" u="none" strike="noStrike" kern="1200" spc="0" baseline="0">
                <a:solidFill>
                  <a:schemeClr val="tx1">
                    <a:lumMod val="65000"/>
                    <a:lumOff val="35000"/>
                  </a:schemeClr>
                </a:solidFill>
                <a:latin typeface="+mn-lt"/>
                <a:ea typeface="+mn-ea"/>
                <a:cs typeface="+mn-cs"/>
              </a:defRPr>
            </a:pPr>
            <a:r>
              <a:rPr lang="en-US" sz="1800" b="1" i="0" baseline="0">
                <a:solidFill>
                  <a:sysClr val="windowText" lastClr="000000"/>
                </a:solidFill>
                <a:effectLst/>
              </a:rPr>
              <a:t># of IDP locations /Township</a:t>
            </a:r>
            <a:endParaRPr lang="en-GB">
              <a:solidFill>
                <a:sysClr val="windowText" lastClr="000000"/>
              </a:solidFill>
              <a:effectLst/>
            </a:endParaRPr>
          </a:p>
        </c:rich>
      </c:tx>
      <c:layout/>
      <c:overlay val="0"/>
      <c:spPr>
        <a:noFill/>
        <a:ln>
          <a:noFill/>
        </a:ln>
        <a:effectLst/>
      </c:sp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bar"/>
        <c:grouping val="clustered"/>
        <c:varyColors val="0"/>
        <c:ser>
          <c:idx val="0"/>
          <c:order val="0"/>
          <c:tx>
            <c:strRef>
              <c:f>'IDP location Analysis'!$AY$55</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'IDP location Analysis'!$AX$56:$AX$76</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Analysis'!$AY$56:$AY$76</c:f>
              <c:numCache>
                <c:formatCode>General</c:formatCode>
                <c:ptCount val="20"/>
                <c:pt idx="0">
                  <c:v>8</c:v>
                </c:pt>
                <c:pt idx="1">
                  <c:v>5</c:v>
                </c:pt>
                <c:pt idx="2">
                  <c:v>23</c:v>
                </c:pt>
                <c:pt idx="3">
                  <c:v>1</c:v>
                </c:pt>
                <c:pt idx="4">
                  <c:v>1</c:v>
                </c:pt>
                <c:pt idx="5">
                  <c:v>16</c:v>
                </c:pt>
                <c:pt idx="6">
                  <c:v>11</c:v>
                </c:pt>
                <c:pt idx="7">
                  <c:v>2</c:v>
                </c:pt>
                <c:pt idx="8">
                  <c:v>8</c:v>
                </c:pt>
                <c:pt idx="9">
                  <c:v>4</c:v>
                </c:pt>
                <c:pt idx="10">
                  <c:v>15</c:v>
                </c:pt>
                <c:pt idx="11">
                  <c:v>3</c:v>
                </c:pt>
                <c:pt idx="12">
                  <c:v>25</c:v>
                </c:pt>
                <c:pt idx="13">
                  <c:v>6</c:v>
                </c:pt>
                <c:pt idx="14">
                  <c:v>4</c:v>
                </c:pt>
                <c:pt idx="15">
                  <c:v>3</c:v>
                </c:pt>
                <c:pt idx="16">
                  <c:v>3</c:v>
                </c:pt>
                <c:pt idx="17">
                  <c:v>4</c:v>
                </c:pt>
                <c:pt idx="18">
                  <c:v>3</c:v>
                </c:pt>
                <c:pt idx="19">
                  <c:v>24</c:v>
                </c:pt>
              </c:numCache>
            </c:numRef>
          </c:val>
        </c:ser>
        <c:dLbls>
          <c:showLegendKey val="0"/>
          <c:showVal val="0"/>
          <c:showCatName val="0"/>
          <c:showSerName val="0"/>
          <c:showPercent val="0"/>
          <c:showBubbleSize val="0"/>
        </c:dLbls>
        <c:gapWidth val="182"/>
        <c:axId val="222554656"/>
        <c:axId val="222555048"/>
      </c:barChart>
      <c:catAx>
        <c:axId val="2225546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2555048"/>
        <c:crosses val="autoZero"/>
        <c:auto val="1"/>
        <c:lblAlgn val="ctr"/>
        <c:lblOffset val="100"/>
        <c:noMultiLvlLbl val="0"/>
      </c:catAx>
      <c:valAx>
        <c:axId val="2225550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2554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layout/>
      <c:overlay val="0"/>
      <c:spPr>
        <a:noFill/>
        <a:ln>
          <a:noFill/>
        </a:ln>
        <a:effectLst/>
      </c:spPr>
    </c:title>
    <c:autoTitleDeleted val="0"/>
    <c:plotArea>
      <c:layout/>
      <c:pieChart>
        <c:varyColors val="1"/>
        <c:ser>
          <c:idx val="0"/>
          <c:order val="0"/>
          <c:dPt>
            <c:idx val="0"/>
            <c:bubble3D val="0"/>
            <c:spPr>
              <a:solidFill>
                <a:schemeClr val="accent2">
                  <a:lumMod val="40000"/>
                  <a:lumOff val="60000"/>
                </a:schemeClr>
              </a:solidFill>
              <a:ln w="19050">
                <a:solidFill>
                  <a:schemeClr val="lt1"/>
                </a:solidFill>
              </a:ln>
              <a:effectLst/>
            </c:spPr>
          </c:dPt>
          <c:dPt>
            <c:idx val="1"/>
            <c:bubble3D val="0"/>
            <c:spPr>
              <a:solidFill>
                <a:schemeClr val="tx2">
                  <a:lumMod val="40000"/>
                  <a:lumOff val="60000"/>
                </a:schemeClr>
              </a:solidFill>
              <a:ln w="19050">
                <a:solidFill>
                  <a:schemeClr val="lt1"/>
                </a:solidFill>
              </a:ln>
              <a:effectLst/>
            </c:spPr>
          </c:dPt>
          <c:dLbls>
            <c:dLbl>
              <c:idx val="0"/>
              <c:layout/>
              <c:dLblPos val="bestFit"/>
              <c:showLegendKey val="0"/>
              <c:showVal val="0"/>
              <c:showCatName val="0"/>
              <c:showSerName val="0"/>
              <c:showPercent val="1"/>
              <c:showBubbleSize val="0"/>
              <c:extLst>
                <c:ext xmlns:c15="http://schemas.microsoft.com/office/drawing/2012/chart" uri="{CE6537A1-D6FC-4f65-9D91-7224C49458BB}">
                  <c15:layout/>
                </c:ext>
              </c:extLst>
            </c:dLbl>
            <c:dLbl>
              <c:idx val="1"/>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Graphs!$A$20:$A$21</c:f>
              <c:strCache>
                <c:ptCount val="2"/>
                <c:pt idx="0">
                  <c:v>NGCA</c:v>
                </c:pt>
                <c:pt idx="1">
                  <c:v>GCA</c:v>
                </c:pt>
              </c:strCache>
            </c:strRef>
          </c:cat>
          <c:val>
            <c:numRef>
              <c:f>Graphs!$B$20:$B$21</c:f>
              <c:numCache>
                <c:formatCode>General</c:formatCode>
                <c:ptCount val="2"/>
                <c:pt idx="0">
                  <c:v>39798</c:v>
                </c:pt>
                <c:pt idx="1">
                  <c:v>66739</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8242633862031149"/>
          <c:h val="0.1626809374413208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(GCA)</a:t>
            </a:r>
            <a:endParaRPr lang="en-US" sz="1100"/>
          </a:p>
        </c:rich>
      </c:tx>
      <c:layout>
        <c:manualLayout>
          <c:xMode val="edge"/>
          <c:yMode val="edge"/>
          <c:x val="0.20128766349637406"/>
          <c:y val="1.1516635038742444E-2"/>
        </c:manualLayout>
      </c:layout>
      <c:overlay val="0"/>
      <c:spPr>
        <a:noFill/>
        <a:ln>
          <a:noFill/>
        </a:ln>
        <a:effectLst/>
      </c:spPr>
    </c:title>
    <c:autoTitleDeleted val="0"/>
    <c:plotArea>
      <c:layout/>
      <c:pieChart>
        <c:varyColors val="1"/>
        <c:ser>
          <c:idx val="3"/>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dLbl>
              <c:idx val="0"/>
              <c:layout>
                <c:manualLayout>
                  <c:x val="-0.14446876538082934"/>
                  <c:y val="-0.13354067306721543"/>
                </c:manualLayout>
              </c:layout>
              <c:showLegendKey val="0"/>
              <c:showVal val="0"/>
              <c:showCatName val="0"/>
              <c:showSerName val="0"/>
              <c:showPercent val="1"/>
              <c:showBubbleSize val="0"/>
              <c:extLst>
                <c:ext xmlns:c15="http://schemas.microsoft.com/office/drawing/2012/chart" uri="{CE6537A1-D6FC-4f65-9D91-7224C49458BB}">
                  <c15:layout/>
                </c:ext>
              </c:extLst>
            </c:dLbl>
            <c:dLbl>
              <c:idx val="1"/>
              <c:layout>
                <c:manualLayout>
                  <c:x val="1.1091713732842939E-2"/>
                  <c:y val="6.7480482195580891E-3"/>
                </c:manualLayout>
              </c:layout>
              <c:showLegendKey val="0"/>
              <c:showVal val="0"/>
              <c:showCatName val="0"/>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1.0997215331513108E-2"/>
                  <c:y val="1.618664681315431E-2"/>
                </c:manualLayout>
              </c:layou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60421</c:v>
                </c:pt>
                <c:pt idx="1">
                  <c:v>0</c:v>
                </c:pt>
                <c:pt idx="2">
                  <c:v>0</c:v>
                </c:pt>
                <c:pt idx="3">
                  <c:v>2687</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2"/>
        <c:delete val="1"/>
      </c:legendEntry>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ysClr val="windowText" lastClr="000000"/>
                </a:solidFill>
              </a:rPr>
              <a:t>Breakdown of IDP Population </a:t>
            </a:r>
            <a:r>
              <a:rPr lang="en-US" sz="1400" b="1" baseline="0">
                <a:solidFill>
                  <a:sysClr val="windowText" lastClr="000000"/>
                </a:solidFill>
              </a:rPr>
              <a:t>by State</a:t>
            </a:r>
            <a:endParaRPr lang="en-US" sz="1400" b="1">
              <a:solidFill>
                <a:sysClr val="windowText" lastClr="000000"/>
              </a:solidFill>
            </a:endParaRPr>
          </a:p>
        </c:rich>
      </c:tx>
      <c:layout>
        <c:manualLayout>
          <c:xMode val="edge"/>
          <c:yMode val="edge"/>
          <c:x val="4.1372953632744486E-2"/>
          <c:y val="3.0701651386488314E-2"/>
        </c:manualLayout>
      </c:layout>
      <c:overlay val="0"/>
      <c:spPr>
        <a:noFill/>
        <a:ln>
          <a:noFill/>
        </a:ln>
        <a:effectLst/>
      </c:spPr>
    </c:title>
    <c:autoTitleDeleted val="0"/>
    <c:plotArea>
      <c:layout>
        <c:manualLayout>
          <c:layoutTarget val="inner"/>
          <c:xMode val="edge"/>
          <c:yMode val="edge"/>
          <c:x val="8.7968884634856429E-2"/>
          <c:y val="0.1621041716727436"/>
          <c:w val="0.43582650830853503"/>
          <c:h val="0.90494531933508315"/>
        </c:manualLayout>
      </c:layout>
      <c:pieChart>
        <c:varyColors val="1"/>
        <c:ser>
          <c:idx val="0"/>
          <c:order val="0"/>
          <c:dPt>
            <c:idx val="0"/>
            <c:bubble3D val="0"/>
            <c:spPr>
              <a:solidFill>
                <a:schemeClr val="accent6">
                  <a:lumMod val="75000"/>
                </a:schemeClr>
              </a:solidFill>
              <a:ln w="19050">
                <a:solidFill>
                  <a:schemeClr val="lt1"/>
                </a:solidFill>
              </a:ln>
              <a:effectLst/>
            </c:spPr>
          </c:dPt>
          <c:dPt>
            <c:idx val="1"/>
            <c:bubble3D val="0"/>
            <c:spPr>
              <a:solidFill>
                <a:schemeClr val="accent2">
                  <a:lumMod val="75000"/>
                </a:schemeClr>
              </a:solidFill>
              <a:ln w="19050">
                <a:solidFill>
                  <a:schemeClr val="lt1"/>
                </a:solidFill>
              </a:ln>
              <a:effectLst/>
            </c:spPr>
          </c:dPt>
          <c:dLbls>
            <c:dLbl>
              <c:idx val="0"/>
              <c:layout/>
              <c:tx>
                <c:rich>
                  <a:bodyPr/>
                  <a:lstStyle/>
                  <a:p>
                    <a:fld id="{407FFA06-A7F1-45C2-AA26-56768F2537AA}"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1"/>
              <c:layout>
                <c:manualLayout>
                  <c:x val="4.2312145192377235E-2"/>
                  <c:y val="0.10277777777777776"/>
                </c:manualLayout>
              </c:layout>
              <c:tx>
                <c:rich>
                  <a:bodyPr/>
                  <a:lstStyle/>
                  <a:p>
                    <a:fld id="{0315A16E-D267-4C68-8581-60C4B49DDD58}"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0"/>
            <c:extLst>
              <c:ext xmlns:c15="http://schemas.microsoft.com/office/drawing/2012/chart" uri="{CE6537A1-D6FC-4f65-9D91-7224C49458BB}"/>
            </c:extLst>
          </c:dLbls>
          <c:cat>
            <c:strRef>
              <c:f>('CCCM Dashboard'!$A$31,'CCCM Dashboard'!$A$40)</c:f>
              <c:strCache>
                <c:ptCount val="2"/>
                <c:pt idx="0">
                  <c:v>Kachin</c:v>
                </c:pt>
                <c:pt idx="1">
                  <c:v>Northern Shan</c:v>
                </c:pt>
              </c:strCache>
            </c:strRef>
          </c:cat>
          <c:val>
            <c:numRef>
              <c:f>('CCCM Dashboard'!$D$31,'CCCM Dashboard'!$D$40)</c:f>
              <c:numCache>
                <c:formatCode>_-* #,##0_-;\-* #,##0_-;_-* "-"??_-;_-@_-</c:formatCode>
                <c:ptCount val="2"/>
                <c:pt idx="0">
                  <c:v>97514</c:v>
                </c:pt>
                <c:pt idx="1">
                  <c:v>9023</c:v>
                </c:pt>
              </c:numCache>
            </c:numRef>
          </c:val>
        </c:ser>
        <c:dLbls>
          <c:dLblPos val="bestFit"/>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0.57152431177091823"/>
          <c:y val="0.50653263106065383"/>
          <c:w val="0.26330907665208075"/>
          <c:h val="0.2449130959085975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n-US" b="1">
                <a:solidFill>
                  <a:sysClr val="windowText" lastClr="000000"/>
                </a:solidFill>
              </a:rPr>
              <a:t>IDP Population breakdown by Township</a:t>
            </a:r>
          </a:p>
        </c:rich>
      </c:tx>
      <c:layout/>
      <c:overlay val="0"/>
      <c:spPr>
        <a:noFill/>
        <a:ln>
          <a:noFill/>
        </a:ln>
        <a:effectLst/>
      </c:spPr>
    </c:title>
    <c:autoTitleDeleted val="0"/>
    <c:plotArea>
      <c:layout>
        <c:manualLayout>
          <c:layoutTarget val="inner"/>
          <c:xMode val="edge"/>
          <c:yMode val="edge"/>
          <c:x val="0.11533831955398754"/>
          <c:y val="0.12737983850468099"/>
          <c:w val="0.8305862434596909"/>
          <c:h val="0.69843264087573076"/>
        </c:manualLayout>
      </c:layout>
      <c:barChart>
        <c:barDir val="col"/>
        <c:grouping val="clustered"/>
        <c:varyColors val="0"/>
        <c:ser>
          <c:idx val="0"/>
          <c:order val="0"/>
          <c:spPr>
            <a:solidFill>
              <a:schemeClr val="accent1">
                <a:lumMod val="75000"/>
              </a:schemeClr>
            </a:solidFill>
            <a:ln w="9525" cap="flat" cmpd="sng" algn="ctr">
              <a:solidFill>
                <a:schemeClr val="accent1"/>
              </a:solidFill>
              <a:round/>
            </a:ln>
            <a:effectLst>
              <a:outerShdw blurRad="40000" dist="20000" dir="5400000" rotWithShape="0">
                <a:schemeClr val="accent3">
                  <a:lumMod val="60000"/>
                  <a:lumOff val="40000"/>
                  <a:alpha val="38000"/>
                </a:schemeClr>
              </a:outerShdw>
            </a:effectLst>
          </c:spPr>
          <c:invertIfNegative val="0"/>
          <c:cat>
            <c:strRef>
              <c:f>('CCCM Dashboard'!$B$15:$B$17,'CCCM Dashboard'!$B$21:$B$30,'CCCM Dashboard'!$B$33:$B$39)</c:f>
              <c:strCache>
                <c:ptCount val="20"/>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Hseni</c:v>
                </c:pt>
                <c:pt idx="14">
                  <c:v>Kutkai</c:v>
                </c:pt>
                <c:pt idx="15">
                  <c:v>Manton</c:v>
                </c:pt>
                <c:pt idx="16">
                  <c:v>Muse</c:v>
                </c:pt>
                <c:pt idx="17">
                  <c:v>Namhkan</c:v>
                </c:pt>
                <c:pt idx="18">
                  <c:v>Hsipaw</c:v>
                </c:pt>
                <c:pt idx="19">
                  <c:v>Namtu</c:v>
                </c:pt>
              </c:strCache>
            </c:strRef>
          </c:cat>
          <c:val>
            <c:numRef>
              <c:f>('CCCM Dashboard'!$D$15:$D$17,'CCCM Dashboard'!$D$21:$D$30,'CCCM Dashboard'!$D$33:$D$39)</c:f>
              <c:numCache>
                <c:formatCode>_-* #,##0_-;\-* #,##0_-;_-* "-"??_-;_-@_-</c:formatCode>
                <c:ptCount val="20"/>
                <c:pt idx="0">
                  <c:v>7899</c:v>
                </c:pt>
                <c:pt idx="1">
                  <c:v>3094</c:v>
                </c:pt>
                <c:pt idx="2">
                  <c:v>4038</c:v>
                </c:pt>
                <c:pt idx="3">
                  <c:v>13812</c:v>
                </c:pt>
                <c:pt idx="4">
                  <c:v>1459</c:v>
                </c:pt>
                <c:pt idx="5">
                  <c:v>382</c:v>
                </c:pt>
                <c:pt idx="6">
                  <c:v>25132</c:v>
                </c:pt>
                <c:pt idx="7">
                  <c:v>11374</c:v>
                </c:pt>
                <c:pt idx="8">
                  <c:v>429</c:v>
                </c:pt>
                <c:pt idx="9">
                  <c:v>1867</c:v>
                </c:pt>
                <c:pt idx="10">
                  <c:v>1047</c:v>
                </c:pt>
                <c:pt idx="11">
                  <c:v>1156</c:v>
                </c:pt>
                <c:pt idx="12">
                  <c:v>25825</c:v>
                </c:pt>
                <c:pt idx="13">
                  <c:v>183</c:v>
                </c:pt>
                <c:pt idx="14">
                  <c:v>4732</c:v>
                </c:pt>
                <c:pt idx="15">
                  <c:v>313</c:v>
                </c:pt>
                <c:pt idx="16">
                  <c:v>1048</c:v>
                </c:pt>
                <c:pt idx="17">
                  <c:v>2018</c:v>
                </c:pt>
                <c:pt idx="18">
                  <c:v>120</c:v>
                </c:pt>
                <c:pt idx="19">
                  <c:v>609</c:v>
                </c:pt>
              </c:numCache>
            </c:numRef>
          </c:val>
        </c:ser>
        <c:dLbls>
          <c:showLegendKey val="0"/>
          <c:showVal val="0"/>
          <c:showCatName val="0"/>
          <c:showSerName val="0"/>
          <c:showPercent val="0"/>
          <c:showBubbleSize val="0"/>
        </c:dLbls>
        <c:gapWidth val="100"/>
        <c:overlap val="-24"/>
        <c:axId val="222557008"/>
        <c:axId val="222557400"/>
      </c:barChart>
      <c:catAx>
        <c:axId val="22255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22557400"/>
        <c:crosses val="autoZero"/>
        <c:auto val="1"/>
        <c:lblAlgn val="ctr"/>
        <c:lblOffset val="100"/>
        <c:noMultiLvlLbl val="0"/>
      </c:catAx>
      <c:valAx>
        <c:axId val="222557400"/>
        <c:scaling>
          <c:orientation val="minMax"/>
          <c:max val="250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225570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trlProps/ctrlProp1.xml><?xml version="1.0" encoding="utf-8"?>
<formControlPr xmlns="http://schemas.microsoft.com/office/spreadsheetml/2009/9/main" objectType="Drop" dropLines="0" dropStyle="combo" dx="16" noThreeD="1" sel="0" val="0"/>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image" Target="../media/image23.jpeg"/><Relationship Id="rId3" Type="http://schemas.openxmlformats.org/officeDocument/2006/relationships/image" Target="../media/image1.png"/><Relationship Id="rId7" Type="http://schemas.openxmlformats.org/officeDocument/2006/relationships/image" Target="../media/image19.gif"/><Relationship Id="rId12" Type="http://schemas.openxmlformats.org/officeDocument/2006/relationships/image" Target="../media/image22.jpeg"/><Relationship Id="rId2" Type="http://schemas.openxmlformats.org/officeDocument/2006/relationships/image" Target="../media/image17.png"/><Relationship Id="rId16" Type="http://schemas.openxmlformats.org/officeDocument/2006/relationships/image" Target="../media/image26.jpeg"/><Relationship Id="rId1" Type="http://schemas.openxmlformats.org/officeDocument/2006/relationships/chart" Target="../charts/chart29.xml"/><Relationship Id="rId6" Type="http://schemas.openxmlformats.org/officeDocument/2006/relationships/image" Target="../media/image18.jpeg"/><Relationship Id="rId11" Type="http://schemas.openxmlformats.org/officeDocument/2006/relationships/chart" Target="../charts/chart31.xml"/><Relationship Id="rId5" Type="http://schemas.openxmlformats.org/officeDocument/2006/relationships/hyperlink" Target="http://www.sheltercluster.org/library/standards-and-guidelines-nfi" TargetMode="External"/><Relationship Id="rId15" Type="http://schemas.openxmlformats.org/officeDocument/2006/relationships/image" Target="../media/image25.png"/><Relationship Id="rId10" Type="http://schemas.openxmlformats.org/officeDocument/2006/relationships/image" Target="../media/image21.png"/><Relationship Id="rId4" Type="http://schemas.openxmlformats.org/officeDocument/2006/relationships/image" Target="../media/image3.png"/><Relationship Id="rId9" Type="http://schemas.openxmlformats.org/officeDocument/2006/relationships/image" Target="../media/image20.png"/><Relationship Id="rId14" Type="http://schemas.openxmlformats.org/officeDocument/2006/relationships/image" Target="../media/image24.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3.png"/><Relationship Id="rId7" Type="http://schemas.openxmlformats.org/officeDocument/2006/relationships/chart" Target="../charts/chart5.xml"/><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 Id="rId9" Type="http://schemas.openxmlformats.org/officeDocument/2006/relationships/chart" Target="../charts/chart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1.jpe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3" Type="http://schemas.openxmlformats.org/officeDocument/2006/relationships/image" Target="../media/image3.png"/><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 Type="http://schemas.openxmlformats.org/officeDocument/2006/relationships/image" Target="../media/image1.png"/><Relationship Id="rId16" Type="http://schemas.openxmlformats.org/officeDocument/2006/relationships/chart" Target="../charts/chart22.xml"/><Relationship Id="rId20" Type="http://schemas.openxmlformats.org/officeDocument/2006/relationships/chart" Target="../charts/chart26.xml"/><Relationship Id="rId1" Type="http://schemas.openxmlformats.org/officeDocument/2006/relationships/image" Target="../media/image15.jpg"/><Relationship Id="rId6" Type="http://schemas.openxmlformats.org/officeDocument/2006/relationships/chart" Target="../charts/chart12.xml"/><Relationship Id="rId11" Type="http://schemas.openxmlformats.org/officeDocument/2006/relationships/chart" Target="../charts/chart17.xml"/><Relationship Id="rId5" Type="http://schemas.openxmlformats.org/officeDocument/2006/relationships/chart" Target="../charts/chart11.xml"/><Relationship Id="rId15" Type="http://schemas.openxmlformats.org/officeDocument/2006/relationships/chart" Target="../charts/chart21.xml"/><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7</xdr:col>
      <xdr:colOff>771525</xdr:colOff>
      <xdr:row>2</xdr:row>
      <xdr:rowOff>211455</xdr:rowOff>
    </xdr:from>
    <xdr:to>
      <xdr:col>8</xdr:col>
      <xdr:colOff>64770</xdr:colOff>
      <xdr:row>2</xdr:row>
      <xdr:rowOff>333375</xdr:rowOff>
    </xdr:to>
    <xdr:sp macro="" textlink="">
      <xdr:nvSpPr>
        <xdr:cNvPr id="2" name="Rectangle 1"/>
        <xdr:cNvSpPr/>
      </xdr:nvSpPr>
      <xdr:spPr>
        <a:xfrm>
          <a:off x="5476875" y="506730"/>
          <a:ext cx="160020" cy="121920"/>
        </a:xfrm>
        <a:prstGeom prst="rect">
          <a:avLst/>
        </a:prstGeom>
        <a:solidFill>
          <a:srgbClr val="92D050"/>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US" sz="1100"/>
        </a:p>
      </xdr:txBody>
    </xdr:sp>
    <xdr:clientData/>
  </xdr:twoCellAnchor>
  <xdr:twoCellAnchor>
    <xdr:from>
      <xdr:col>8</xdr:col>
      <xdr:colOff>1384935</xdr:colOff>
      <xdr:row>2</xdr:row>
      <xdr:rowOff>241935</xdr:rowOff>
    </xdr:from>
    <xdr:to>
      <xdr:col>8</xdr:col>
      <xdr:colOff>1522095</xdr:colOff>
      <xdr:row>2</xdr:row>
      <xdr:rowOff>356235</xdr:rowOff>
    </xdr:to>
    <xdr:sp macro="" textlink="">
      <xdr:nvSpPr>
        <xdr:cNvPr id="18" name="Rectangle 17"/>
        <xdr:cNvSpPr/>
      </xdr:nvSpPr>
      <xdr:spPr>
        <a:xfrm>
          <a:off x="4556760" y="537210"/>
          <a:ext cx="137160" cy="114300"/>
        </a:xfrm>
        <a:prstGeom prst="rect">
          <a:avLst/>
        </a:prstGeom>
        <a:solidFill>
          <a:srgbClr val="FD2361"/>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68580</xdr:colOff>
      <xdr:row>1</xdr:row>
      <xdr:rowOff>152400</xdr:rowOff>
    </xdr:from>
    <xdr:to>
      <xdr:col>21</xdr:col>
      <xdr:colOff>866774</xdr:colOff>
      <xdr:row>2</xdr:row>
      <xdr:rowOff>514350</xdr:rowOff>
    </xdr:to>
    <xdr:grpSp>
      <xdr:nvGrpSpPr>
        <xdr:cNvPr id="7" name="Group 6"/>
        <xdr:cNvGrpSpPr/>
      </xdr:nvGrpSpPr>
      <xdr:grpSpPr>
        <a:xfrm>
          <a:off x="17396460" y="259080"/>
          <a:ext cx="4166234" cy="560070"/>
          <a:chOff x="6500812" y="317500"/>
          <a:chExt cx="6186806" cy="575469"/>
        </a:xfrm>
      </xdr:grpSpPr>
      <xdr:pic>
        <xdr:nvPicPr>
          <xdr:cNvPr id="8" name="Picture 7"/>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1971675</xdr:colOff>
      <xdr:row>0</xdr:row>
      <xdr:rowOff>38100</xdr:rowOff>
    </xdr:from>
    <xdr:to>
      <xdr:col>20</xdr:col>
      <xdr:colOff>57150</xdr:colOff>
      <xdr:row>3</xdr:row>
      <xdr:rowOff>0</xdr:rowOff>
    </xdr:to>
    <xdr:sp macro="" textlink="">
      <xdr:nvSpPr>
        <xdr:cNvPr id="3" name="TextBox 2"/>
        <xdr:cNvSpPr txBox="1"/>
      </xdr:nvSpPr>
      <xdr:spPr>
        <a:xfrm>
          <a:off x="6705600" y="38100"/>
          <a:ext cx="293370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t>Camp:</a:t>
          </a:r>
          <a:r>
            <a:rPr lang="en-US" sz="800"/>
            <a:t> Location with CCCM activities/Camp Management Agency</a:t>
          </a:r>
        </a:p>
        <a:p>
          <a:r>
            <a:rPr lang="en-US" sz="800" b="1"/>
            <a:t>Camp like setting</a:t>
          </a:r>
          <a:r>
            <a:rPr lang="en-US" sz="800"/>
            <a:t>: Location which has seen humanitarian interventions</a:t>
          </a:r>
        </a:p>
        <a:p>
          <a:r>
            <a:rPr lang="en-US" sz="800"/>
            <a:t>IDPs</a:t>
          </a:r>
          <a:r>
            <a:rPr lang="en-US" sz="800" baseline="0"/>
            <a:t> in Host</a:t>
          </a:r>
          <a:r>
            <a:rPr lang="en-US" sz="800"/>
            <a:t>: IDPs living in host families/ host communities</a:t>
          </a:r>
        </a:p>
        <a:p>
          <a:r>
            <a:rPr lang="en-US" sz="800" b="1"/>
            <a:t>Boarding school</a:t>
          </a:r>
          <a:r>
            <a:rPr lang="en-US" sz="800"/>
            <a:t>: IDP</a:t>
          </a:r>
          <a:r>
            <a:rPr lang="en-US" sz="800" baseline="0"/>
            <a:t> students living in boarding schools</a:t>
          </a:r>
          <a:endParaRPr lang="en-US" sz="8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220980</xdr:colOff>
      <xdr:row>0</xdr:row>
      <xdr:rowOff>68580</xdr:rowOff>
    </xdr:from>
    <xdr:to>
      <xdr:col>11</xdr:col>
      <xdr:colOff>264795</xdr:colOff>
      <xdr:row>0</xdr:row>
      <xdr:rowOff>441959</xdr:rowOff>
    </xdr:to>
    <xdr:grpSp>
      <xdr:nvGrpSpPr>
        <xdr:cNvPr id="2" name="Group 1"/>
        <xdr:cNvGrpSpPr/>
      </xdr:nvGrpSpPr>
      <xdr:grpSpPr>
        <a:xfrm>
          <a:off x="2872740" y="68580"/>
          <a:ext cx="3602355" cy="373379"/>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821903</xdr:colOff>
      <xdr:row>1</xdr:row>
      <xdr:rowOff>83820</xdr:rowOff>
    </xdr:from>
    <xdr:to>
      <xdr:col>8</xdr:col>
      <xdr:colOff>1844041</xdr:colOff>
      <xdr:row>2</xdr:row>
      <xdr:rowOff>133350</xdr:rowOff>
    </xdr:to>
    <xdr:grpSp>
      <xdr:nvGrpSpPr>
        <xdr:cNvPr id="10" name="Group 9"/>
        <xdr:cNvGrpSpPr/>
      </xdr:nvGrpSpPr>
      <xdr:grpSpPr>
        <a:xfrm>
          <a:off x="5218643" y="182880"/>
          <a:ext cx="5075978" cy="468630"/>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38100</xdr:colOff>
      <xdr:row>21</xdr:row>
      <xdr:rowOff>99786</xdr:rowOff>
    </xdr:from>
    <xdr:to>
      <xdr:col>6</xdr:col>
      <xdr:colOff>685800</xdr:colOff>
      <xdr:row>40</xdr:row>
      <xdr:rowOff>57149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749931</xdr:colOff>
      <xdr:row>4</xdr:row>
      <xdr:rowOff>27868</xdr:rowOff>
    </xdr:from>
    <xdr:to>
      <xdr:col>17</xdr:col>
      <xdr:colOff>338215</xdr:colOff>
      <xdr:row>50</xdr:row>
      <xdr:rowOff>64728</xdr:rowOff>
    </xdr:to>
    <xdr:pic>
      <xdr:nvPicPr>
        <xdr:cNvPr id="4" name="Picture 3"/>
        <xdr:cNvPicPr>
          <a:picLocks noChangeAspect="1"/>
        </xdr:cNvPicPr>
      </xdr:nvPicPr>
      <xdr:blipFill>
        <a:blip xmlns:r="http://schemas.openxmlformats.org/officeDocument/2006/relationships" r:embed="rId2"/>
        <a:stretch>
          <a:fillRect/>
        </a:stretch>
      </xdr:blipFill>
      <xdr:spPr>
        <a:xfrm>
          <a:off x="3865967" y="1109636"/>
          <a:ext cx="6076643" cy="8650748"/>
        </a:xfrm>
        <a:prstGeom prst="rect">
          <a:avLst/>
        </a:prstGeom>
      </xdr:spPr>
    </xdr:pic>
    <xdr:clientData/>
  </xdr:twoCellAnchor>
  <xdr:twoCellAnchor>
    <xdr:from>
      <xdr:col>12</xdr:col>
      <xdr:colOff>220980</xdr:colOff>
      <xdr:row>1</xdr:row>
      <xdr:rowOff>60960</xdr:rowOff>
    </xdr:from>
    <xdr:to>
      <xdr:col>18</xdr:col>
      <xdr:colOff>384810</xdr:colOff>
      <xdr:row>2</xdr:row>
      <xdr:rowOff>129722</xdr:rowOff>
    </xdr:to>
    <xdr:grpSp>
      <xdr:nvGrpSpPr>
        <xdr:cNvPr id="22" name="Group 21"/>
        <xdr:cNvGrpSpPr/>
      </xdr:nvGrpSpPr>
      <xdr:grpSpPr>
        <a:xfrm>
          <a:off x="6616337" y="190228"/>
          <a:ext cx="3381919" cy="388530"/>
          <a:chOff x="6500812" y="317500"/>
          <a:chExt cx="6186806" cy="575469"/>
        </a:xfrm>
      </xdr:grpSpPr>
      <xdr:pic>
        <xdr:nvPicPr>
          <xdr:cNvPr id="23" name="Picture 22"/>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0</xdr:colOff>
      <xdr:row>3</xdr:row>
      <xdr:rowOff>9525</xdr:rowOff>
    </xdr:from>
    <xdr:to>
      <xdr:col>18</xdr:col>
      <xdr:colOff>438150</xdr:colOff>
      <xdr:row>3</xdr:row>
      <xdr:rowOff>504825</xdr:rowOff>
    </xdr:to>
    <xdr:sp macro="" textlink="">
      <xdr:nvSpPr>
        <xdr:cNvPr id="31" name="Rounded Rectangle 30">
          <a:hlinkClick xmlns:r="http://schemas.openxmlformats.org/officeDocument/2006/relationships" r:id="rId5"/>
        </xdr:cNvPr>
        <xdr:cNvSpPr/>
      </xdr:nvSpPr>
      <xdr:spPr>
        <a:xfrm>
          <a:off x="139700" y="1047750"/>
          <a:ext cx="9518650" cy="4953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NFI Standards please consult the</a:t>
          </a:r>
          <a:r>
            <a:rPr lang="en-US" sz="1100" baseline="0">
              <a:solidFill>
                <a:sysClr val="windowText" lastClr="000000"/>
              </a:solidFill>
            </a:rPr>
            <a:t> </a:t>
          </a:r>
          <a:r>
            <a:rPr lang="en-US" sz="1100">
              <a:solidFill>
                <a:sysClr val="windowText" lastClr="000000"/>
              </a:solidFill>
            </a:rPr>
            <a:t>Standards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u="sng">
              <a:solidFill>
                <a:schemeClr val="lt1"/>
              </a:solidFill>
              <a:effectLst/>
              <a:latin typeface="+mn-lt"/>
              <a:ea typeface="+mn-ea"/>
              <a:cs typeface="+mn-cs"/>
              <a:hlinkClick xmlns:r="http://schemas.openxmlformats.org/officeDocument/2006/relationships" r:id=""/>
            </a:rPr>
            <a:t>http://www.sheltercluster.org/library/standards-and-guidelines-nfi</a:t>
          </a:r>
          <a:endParaRPr lang="en-US" sz="1100">
            <a:solidFill>
              <a:schemeClr val="lt1"/>
            </a:solidFill>
            <a:effectLst/>
            <a:latin typeface="+mn-lt"/>
            <a:ea typeface="+mn-ea"/>
            <a:cs typeface="+mn-cs"/>
          </a:endParaRPr>
        </a:p>
      </xdr:txBody>
    </xdr:sp>
    <xdr:clientData/>
  </xdr:twoCellAnchor>
  <xdr:twoCellAnchor editAs="oneCell">
    <xdr:from>
      <xdr:col>2</xdr:col>
      <xdr:colOff>773768</xdr:colOff>
      <xdr:row>37</xdr:row>
      <xdr:rowOff>102884</xdr:rowOff>
    </xdr:from>
    <xdr:to>
      <xdr:col>3</xdr:col>
      <xdr:colOff>463274</xdr:colOff>
      <xdr:row>39</xdr:row>
      <xdr:rowOff>15904</xdr:rowOff>
    </xdr:to>
    <xdr:pic>
      <xdr:nvPicPr>
        <xdr:cNvPr id="43" name="Picture 4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7406" y="7527281"/>
          <a:ext cx="394829" cy="287216"/>
        </a:xfrm>
        <a:prstGeom prst="rect">
          <a:avLst/>
        </a:prstGeom>
      </xdr:spPr>
    </xdr:pic>
    <xdr:clientData/>
  </xdr:twoCellAnchor>
  <xdr:twoCellAnchor editAs="oneCell">
    <xdr:from>
      <xdr:col>2</xdr:col>
      <xdr:colOff>400996</xdr:colOff>
      <xdr:row>37</xdr:row>
      <xdr:rowOff>51985</xdr:rowOff>
    </xdr:from>
    <xdr:to>
      <xdr:col>2</xdr:col>
      <xdr:colOff>731381</xdr:colOff>
      <xdr:row>39</xdr:row>
      <xdr:rowOff>94095</xdr:rowOff>
    </xdr:to>
    <xdr:pic>
      <xdr:nvPicPr>
        <xdr:cNvPr id="45" name="Picture 4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4634" y="7476382"/>
          <a:ext cx="330385" cy="416306"/>
        </a:xfrm>
        <a:prstGeom prst="rect">
          <a:avLst/>
        </a:prstGeom>
      </xdr:spPr>
    </xdr:pic>
    <xdr:clientData/>
  </xdr:twoCellAnchor>
  <xdr:twoCellAnchor>
    <xdr:from>
      <xdr:col>1</xdr:col>
      <xdr:colOff>95249</xdr:colOff>
      <xdr:row>4</xdr:row>
      <xdr:rowOff>57151</xdr:rowOff>
    </xdr:from>
    <xdr:to>
      <xdr:col>6</xdr:col>
      <xdr:colOff>742950</xdr:colOff>
      <xdr:row>20</xdr:row>
      <xdr:rowOff>105833</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47623</xdr:colOff>
      <xdr:row>56</xdr:row>
      <xdr:rowOff>93131</xdr:rowOff>
    </xdr:from>
    <xdr:to>
      <xdr:col>6</xdr:col>
      <xdr:colOff>317499</xdr:colOff>
      <xdr:row>91</xdr:row>
      <xdr:rowOff>10583</xdr:rowOff>
    </xdr:to>
    <xdr:sp macro="" textlink="">
      <xdr:nvSpPr>
        <xdr:cNvPr id="39" name="TextBox 38"/>
        <xdr:cNvSpPr txBox="1"/>
      </xdr:nvSpPr>
      <xdr:spPr>
        <a:xfrm>
          <a:off x="206373" y="10517714"/>
          <a:ext cx="3233209" cy="594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NFI cluster partners, UNHCR, other humanitarian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organizations &amp; MIMU.</a:t>
          </a:r>
          <a:endParaRPr lang="en-GB" sz="1050">
            <a:latin typeface="Franklin Gothic Book" pitchFamily="34" charset="0"/>
          </a:endParaRPr>
        </a:p>
      </xdr:txBody>
    </xdr:sp>
    <xdr:clientData/>
  </xdr:twoCellAnchor>
  <xdr:twoCellAnchor editAs="oneCell">
    <xdr:from>
      <xdr:col>1</xdr:col>
      <xdr:colOff>85724</xdr:colOff>
      <xdr:row>41</xdr:row>
      <xdr:rowOff>9524</xdr:rowOff>
    </xdr:from>
    <xdr:to>
      <xdr:col>6</xdr:col>
      <xdr:colOff>617443</xdr:colOff>
      <xdr:row>54</xdr:row>
      <xdr:rowOff>38099</xdr:rowOff>
    </xdr:to>
    <xdr:pic>
      <xdr:nvPicPr>
        <xdr:cNvPr id="7" name="Picture 6"/>
        <xdr:cNvPicPr>
          <a:picLocks noChangeAspect="1"/>
        </xdr:cNvPicPr>
      </xdr:nvPicPr>
      <xdr:blipFill>
        <a:blip xmlns:r="http://schemas.openxmlformats.org/officeDocument/2006/relationships" r:embed="rId9"/>
        <a:stretch>
          <a:fillRect/>
        </a:stretch>
      </xdr:blipFill>
      <xdr:spPr>
        <a:xfrm>
          <a:off x="255813" y="8167006"/>
          <a:ext cx="3657943" cy="2273754"/>
        </a:xfrm>
        <a:prstGeom prst="rect">
          <a:avLst/>
        </a:prstGeom>
      </xdr:spPr>
    </xdr:pic>
    <xdr:clientData/>
  </xdr:twoCellAnchor>
  <xdr:oneCellAnchor>
    <xdr:from>
      <xdr:col>11</xdr:col>
      <xdr:colOff>176212</xdr:colOff>
      <xdr:row>4</xdr:row>
      <xdr:rowOff>42863</xdr:rowOff>
    </xdr:from>
    <xdr:ext cx="3286125" cy="624658"/>
    <xdr:sp macro="" textlink="">
      <xdr:nvSpPr>
        <xdr:cNvPr id="3" name="TextBox 2"/>
        <xdr:cNvSpPr txBox="1"/>
      </xdr:nvSpPr>
      <xdr:spPr>
        <a:xfrm>
          <a:off x="5551033" y="1122930"/>
          <a:ext cx="3286125" cy="624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rtl="0"/>
          <a:r>
            <a:rPr lang="en-US" sz="1100" b="1" i="0" baseline="0">
              <a:solidFill>
                <a:schemeClr val="tx1"/>
              </a:solidFill>
              <a:effectLst/>
              <a:latin typeface="+mn-lt"/>
              <a:ea typeface="+mn-ea"/>
              <a:cs typeface="+mn-cs"/>
            </a:rPr>
            <a:t>Map showing # of </a:t>
          </a:r>
          <a:r>
            <a:rPr lang="en-US" sz="1200" b="1" i="0" baseline="0">
              <a:solidFill>
                <a:schemeClr val="tx1"/>
              </a:solidFill>
              <a:effectLst/>
              <a:latin typeface="+mn-lt"/>
              <a:ea typeface="+mn-ea"/>
              <a:cs typeface="+mn-cs"/>
            </a:rPr>
            <a:t>distributions</a:t>
          </a:r>
          <a:r>
            <a:rPr lang="en-US" sz="1100" b="1" i="0" baseline="0">
              <a:solidFill>
                <a:schemeClr val="tx1"/>
              </a:solidFill>
              <a:effectLst/>
              <a:latin typeface="+mn-lt"/>
              <a:ea typeface="+mn-ea"/>
              <a:cs typeface="+mn-cs"/>
            </a:rPr>
            <a:t> by Townships</a:t>
          </a:r>
          <a:endParaRPr lang="en-US">
            <a:effectLst/>
          </a:endParaRPr>
        </a:p>
        <a:p>
          <a:pPr algn="ctr" rtl="0"/>
          <a:r>
            <a:rPr lang="en-US" sz="1100" b="1" i="0" baseline="0">
              <a:solidFill>
                <a:schemeClr val="tx1"/>
              </a:solidFill>
              <a:effectLst/>
              <a:latin typeface="+mn-lt"/>
              <a:ea typeface="+mn-ea"/>
              <a:cs typeface="+mn-cs"/>
            </a:rPr>
            <a:t> </a:t>
          </a:r>
          <a:r>
            <a:rPr lang="en-US" sz="1100" b="0" i="0" baseline="0">
              <a:solidFill>
                <a:schemeClr val="tx1"/>
              </a:solidFill>
              <a:effectLst/>
              <a:latin typeface="+mn-lt"/>
              <a:ea typeface="+mn-ea"/>
              <a:cs typeface="+mn-cs"/>
            </a:rPr>
            <a:t>(2017/2018 &amp; 2019)</a:t>
          </a:r>
          <a:endParaRPr lang="en-US">
            <a:effectLst/>
          </a:endParaRPr>
        </a:p>
        <a:p>
          <a:endParaRPr lang="en-US" sz="1100"/>
        </a:p>
      </xdr:txBody>
    </xdr:sp>
    <xdr:clientData/>
  </xdr:oneCellAnchor>
  <xdr:twoCellAnchor editAs="oneCell">
    <xdr:from>
      <xdr:col>10</xdr:col>
      <xdr:colOff>57150</xdr:colOff>
      <xdr:row>8</xdr:row>
      <xdr:rowOff>247650</xdr:rowOff>
    </xdr:from>
    <xdr:to>
      <xdr:col>11</xdr:col>
      <xdr:colOff>847761</xdr:colOff>
      <xdr:row>9</xdr:row>
      <xdr:rowOff>2545</xdr:rowOff>
    </xdr:to>
    <xdr:pic>
      <xdr:nvPicPr>
        <xdr:cNvPr id="55" name="Picture 54"/>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295900" y="2162175"/>
          <a:ext cx="9239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485776</xdr:colOff>
      <xdr:row>12</xdr:row>
      <xdr:rowOff>76200</xdr:rowOff>
    </xdr:from>
    <xdr:to>
      <xdr:col>11</xdr:col>
      <xdr:colOff>102179</xdr:colOff>
      <xdr:row>13</xdr:row>
      <xdr:rowOff>144773</xdr:rowOff>
    </xdr:to>
    <xdr:pic>
      <xdr:nvPicPr>
        <xdr:cNvPr id="56" name="Picture 55"/>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524376" y="2867025"/>
          <a:ext cx="1066799"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647700</xdr:colOff>
      <xdr:row>9</xdr:row>
      <xdr:rowOff>133350</xdr:rowOff>
    </xdr:from>
    <xdr:to>
      <xdr:col>11</xdr:col>
      <xdr:colOff>519586</xdr:colOff>
      <xdr:row>11</xdr:row>
      <xdr:rowOff>29388</xdr:rowOff>
    </xdr:to>
    <xdr:pic>
      <xdr:nvPicPr>
        <xdr:cNvPr id="57" name="Picture 56"/>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686300" y="2352675"/>
          <a:ext cx="1323975"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767444</xdr:colOff>
      <xdr:row>5</xdr:row>
      <xdr:rowOff>45242</xdr:rowOff>
    </xdr:from>
    <xdr:to>
      <xdr:col>13</xdr:col>
      <xdr:colOff>475494</xdr:colOff>
      <xdr:row>17</xdr:row>
      <xdr:rowOff>42523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11</xdr:col>
      <xdr:colOff>571499</xdr:colOff>
      <xdr:row>30</xdr:row>
      <xdr:rowOff>114299</xdr:rowOff>
    </xdr:from>
    <xdr:ext cx="1000125" cy="264560"/>
    <xdr:sp macro="" textlink="">
      <xdr:nvSpPr>
        <xdr:cNvPr id="8" name="TextBox 7"/>
        <xdr:cNvSpPr txBox="1"/>
      </xdr:nvSpPr>
      <xdr:spPr>
        <a:xfrm>
          <a:off x="5943599" y="59245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KACHIN</a:t>
          </a:r>
        </a:p>
      </xdr:txBody>
    </xdr:sp>
    <xdr:clientData/>
  </xdr:oneCellAnchor>
  <xdr:oneCellAnchor>
    <xdr:from>
      <xdr:col>3</xdr:col>
      <xdr:colOff>114300</xdr:colOff>
      <xdr:row>49</xdr:row>
      <xdr:rowOff>57149</xdr:rowOff>
    </xdr:from>
    <xdr:ext cx="1000125" cy="264560"/>
    <xdr:sp macro="" textlink="">
      <xdr:nvSpPr>
        <xdr:cNvPr id="38" name="TextBox 37"/>
        <xdr:cNvSpPr txBox="1"/>
      </xdr:nvSpPr>
      <xdr:spPr>
        <a:xfrm>
          <a:off x="1285875" y="93154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SHAN (North)</a:t>
          </a:r>
        </a:p>
      </xdr:txBody>
    </xdr:sp>
    <xdr:clientData/>
  </xdr:oneCellAnchor>
  <xdr:twoCellAnchor editAs="oneCell">
    <xdr:from>
      <xdr:col>4</xdr:col>
      <xdr:colOff>451726</xdr:colOff>
      <xdr:row>37</xdr:row>
      <xdr:rowOff>103943</xdr:rowOff>
    </xdr:from>
    <xdr:to>
      <xdr:col>5</xdr:col>
      <xdr:colOff>172154</xdr:colOff>
      <xdr:row>39</xdr:row>
      <xdr:rowOff>16963</xdr:rowOff>
    </xdr:to>
    <xdr:pic>
      <xdr:nvPicPr>
        <xdr:cNvPr id="60" name="Picture 5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254672" y="7526639"/>
          <a:ext cx="309537" cy="280412"/>
        </a:xfrm>
        <a:prstGeom prst="rect">
          <a:avLst/>
        </a:prstGeom>
      </xdr:spPr>
    </xdr:pic>
    <xdr:clientData/>
  </xdr:twoCellAnchor>
  <xdr:twoCellAnchor>
    <xdr:from>
      <xdr:col>6</xdr:col>
      <xdr:colOff>153648</xdr:colOff>
      <xdr:row>56</xdr:row>
      <xdr:rowOff>52911</xdr:rowOff>
    </xdr:from>
    <xdr:to>
      <xdr:col>19</xdr:col>
      <xdr:colOff>54833</xdr:colOff>
      <xdr:row>91</xdr:row>
      <xdr:rowOff>66473</xdr:rowOff>
    </xdr:to>
    <xdr:grpSp>
      <xdr:nvGrpSpPr>
        <xdr:cNvPr id="63" name="Group 62"/>
        <xdr:cNvGrpSpPr/>
      </xdr:nvGrpSpPr>
      <xdr:grpSpPr>
        <a:xfrm>
          <a:off x="3269684" y="10809357"/>
          <a:ext cx="6786399" cy="666705"/>
          <a:chOff x="3129445" y="7519775"/>
          <a:chExt cx="6663987" cy="690652"/>
        </a:xfrm>
      </xdr:grpSpPr>
      <xdr:sp macro="" textlink="">
        <xdr:nvSpPr>
          <xdr:cNvPr id="64" name="TextBox 63"/>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65" name="Group 64"/>
          <xdr:cNvGrpSpPr/>
        </xdr:nvGrpSpPr>
        <xdr:grpSpPr>
          <a:xfrm>
            <a:off x="3129445" y="7544530"/>
            <a:ext cx="5671700" cy="665897"/>
            <a:chOff x="3267987" y="7700393"/>
            <a:chExt cx="5671700" cy="665898"/>
          </a:xfrm>
        </xdr:grpSpPr>
        <xdr:sp macro="" textlink="">
          <xdr:nvSpPr>
            <xdr:cNvPr id="68" name="TextBox 67"/>
            <xdr:cNvSpPr txBox="1">
              <a:spLocks/>
            </xdr:cNvSpPr>
          </xdr:nvSpPr>
          <xdr:spPr>
            <a:xfrm>
              <a:off x="3267987"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a:t>
              </a:r>
              <a:r>
                <a:rPr lang="en-GB" sz="1100" b="1" baseline="0">
                  <a:solidFill>
                    <a:schemeClr val="dk1"/>
                  </a:solidFill>
                  <a:effectLst/>
                  <a:latin typeface="+mn-lt"/>
                  <a:ea typeface="+mn-ea"/>
                  <a:cs typeface="+mn-cs"/>
                </a:rPr>
                <a:t>National Cluster Coordinator </a:t>
              </a:r>
              <a:r>
                <a:rPr lang="en-GB" sz="1100" b="1" baseline="0">
                  <a:latin typeface="+mn-lt"/>
                </a:rPr>
                <a:t>: Geraldine Salducci Petruccelli</a:t>
              </a:r>
              <a:endParaRPr lang="en-GB" sz="1800" b="1">
                <a:latin typeface="+mn-lt"/>
              </a:endParaRPr>
            </a:p>
          </xdr:txBody>
        </xdr:sp>
        <xdr:sp macro="" textlink="">
          <xdr:nvSpPr>
            <xdr:cNvPr id="69" name="TextBox 68"/>
            <xdr:cNvSpPr txBox="1">
              <a:spLocks/>
            </xdr:cNvSpPr>
          </xdr:nvSpPr>
          <xdr:spPr>
            <a:xfrm>
              <a:off x="5316652" y="7872722"/>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solidFill>
                    <a:schemeClr val="dk1"/>
                  </a:solidFill>
                  <a:effectLst/>
                  <a:latin typeface="+mn-lt"/>
                  <a:ea typeface="+mn-ea"/>
                  <a:cs typeface="+mn-cs"/>
                </a:rPr>
                <a:t>Sub-National Cluster Coordinator</a:t>
              </a:r>
              <a:r>
                <a:rPr lang="en-GB" sz="1100" b="1" baseline="0">
                  <a:latin typeface="+mn-lt"/>
                </a:rPr>
                <a:t>: </a:t>
              </a:r>
              <a:r>
                <a:rPr lang="en-GB" sz="1100" b="1" baseline="0">
                  <a:solidFill>
                    <a:schemeClr val="dk1"/>
                  </a:solidFill>
                  <a:effectLst/>
                  <a:latin typeface="+mn-lt"/>
                  <a:ea typeface="+mn-ea"/>
                  <a:cs typeface="+mn-cs"/>
                </a:rPr>
                <a:t>Deepika Bhardwaj </a:t>
              </a:r>
              <a:endParaRPr lang="en-GB" sz="1100" b="1" baseline="0">
                <a:latin typeface="+mn-lt"/>
              </a:endParaRP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66" name="TextBox 65"/>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67" name="TextBox 66"/>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twoCellAnchor editAs="oneCell">
    <xdr:from>
      <xdr:col>3</xdr:col>
      <xdr:colOff>350383</xdr:colOff>
      <xdr:row>38</xdr:row>
      <xdr:rowOff>2811</xdr:rowOff>
    </xdr:from>
    <xdr:to>
      <xdr:col>4</xdr:col>
      <xdr:colOff>206803</xdr:colOff>
      <xdr:row>38</xdr:row>
      <xdr:rowOff>178594</xdr:rowOff>
    </xdr:to>
    <xdr:pic>
      <xdr:nvPicPr>
        <xdr:cNvPr id="44" name="Picture 4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13794" y="7609204"/>
          <a:ext cx="633142" cy="175783"/>
        </a:xfrm>
        <a:prstGeom prst="rect">
          <a:avLst/>
        </a:prstGeom>
      </xdr:spPr>
    </xdr:pic>
    <xdr:clientData/>
  </xdr:twoCellAnchor>
  <xdr:twoCellAnchor editAs="oneCell">
    <xdr:from>
      <xdr:col>5</xdr:col>
      <xdr:colOff>328273</xdr:colOff>
      <xdr:row>37</xdr:row>
      <xdr:rowOff>129644</xdr:rowOff>
    </xdr:from>
    <xdr:to>
      <xdr:col>5</xdr:col>
      <xdr:colOff>614030</xdr:colOff>
      <xdr:row>38</xdr:row>
      <xdr:rowOff>161232</xdr:rowOff>
    </xdr:to>
    <xdr:pic>
      <xdr:nvPicPr>
        <xdr:cNvPr id="48" name="Picture 4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684010" y="7554041"/>
          <a:ext cx="285757" cy="218687"/>
        </a:xfrm>
        <a:prstGeom prst="rect">
          <a:avLst/>
        </a:prstGeom>
      </xdr:spPr>
    </xdr:pic>
    <xdr:clientData/>
  </xdr:twoCellAnchor>
  <xdr:twoCellAnchor>
    <xdr:from>
      <xdr:col>11</xdr:col>
      <xdr:colOff>607056</xdr:colOff>
      <xdr:row>36</xdr:row>
      <xdr:rowOff>95903</xdr:rowOff>
    </xdr:from>
    <xdr:to>
      <xdr:col>12</xdr:col>
      <xdr:colOff>77738</xdr:colOff>
      <xdr:row>38</xdr:row>
      <xdr:rowOff>175506</xdr:rowOff>
    </xdr:to>
    <xdr:sp macro="" textlink="">
      <xdr:nvSpPr>
        <xdr:cNvPr id="59" name="Oval 58"/>
        <xdr:cNvSpPr/>
      </xdr:nvSpPr>
      <xdr:spPr>
        <a:xfrm>
          <a:off x="5981877" y="7341707"/>
          <a:ext cx="491218" cy="446995"/>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176730</xdr:colOff>
      <xdr:row>34</xdr:row>
      <xdr:rowOff>58485</xdr:rowOff>
    </xdr:from>
    <xdr:to>
      <xdr:col>13</xdr:col>
      <xdr:colOff>632011</xdr:colOff>
      <xdr:row>36</xdr:row>
      <xdr:rowOff>110654</xdr:rowOff>
    </xdr:to>
    <xdr:sp macro="" textlink="">
      <xdr:nvSpPr>
        <xdr:cNvPr id="62" name="Oval 61"/>
        <xdr:cNvSpPr/>
      </xdr:nvSpPr>
      <xdr:spPr>
        <a:xfrm>
          <a:off x="7082355" y="6936896"/>
          <a:ext cx="455281" cy="41956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346818</xdr:colOff>
      <xdr:row>44</xdr:row>
      <xdr:rowOff>180947</xdr:rowOff>
    </xdr:from>
    <xdr:to>
      <xdr:col>13</xdr:col>
      <xdr:colOff>220598</xdr:colOff>
      <xdr:row>47</xdr:row>
      <xdr:rowOff>29214</xdr:rowOff>
    </xdr:to>
    <xdr:sp macro="" textlink="">
      <xdr:nvSpPr>
        <xdr:cNvPr id="70" name="Oval 69"/>
        <xdr:cNvSpPr/>
      </xdr:nvSpPr>
      <xdr:spPr>
        <a:xfrm>
          <a:off x="6742175" y="8896322"/>
          <a:ext cx="384048" cy="378946"/>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979552</xdr:colOff>
      <xdr:row>42</xdr:row>
      <xdr:rowOff>49980</xdr:rowOff>
    </xdr:from>
    <xdr:to>
      <xdr:col>12</xdr:col>
      <xdr:colOff>306488</xdr:colOff>
      <xdr:row>44</xdr:row>
      <xdr:rowOff>23256</xdr:rowOff>
    </xdr:to>
    <xdr:sp macro="" textlink="">
      <xdr:nvSpPr>
        <xdr:cNvPr id="71" name="Oval 70"/>
        <xdr:cNvSpPr/>
      </xdr:nvSpPr>
      <xdr:spPr>
        <a:xfrm>
          <a:off x="6354373" y="8397962"/>
          <a:ext cx="347472" cy="340669"/>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472685</xdr:colOff>
      <xdr:row>39</xdr:row>
      <xdr:rowOff>77206</xdr:rowOff>
    </xdr:from>
    <xdr:to>
      <xdr:col>13</xdr:col>
      <xdr:colOff>235458</xdr:colOff>
      <xdr:row>40</xdr:row>
      <xdr:rowOff>142738</xdr:rowOff>
    </xdr:to>
    <xdr:sp macro="" textlink="">
      <xdr:nvSpPr>
        <xdr:cNvPr id="72" name="Oval 71"/>
        <xdr:cNvSpPr/>
      </xdr:nvSpPr>
      <xdr:spPr>
        <a:xfrm>
          <a:off x="6868042" y="7874099"/>
          <a:ext cx="273041" cy="24922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588346</xdr:colOff>
      <xdr:row>42</xdr:row>
      <xdr:rowOff>155452</xdr:rowOff>
    </xdr:from>
    <xdr:to>
      <xdr:col>11</xdr:col>
      <xdr:colOff>771226</xdr:colOff>
      <xdr:row>43</xdr:row>
      <xdr:rowOff>151233</xdr:rowOff>
    </xdr:to>
    <xdr:sp macro="" textlink="">
      <xdr:nvSpPr>
        <xdr:cNvPr id="73" name="Oval 72"/>
        <xdr:cNvSpPr/>
      </xdr:nvSpPr>
      <xdr:spPr>
        <a:xfrm>
          <a:off x="5963167" y="8503434"/>
          <a:ext cx="182880" cy="17947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224356</xdr:colOff>
      <xdr:row>29</xdr:row>
      <xdr:rowOff>49997</xdr:rowOff>
    </xdr:from>
    <xdr:to>
      <xdr:col>15</xdr:col>
      <xdr:colOff>379804</xdr:colOff>
      <xdr:row>30</xdr:row>
      <xdr:rowOff>23450</xdr:rowOff>
    </xdr:to>
    <xdr:sp macro="" textlink="">
      <xdr:nvSpPr>
        <xdr:cNvPr id="74" name="Oval 73"/>
        <xdr:cNvSpPr/>
      </xdr:nvSpPr>
      <xdr:spPr>
        <a:xfrm>
          <a:off x="8436267" y="6050747"/>
          <a:ext cx="155448" cy="157149"/>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204965</xdr:colOff>
      <xdr:row>21</xdr:row>
      <xdr:rowOff>85036</xdr:rowOff>
    </xdr:from>
    <xdr:to>
      <xdr:col>11</xdr:col>
      <xdr:colOff>323837</xdr:colOff>
      <xdr:row>22</xdr:row>
      <xdr:rowOff>42323</xdr:rowOff>
    </xdr:to>
    <xdr:sp macro="" textlink="">
      <xdr:nvSpPr>
        <xdr:cNvPr id="75" name="Oval 74"/>
        <xdr:cNvSpPr/>
      </xdr:nvSpPr>
      <xdr:spPr>
        <a:xfrm>
          <a:off x="5579786" y="4779500"/>
          <a:ext cx="118872" cy="1188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171628</xdr:colOff>
      <xdr:row>38</xdr:row>
      <xdr:rowOff>102715</xdr:rowOff>
    </xdr:from>
    <xdr:to>
      <xdr:col>9</xdr:col>
      <xdr:colOff>290500</xdr:colOff>
      <xdr:row>39</xdr:row>
      <xdr:rowOff>34488</xdr:rowOff>
    </xdr:to>
    <xdr:sp macro="" textlink="">
      <xdr:nvSpPr>
        <xdr:cNvPr id="76" name="Oval 75"/>
        <xdr:cNvSpPr/>
      </xdr:nvSpPr>
      <xdr:spPr>
        <a:xfrm>
          <a:off x="5010668" y="7875795"/>
          <a:ext cx="118872" cy="1188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536639</xdr:colOff>
      <xdr:row>21</xdr:row>
      <xdr:rowOff>161567</xdr:rowOff>
    </xdr:from>
    <xdr:to>
      <xdr:col>13</xdr:col>
      <xdr:colOff>628079</xdr:colOff>
      <xdr:row>22</xdr:row>
      <xdr:rowOff>91423</xdr:rowOff>
    </xdr:to>
    <xdr:sp macro="" textlink="">
      <xdr:nvSpPr>
        <xdr:cNvPr id="77" name="Oval 76"/>
        <xdr:cNvSpPr/>
      </xdr:nvSpPr>
      <xdr:spPr>
        <a:xfrm>
          <a:off x="7391237" y="5009112"/>
          <a:ext cx="91440" cy="9144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187275</xdr:colOff>
      <xdr:row>30</xdr:row>
      <xdr:rowOff>67338</xdr:rowOff>
    </xdr:from>
    <xdr:to>
      <xdr:col>11</xdr:col>
      <xdr:colOff>260427</xdr:colOff>
      <xdr:row>30</xdr:row>
      <xdr:rowOff>140490</xdr:rowOff>
    </xdr:to>
    <xdr:sp macro="" textlink="">
      <xdr:nvSpPr>
        <xdr:cNvPr id="78" name="Oval 77"/>
        <xdr:cNvSpPr/>
      </xdr:nvSpPr>
      <xdr:spPr>
        <a:xfrm>
          <a:off x="5562096" y="6394659"/>
          <a:ext cx="73152" cy="7315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9</xdr:col>
      <xdr:colOff>382702</xdr:colOff>
      <xdr:row>28</xdr:row>
      <xdr:rowOff>110558</xdr:rowOff>
    </xdr:from>
    <xdr:ext cx="535659" cy="217560"/>
    <xdr:sp macro="" textlink="">
      <xdr:nvSpPr>
        <xdr:cNvPr id="10" name="TextBox 9"/>
        <xdr:cNvSpPr txBox="1"/>
      </xdr:nvSpPr>
      <xdr:spPr>
        <a:xfrm>
          <a:off x="5221742" y="6089196"/>
          <a:ext cx="535659"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solidFill>
                <a:schemeClr val="tx1">
                  <a:lumMod val="85000"/>
                  <a:lumOff val="15000"/>
                </a:schemeClr>
              </a:solidFill>
            </a:rPr>
            <a:t>Hpakant</a:t>
          </a:r>
        </a:p>
      </xdr:txBody>
    </xdr:sp>
    <xdr:clientData/>
  </xdr:oneCellAnchor>
  <xdr:twoCellAnchor>
    <xdr:from>
      <xdr:col>3</xdr:col>
      <xdr:colOff>44222</xdr:colOff>
      <xdr:row>45</xdr:row>
      <xdr:rowOff>68702</xdr:rowOff>
    </xdr:from>
    <xdr:to>
      <xdr:col>3</xdr:col>
      <xdr:colOff>301793</xdr:colOff>
      <xdr:row>46</xdr:row>
      <xdr:rowOff>134233</xdr:rowOff>
    </xdr:to>
    <xdr:sp macro="" textlink="">
      <xdr:nvSpPr>
        <xdr:cNvPr id="79" name="Oval 78"/>
        <xdr:cNvSpPr/>
      </xdr:nvSpPr>
      <xdr:spPr>
        <a:xfrm>
          <a:off x="1207633" y="8967773"/>
          <a:ext cx="257571" cy="24922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684616</xdr:colOff>
      <xdr:row>50</xdr:row>
      <xdr:rowOff>3393</xdr:rowOff>
    </xdr:from>
    <xdr:to>
      <xdr:col>2</xdr:col>
      <xdr:colOff>850487</xdr:colOff>
      <xdr:row>51</xdr:row>
      <xdr:rowOff>24688</xdr:rowOff>
    </xdr:to>
    <xdr:sp macro="" textlink="">
      <xdr:nvSpPr>
        <xdr:cNvPr id="80" name="Oval 79"/>
        <xdr:cNvSpPr/>
      </xdr:nvSpPr>
      <xdr:spPr>
        <a:xfrm>
          <a:off x="963562" y="9759714"/>
          <a:ext cx="165871" cy="184581"/>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399885</xdr:colOff>
      <xdr:row>43</xdr:row>
      <xdr:rowOff>89459</xdr:rowOff>
    </xdr:from>
    <xdr:to>
      <xdr:col>3</xdr:col>
      <xdr:colOff>619341</xdr:colOff>
      <xdr:row>44</xdr:row>
      <xdr:rowOff>121816</xdr:rowOff>
    </xdr:to>
    <xdr:sp macro="" textlink="">
      <xdr:nvSpPr>
        <xdr:cNvPr id="81" name="Oval 80"/>
        <xdr:cNvSpPr/>
      </xdr:nvSpPr>
      <xdr:spPr>
        <a:xfrm>
          <a:off x="1563296" y="8621138"/>
          <a:ext cx="219456" cy="216053"/>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382539</xdr:colOff>
      <xdr:row>44</xdr:row>
      <xdr:rowOff>38091</xdr:rowOff>
    </xdr:from>
    <xdr:to>
      <xdr:col>4</xdr:col>
      <xdr:colOff>519699</xdr:colOff>
      <xdr:row>44</xdr:row>
      <xdr:rowOff>171848</xdr:rowOff>
    </xdr:to>
    <xdr:sp macro="" textlink="">
      <xdr:nvSpPr>
        <xdr:cNvPr id="82" name="Oval 81"/>
        <xdr:cNvSpPr/>
      </xdr:nvSpPr>
      <xdr:spPr>
        <a:xfrm>
          <a:off x="2185485" y="8753466"/>
          <a:ext cx="137160" cy="133757"/>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26371</xdr:colOff>
      <xdr:row>45</xdr:row>
      <xdr:rowOff>136062</xdr:rowOff>
    </xdr:from>
    <xdr:to>
      <xdr:col>5</xdr:col>
      <xdr:colOff>145243</xdr:colOff>
      <xdr:row>46</xdr:row>
      <xdr:rowOff>67835</xdr:rowOff>
    </xdr:to>
    <xdr:sp macro="" textlink="">
      <xdr:nvSpPr>
        <xdr:cNvPr id="83" name="Oval 82"/>
        <xdr:cNvSpPr/>
      </xdr:nvSpPr>
      <xdr:spPr>
        <a:xfrm>
          <a:off x="2380407" y="9028330"/>
          <a:ext cx="118872" cy="115469"/>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238303</xdr:colOff>
      <xdr:row>42</xdr:row>
      <xdr:rowOff>177896</xdr:rowOff>
    </xdr:from>
    <xdr:to>
      <xdr:col>4</xdr:col>
      <xdr:colOff>329743</xdr:colOff>
      <xdr:row>43</xdr:row>
      <xdr:rowOff>82238</xdr:rowOff>
    </xdr:to>
    <xdr:sp macro="" textlink="">
      <xdr:nvSpPr>
        <xdr:cNvPr id="84" name="Oval 83"/>
        <xdr:cNvSpPr/>
      </xdr:nvSpPr>
      <xdr:spPr>
        <a:xfrm>
          <a:off x="2041249" y="8519075"/>
          <a:ext cx="91440" cy="8803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17009</xdr:colOff>
      <xdr:row>37</xdr:row>
      <xdr:rowOff>85046</xdr:rowOff>
    </xdr:from>
    <xdr:to>
      <xdr:col>2</xdr:col>
      <xdr:colOff>340178</xdr:colOff>
      <xdr:row>39</xdr:row>
      <xdr:rowOff>34019</xdr:rowOff>
    </xdr:to>
    <xdr:pic>
      <xdr:nvPicPr>
        <xdr:cNvPr id="6" name="Picture 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80647" y="7509443"/>
          <a:ext cx="323169" cy="323169"/>
        </a:xfrm>
        <a:prstGeom prst="rect">
          <a:avLst/>
        </a:prstGeom>
      </xdr:spPr>
    </xdr:pic>
    <xdr:clientData/>
  </xdr:twoCellAnchor>
  <xdr:twoCellAnchor editAs="oneCell">
    <xdr:from>
      <xdr:col>6</xdr:col>
      <xdr:colOff>17838</xdr:colOff>
      <xdr:row>37</xdr:row>
      <xdr:rowOff>85043</xdr:rowOff>
    </xdr:from>
    <xdr:to>
      <xdr:col>6</xdr:col>
      <xdr:colOff>348684</xdr:colOff>
      <xdr:row>39</xdr:row>
      <xdr:rowOff>36324</xdr:rowOff>
    </xdr:to>
    <xdr:pic>
      <xdr:nvPicPr>
        <xdr:cNvPr id="11" name="Picture 1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138976" y="7509440"/>
          <a:ext cx="330846" cy="325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76200</xdr:colOff>
          <xdr:row>3</xdr:row>
          <xdr:rowOff>236220</xdr:rowOff>
        </xdr:from>
        <xdr:to>
          <xdr:col>20</xdr:col>
          <xdr:colOff>236220</xdr:colOff>
          <xdr:row>3</xdr:row>
          <xdr:rowOff>441960</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133071</xdr:colOff>
      <xdr:row>4</xdr:row>
      <xdr:rowOff>2241</xdr:rowOff>
    </xdr:from>
    <xdr:to>
      <xdr:col>11</xdr:col>
      <xdr:colOff>487176</xdr:colOff>
      <xdr:row>34</xdr:row>
      <xdr:rowOff>15128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98611</xdr:colOff>
      <xdr:row>1</xdr:row>
      <xdr:rowOff>233084</xdr:rowOff>
    </xdr:from>
    <xdr:to>
      <xdr:col>25</xdr:col>
      <xdr:colOff>887506</xdr:colOff>
      <xdr:row>1</xdr:row>
      <xdr:rowOff>748926</xdr:rowOff>
    </xdr:to>
    <xdr:grpSp>
      <xdr:nvGrpSpPr>
        <xdr:cNvPr id="7" name="Group 6"/>
        <xdr:cNvGrpSpPr/>
      </xdr:nvGrpSpPr>
      <xdr:grpSpPr>
        <a:xfrm>
          <a:off x="12586944" y="381251"/>
          <a:ext cx="5392645" cy="515842"/>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21</xdr:col>
      <xdr:colOff>466725</xdr:colOff>
      <xdr:row>8</xdr:row>
      <xdr:rowOff>200025</xdr:rowOff>
    </xdr:from>
    <xdr:to>
      <xdr:col>26</xdr:col>
      <xdr:colOff>0</xdr:colOff>
      <xdr:row>24</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26</xdr:row>
      <xdr:rowOff>0</xdr:rowOff>
    </xdr:from>
    <xdr:to>
      <xdr:col>21</xdr:col>
      <xdr:colOff>0</xdr:colOff>
      <xdr:row>48</xdr:row>
      <xdr:rowOff>53788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466725</xdr:colOff>
      <xdr:row>25</xdr:row>
      <xdr:rowOff>8405</xdr:rowOff>
    </xdr:from>
    <xdr:to>
      <xdr:col>25</xdr:col>
      <xdr:colOff>1159807</xdr:colOff>
      <xdr:row>47</xdr:row>
      <xdr:rowOff>63874</xdr:rowOff>
    </xdr:to>
    <xdr:graphicFrame macro="">
      <xdr:nvGraphicFramePr>
        <xdr:cNvPr id="14" name="Chart 13"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133348</xdr:colOff>
      <xdr:row>34</xdr:row>
      <xdr:rowOff>106114</xdr:rowOff>
    </xdr:from>
    <xdr:to>
      <xdr:col>11</xdr:col>
      <xdr:colOff>466725</xdr:colOff>
      <xdr:row>72</xdr:row>
      <xdr:rowOff>57151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400050</xdr:colOff>
      <xdr:row>26</xdr:row>
      <xdr:rowOff>38100</xdr:rowOff>
    </xdr:from>
    <xdr:to>
      <xdr:col>26</xdr:col>
      <xdr:colOff>0</xdr:colOff>
      <xdr:row>48</xdr:row>
      <xdr:rowOff>93569</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8</xdr:row>
      <xdr:rowOff>220755</xdr:rowOff>
    </xdr:from>
    <xdr:to>
      <xdr:col>21</xdr:col>
      <xdr:colOff>0</xdr:colOff>
      <xdr:row>24</xdr:row>
      <xdr:rowOff>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16</xdr:col>
      <xdr:colOff>504825</xdr:colOff>
      <xdr:row>13</xdr:row>
      <xdr:rowOff>0</xdr:rowOff>
    </xdr:from>
    <xdr:ext cx="184731" cy="264560"/>
    <xdr:sp macro="" textlink="">
      <xdr:nvSpPr>
        <xdr:cNvPr id="2" name="TextBox 1"/>
        <xdr:cNvSpPr txBox="1"/>
      </xdr:nvSpPr>
      <xdr:spPr>
        <a:xfrm>
          <a:off x="1040130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53751</xdr:colOff>
      <xdr:row>5</xdr:row>
      <xdr:rowOff>20304</xdr:rowOff>
    </xdr:from>
    <xdr:to>
      <xdr:col>4</xdr:col>
      <xdr:colOff>1135894</xdr:colOff>
      <xdr:row>12</xdr:row>
      <xdr:rowOff>22411</xdr:rowOff>
    </xdr:to>
    <xdr:grpSp>
      <xdr:nvGrpSpPr>
        <xdr:cNvPr id="3" name="Group 2"/>
        <xdr:cNvGrpSpPr/>
      </xdr:nvGrpSpPr>
      <xdr:grpSpPr>
        <a:xfrm>
          <a:off x="53751" y="820404"/>
          <a:ext cx="3497683" cy="962227"/>
          <a:chOff x="15050954" y="1681076"/>
          <a:chExt cx="2498964" cy="813877"/>
        </a:xfrm>
      </xdr:grpSpPr>
      <xdr:grpSp>
        <xdr:nvGrpSpPr>
          <xdr:cNvPr id="4" name="Group 3"/>
          <xdr:cNvGrpSpPr/>
        </xdr:nvGrpSpPr>
        <xdr:grpSpPr>
          <a:xfrm>
            <a:off x="15050954" y="2093370"/>
            <a:ext cx="2498964" cy="401583"/>
            <a:chOff x="3969371" y="11269984"/>
            <a:chExt cx="1399822" cy="231681"/>
          </a:xfrm>
          <a:effectLst>
            <a:outerShdw blurRad="63500" sx="102000" sy="102000" algn="ctr" rotWithShape="0">
              <a:prstClr val="black">
                <a:alpha val="40000"/>
              </a:prstClr>
            </a:outerShdw>
          </a:effectLst>
        </xdr:grpSpPr>
        <xdr:sp macro="" textlink="">
          <xdr:nvSpPr>
            <xdr:cNvPr id="9" name="Rectangle 8"/>
            <xdr:cNvSpPr/>
          </xdr:nvSpPr>
          <xdr:spPr>
            <a:xfrm>
              <a:off x="3988722" y="11300453"/>
              <a:ext cx="766298"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0" name="TextBox 9"/>
            <xdr:cNvSpPr txBox="1"/>
          </xdr:nvSpPr>
          <xdr:spPr>
            <a:xfrm>
              <a:off x="3969371" y="11269984"/>
              <a:ext cx="781372" cy="231681"/>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100" b="1">
                  <a:solidFill>
                    <a:schemeClr val="dk1"/>
                  </a:solidFill>
                  <a:effectLst/>
                  <a:latin typeface="+mn-lt"/>
                  <a:ea typeface="+mn-ea"/>
                  <a:cs typeface="Calibri" pitchFamily="34" charset="0"/>
                </a:rPr>
                <a:t>Estimated</a:t>
              </a:r>
              <a:r>
                <a:rPr lang="en-GB" sz="1100" b="1" baseline="0">
                  <a:solidFill>
                    <a:schemeClr val="dk1"/>
                  </a:solidFill>
                  <a:effectLst/>
                  <a:latin typeface="+mn-lt"/>
                  <a:ea typeface="+mn-ea"/>
                  <a:cs typeface="Calibri" pitchFamily="34" charset="0"/>
                </a:rPr>
                <a:t> number of </a:t>
              </a:r>
              <a:r>
                <a:rPr lang="en-GB" sz="1100" b="1">
                  <a:solidFill>
                    <a:schemeClr val="dk1"/>
                  </a:solidFill>
                  <a:effectLst/>
                  <a:latin typeface="+mn-lt"/>
                  <a:ea typeface="+mn-ea"/>
                  <a:cs typeface="Calibri" pitchFamily="34" charset="0"/>
                </a:rPr>
                <a:t>IDPs</a:t>
              </a:r>
              <a:r>
                <a:rPr lang="en-GB" sz="1100" b="1" baseline="0">
                  <a:solidFill>
                    <a:schemeClr val="dk1"/>
                  </a:solidFill>
                  <a:effectLst/>
                  <a:latin typeface="+mn-lt"/>
                  <a:ea typeface="+mn-ea"/>
                  <a:cs typeface="Calibri" pitchFamily="34" charset="0"/>
                </a:rPr>
                <a:t> </a:t>
              </a:r>
              <a:endParaRPr lang="en-GB" sz="1100" b="1">
                <a:effectLst/>
                <a:latin typeface="+mn-lt"/>
                <a:cs typeface="Calibri" pitchFamily="34" charset="0"/>
              </a:endParaRPr>
            </a:p>
          </xdr:txBody>
        </xdr:sp>
        <xdr:sp macro="" textlink="$D$41">
          <xdr:nvSpPr>
            <xdr:cNvPr id="11" name="Rectangle 10"/>
            <xdr:cNvSpPr/>
          </xdr:nvSpPr>
          <xdr:spPr>
            <a:xfrm>
              <a:off x="4756498" y="11296634"/>
              <a:ext cx="61269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A5C96B82-0F2A-4A4B-A2DE-F4FF809651D2}" type="TxLink">
                <a:rPr lang="en-US" sz="1800" b="1" i="0" u="none" strike="noStrike">
                  <a:solidFill>
                    <a:schemeClr val="bg1"/>
                  </a:solidFill>
                  <a:latin typeface="Calibri"/>
                </a:rPr>
                <a:pPr algn="ctr"/>
                <a:t> 106,537 </a:t>
              </a:fld>
              <a:endParaRPr lang="en-US" sz="1800" b="1">
                <a:solidFill>
                  <a:schemeClr val="bg1"/>
                </a:solidFill>
                <a:latin typeface="+mn-lt"/>
              </a:endParaRPr>
            </a:p>
          </xdr:txBody>
        </xdr:sp>
      </xdr:grpSp>
      <xdr:grpSp>
        <xdr:nvGrpSpPr>
          <xdr:cNvPr id="5" name="Group 4"/>
          <xdr:cNvGrpSpPr/>
        </xdr:nvGrpSpPr>
        <xdr:grpSpPr>
          <a:xfrm>
            <a:off x="15085238" y="1681076"/>
            <a:ext cx="2459845" cy="454426"/>
            <a:chOff x="3988722" y="11269189"/>
            <a:chExt cx="1390501" cy="224198"/>
          </a:xfrm>
          <a:effectLst>
            <a:outerShdw blurRad="63500" sx="102000" sy="102000" algn="ctr" rotWithShape="0">
              <a:prstClr val="black">
                <a:alpha val="40000"/>
              </a:prstClr>
            </a:outerShdw>
          </a:effectLst>
        </xdr:grpSpPr>
        <xdr:sp macro="" textlink="$E$41">
          <xdr:nvSpPr>
            <xdr:cNvPr id="6" name="Rectangle 5"/>
            <xdr:cNvSpPr/>
          </xdr:nvSpPr>
          <xdr:spPr>
            <a:xfrm>
              <a:off x="4768472" y="11296623"/>
              <a:ext cx="610751"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66A1083C-4707-4983-A704-93965247AF65}" type="TxLink">
                <a:rPr lang="en-US" sz="2000" b="1" i="0" u="none" strike="noStrike">
                  <a:solidFill>
                    <a:schemeClr val="bg1"/>
                  </a:solidFill>
                  <a:latin typeface="Calibri"/>
                </a:rPr>
                <a:pPr algn="ctr"/>
                <a:t> 169 </a:t>
              </a:fld>
              <a:endParaRPr lang="en-US" sz="2000" b="1">
                <a:solidFill>
                  <a:schemeClr val="bg1"/>
                </a:solidFill>
                <a:latin typeface="+mn-lt"/>
              </a:endParaRPr>
            </a:p>
          </xdr:txBody>
        </xdr:sp>
        <xdr:sp macro="" textlink="">
          <xdr:nvSpPr>
            <xdr:cNvPr id="7" name="Rectangle 6"/>
            <xdr:cNvSpPr/>
          </xdr:nvSpPr>
          <xdr:spPr>
            <a:xfrm>
              <a:off x="3988722" y="11300449"/>
              <a:ext cx="773400"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8" name="TextBox 7"/>
            <xdr:cNvSpPr txBox="1"/>
          </xdr:nvSpPr>
          <xdr:spPr>
            <a:xfrm>
              <a:off x="3989053" y="11269189"/>
              <a:ext cx="773069" cy="22419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050" b="1">
                  <a:solidFill>
                    <a:schemeClr val="dk1"/>
                  </a:solidFill>
                  <a:effectLst/>
                  <a:latin typeface="+mn-lt"/>
                  <a:ea typeface="+mn-ea"/>
                  <a:cs typeface="Calibri" pitchFamily="34" charset="0"/>
                </a:rPr>
                <a:t># of IDP</a:t>
              </a:r>
              <a:r>
                <a:rPr lang="en-GB" sz="1050" b="1" baseline="0">
                  <a:solidFill>
                    <a:schemeClr val="dk1"/>
                  </a:solidFill>
                  <a:effectLst/>
                  <a:latin typeface="+mn-lt"/>
                  <a:ea typeface="+mn-ea"/>
                  <a:cs typeface="Calibri" pitchFamily="34" charset="0"/>
                </a:rPr>
                <a:t> Locations</a:t>
              </a:r>
              <a:endParaRPr lang="en-GB" sz="1050" b="1">
                <a:effectLst/>
                <a:latin typeface="+mn-lt"/>
                <a:cs typeface="Calibri" pitchFamily="34" charset="0"/>
              </a:endParaRPr>
            </a:p>
          </xdr:txBody>
        </xdr:sp>
      </xdr:grpSp>
    </xdr:grpSp>
    <xdr:clientData/>
  </xdr:twoCellAnchor>
  <xdr:twoCellAnchor>
    <xdr:from>
      <xdr:col>0</xdr:col>
      <xdr:colOff>0</xdr:colOff>
      <xdr:row>49</xdr:row>
      <xdr:rowOff>36348</xdr:rowOff>
    </xdr:from>
    <xdr:to>
      <xdr:col>18</xdr:col>
      <xdr:colOff>58615</xdr:colOff>
      <xdr:row>49</xdr:row>
      <xdr:rowOff>36348</xdr:rowOff>
    </xdr:to>
    <xdr:sp macro="" textlink="">
      <xdr:nvSpPr>
        <xdr:cNvPr id="12" name="Line 2"/>
        <xdr:cNvSpPr>
          <a:spLocks noChangeShapeType="1"/>
        </xdr:cNvSpPr>
      </xdr:nvSpPr>
      <xdr:spPr bwMode="auto">
        <a:xfrm>
          <a:off x="0" y="8742198"/>
          <a:ext cx="12431590" cy="0"/>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52669</xdr:colOff>
      <xdr:row>50</xdr:row>
      <xdr:rowOff>7922</xdr:rowOff>
    </xdr:from>
    <xdr:to>
      <xdr:col>9</xdr:col>
      <xdr:colOff>462288</xdr:colOff>
      <xdr:row>50</xdr:row>
      <xdr:rowOff>552450</xdr:rowOff>
    </xdr:to>
    <xdr:sp macro="" textlink="">
      <xdr:nvSpPr>
        <xdr:cNvPr id="13" name="TextBox 12"/>
        <xdr:cNvSpPr txBox="1"/>
      </xdr:nvSpPr>
      <xdr:spPr>
        <a:xfrm>
          <a:off x="128869" y="8761397"/>
          <a:ext cx="6943769" cy="544528"/>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CCCM cluster partners, UNHCR, other humanitarian organizations &amp; MIMU.</a:t>
          </a:r>
          <a:endParaRPr lang="en-GB" sz="1000">
            <a:latin typeface="Franklin Gothic Book" pitchFamily="34" charset="0"/>
          </a:endParaRPr>
        </a:p>
      </xdr:txBody>
    </xdr:sp>
    <xdr:clientData/>
  </xdr:twoCellAnchor>
  <xdr:twoCellAnchor>
    <xdr:from>
      <xdr:col>11</xdr:col>
      <xdr:colOff>313207</xdr:colOff>
      <xdr:row>3</xdr:row>
      <xdr:rowOff>0</xdr:rowOff>
    </xdr:from>
    <xdr:to>
      <xdr:col>17</xdr:col>
      <xdr:colOff>1723631</xdr:colOff>
      <xdr:row>4</xdr:row>
      <xdr:rowOff>224118</xdr:rowOff>
    </xdr:to>
    <xdr:grpSp>
      <xdr:nvGrpSpPr>
        <xdr:cNvPr id="16" name="Group 15"/>
        <xdr:cNvGrpSpPr/>
      </xdr:nvGrpSpPr>
      <xdr:grpSpPr>
        <a:xfrm>
          <a:off x="8199907" y="182880"/>
          <a:ext cx="4412704" cy="551778"/>
          <a:chOff x="6500812" y="317500"/>
          <a:chExt cx="6186806" cy="575469"/>
        </a:xfrm>
      </xdr:grpSpPr>
      <xdr:pic>
        <xdr:nvPicPr>
          <xdr:cNvPr id="17" name="Picture 1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268942</xdr:colOff>
      <xdr:row>42</xdr:row>
      <xdr:rowOff>135467</xdr:rowOff>
    </xdr:from>
    <xdr:to>
      <xdr:col>18</xdr:col>
      <xdr:colOff>20543</xdr:colOff>
      <xdr:row>49</xdr:row>
      <xdr:rowOff>22411</xdr:rowOff>
    </xdr:to>
    <xdr:sp macro="" textlink="">
      <xdr:nvSpPr>
        <xdr:cNvPr id="19" name="Rounded Rectangle 18"/>
        <xdr:cNvSpPr/>
      </xdr:nvSpPr>
      <xdr:spPr>
        <a:xfrm>
          <a:off x="7838142" y="7128934"/>
          <a:ext cx="4552201" cy="148714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Displacement started in June 2011 due to the fighting between the Government and the Kachin Independence Organization. The majority of IDPs live in camps along the Myanmar-China Border. Approximately 36% of IDPs live in camps in non-Government Controlled areas (NGCA).</a:t>
          </a:r>
          <a:endParaRPr lang="en-US" sz="1100">
            <a:solidFill>
              <a:schemeClr val="lt1"/>
            </a:solidFill>
            <a:effectLst/>
            <a:latin typeface="+mn-lt"/>
            <a:ea typeface="+mn-ea"/>
            <a:cs typeface="+mn-cs"/>
          </a:endParaRPr>
        </a:p>
      </xdr:txBody>
    </xdr:sp>
    <xdr:clientData/>
  </xdr:twoCellAnchor>
  <xdr:twoCellAnchor>
    <xdr:from>
      <xdr:col>6</xdr:col>
      <xdr:colOff>112059</xdr:colOff>
      <xdr:row>5</xdr:row>
      <xdr:rowOff>56027</xdr:rowOff>
    </xdr:from>
    <xdr:to>
      <xdr:col>12</xdr:col>
      <xdr:colOff>42333</xdr:colOff>
      <xdr:row>19</xdr:row>
      <xdr:rowOff>137583</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67235</xdr:colOff>
      <xdr:row>19</xdr:row>
      <xdr:rowOff>123266</xdr:rowOff>
    </xdr:from>
    <xdr:to>
      <xdr:col>13</xdr:col>
      <xdr:colOff>127000</xdr:colOff>
      <xdr:row>41</xdr:row>
      <xdr:rowOff>123265</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210512</xdr:colOff>
      <xdr:row>9</xdr:row>
      <xdr:rowOff>33178</xdr:rowOff>
    </xdr:from>
    <xdr:to>
      <xdr:col>17</xdr:col>
      <xdr:colOff>1744642</xdr:colOff>
      <xdr:row>42</xdr:row>
      <xdr:rowOff>19313</xdr:rowOff>
    </xdr:to>
    <xdr:pic>
      <xdr:nvPicPr>
        <xdr:cNvPr id="30" name="Picture 2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8133071" y="1781296"/>
          <a:ext cx="3831336" cy="5412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80840</xdr:colOff>
      <xdr:row>5</xdr:row>
      <xdr:rowOff>122464</xdr:rowOff>
    </xdr:from>
    <xdr:to>
      <xdr:col>17</xdr:col>
      <xdr:colOff>1755320</xdr:colOff>
      <xdr:row>8</xdr:row>
      <xdr:rowOff>149678</xdr:rowOff>
    </xdr:to>
    <xdr:sp macro="" textlink="">
      <xdr:nvSpPr>
        <xdr:cNvPr id="29" name="TextBox 1"/>
        <xdr:cNvSpPr txBox="1">
          <a:spLocks/>
        </xdr:cNvSpPr>
      </xdr:nvSpPr>
      <xdr:spPr>
        <a:xfrm>
          <a:off x="8196140" y="1236889"/>
          <a:ext cx="3960480" cy="484414"/>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50" b="1" baseline="0">
              <a:latin typeface="+mn-lt"/>
            </a:rPr>
            <a:t>Kachin and Northern Shan</a:t>
          </a:r>
        </a:p>
        <a:p>
          <a:pPr algn="ctr"/>
          <a:r>
            <a:rPr lang="en-GB" sz="1050" b="1" baseline="0">
              <a:latin typeface="+mn-lt"/>
            </a:rPr>
            <a:t># of IDPs by Township</a:t>
          </a:r>
          <a:endParaRPr lang="en-GB" sz="1050" b="1">
            <a:latin typeface="+mn-lt"/>
          </a:endParaRPr>
        </a:p>
      </xdr:txBody>
    </xdr:sp>
    <xdr:clientData/>
  </xdr:twoCellAnchor>
  <xdr:twoCellAnchor>
    <xdr:from>
      <xdr:col>7</xdr:col>
      <xdr:colOff>709083</xdr:colOff>
      <xdr:row>50</xdr:row>
      <xdr:rowOff>31750</xdr:rowOff>
    </xdr:from>
    <xdr:to>
      <xdr:col>18</xdr:col>
      <xdr:colOff>33666</xdr:colOff>
      <xdr:row>52</xdr:row>
      <xdr:rowOff>69051</xdr:rowOff>
    </xdr:to>
    <xdr:grpSp>
      <xdr:nvGrpSpPr>
        <xdr:cNvPr id="27" name="Group 26"/>
        <xdr:cNvGrpSpPr/>
      </xdr:nvGrpSpPr>
      <xdr:grpSpPr>
        <a:xfrm>
          <a:off x="5768763" y="8528050"/>
          <a:ext cx="6967443" cy="662141"/>
          <a:chOff x="3325099" y="7519775"/>
          <a:chExt cx="6468333" cy="671988"/>
        </a:xfrm>
      </xdr:grpSpPr>
      <xdr:sp macro="" textlink="">
        <xdr:nvSpPr>
          <xdr:cNvPr id="28" name="TextBox 27"/>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31" name="Group 30"/>
          <xdr:cNvGrpSpPr/>
        </xdr:nvGrpSpPr>
        <xdr:grpSpPr>
          <a:xfrm>
            <a:off x="3325099" y="7544530"/>
            <a:ext cx="5671700" cy="647233"/>
            <a:chOff x="3463641" y="7700393"/>
            <a:chExt cx="5671700" cy="647234"/>
          </a:xfrm>
        </xdr:grpSpPr>
        <xdr:sp macro="" textlink="">
          <xdr:nvSpPr>
            <xdr:cNvPr id="37" name="TextBox 36"/>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a:t>
              </a:r>
              <a:r>
                <a:rPr lang="en-GB" sz="1100" b="1" baseline="0">
                  <a:solidFill>
                    <a:schemeClr val="dk1"/>
                  </a:solidFill>
                  <a:effectLst/>
                  <a:latin typeface="+mn-lt"/>
                  <a:ea typeface="+mn-ea"/>
                  <a:cs typeface="+mn-cs"/>
                </a:rPr>
                <a:t>National Cluster Coordinator</a:t>
              </a:r>
              <a:r>
                <a:rPr lang="en-GB" sz="1100" b="1" baseline="0">
                  <a:latin typeface="+mn-lt"/>
                </a:rPr>
                <a:t>: Geraldine Salducci Petruccelli</a:t>
              </a:r>
              <a:endParaRPr lang="en-GB" sz="1800" b="1">
                <a:latin typeface="+mn-lt"/>
              </a:endParaRPr>
            </a:p>
          </xdr:txBody>
        </xdr:sp>
        <xdr:sp macro="" textlink="">
          <xdr:nvSpPr>
            <xdr:cNvPr id="38" name="TextBox 37"/>
            <xdr:cNvSpPr txBox="1">
              <a:spLocks/>
            </xdr:cNvSpPr>
          </xdr:nvSpPr>
          <xdr:spPr>
            <a:xfrm>
              <a:off x="5219251" y="7854058"/>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solidFill>
                    <a:schemeClr val="dk1"/>
                  </a:solidFill>
                  <a:effectLst/>
                  <a:latin typeface="+mn-lt"/>
                  <a:ea typeface="+mn-ea"/>
                  <a:cs typeface="+mn-cs"/>
                </a:rPr>
                <a:t>Sub-National Cluster Coordinator</a:t>
              </a:r>
              <a:r>
                <a:rPr lang="en-GB" sz="1100" b="1" baseline="0">
                  <a:latin typeface="+mn-lt"/>
                </a:rPr>
                <a:t>: Deepika Bhardwaj </a:t>
              </a: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32" name="TextBox 31"/>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36" name="TextBox 35"/>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37</xdr:col>
      <xdr:colOff>285750</xdr:colOff>
      <xdr:row>1</xdr:row>
      <xdr:rowOff>38100</xdr:rowOff>
    </xdr:from>
    <xdr:to>
      <xdr:col>44</xdr:col>
      <xdr:colOff>476250</xdr:colOff>
      <xdr:row>41</xdr:row>
      <xdr:rowOff>25527</xdr:rowOff>
    </xdr:to>
    <xdr:pic>
      <xdr:nvPicPr>
        <xdr:cNvPr id="1162" name="Picture 116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2400" y="285750"/>
          <a:ext cx="6991350" cy="9893427"/>
        </a:xfrm>
        <a:prstGeom prst="rect">
          <a:avLst/>
        </a:prstGeom>
      </xdr:spPr>
    </xdr:pic>
    <xdr:clientData/>
  </xdr:twoCellAnchor>
  <xdr:twoCellAnchor editAs="oneCell">
    <xdr:from>
      <xdr:col>0</xdr:col>
      <xdr:colOff>0</xdr:colOff>
      <xdr:row>0</xdr:row>
      <xdr:rowOff>0</xdr:rowOff>
    </xdr:from>
    <xdr:to>
      <xdr:col>11</xdr:col>
      <xdr:colOff>136525</xdr:colOff>
      <xdr:row>40</xdr:row>
      <xdr:rowOff>45150</xdr:rowOff>
    </xdr:to>
    <xdr:pic>
      <xdr:nvPicPr>
        <xdr:cNvPr id="9" name="Kachin_Background"/>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6985000" cy="9570150"/>
        </a:xfrm>
        <a:prstGeom prst="rect">
          <a:avLst/>
        </a:prstGeom>
        <a:ln>
          <a:solidFill>
            <a:srgbClr val="C00000"/>
          </a:solidFill>
        </a:ln>
      </xdr:spPr>
    </xdr:pic>
    <xdr:clientData/>
  </xdr:twoCellAnchor>
  <xdr:twoCellAnchor>
    <xdr:from>
      <xdr:col>29</xdr:col>
      <xdr:colOff>486208</xdr:colOff>
      <xdr:row>31</xdr:row>
      <xdr:rowOff>151356</xdr:rowOff>
    </xdr:from>
    <xdr:to>
      <xdr:col>33</xdr:col>
      <xdr:colOff>860330</xdr:colOff>
      <xdr:row>38</xdr:row>
      <xdr:rowOff>23095</xdr:rowOff>
    </xdr:to>
    <xdr:grpSp>
      <xdr:nvGrpSpPr>
        <xdr:cNvPr id="3" name="Group 2"/>
        <xdr:cNvGrpSpPr/>
      </xdr:nvGrpSpPr>
      <xdr:grpSpPr>
        <a:xfrm>
          <a:off x="22641358" y="7828506"/>
          <a:ext cx="3460222" cy="16052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8" name="TextBox 7"/>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mc:AlternateContent xmlns:mc="http://schemas.openxmlformats.org/markup-compatibility/2006">
    <mc:Choice xmlns:a14="http://schemas.microsoft.com/office/drawing/2010/main" Requires="a14">
      <xdr:twoCellAnchor editAs="oneCell">
        <xdr:from>
          <xdr:col>15</xdr:col>
          <xdr:colOff>0</xdr:colOff>
          <xdr:row>0</xdr:row>
          <xdr:rowOff>137160</xdr:rowOff>
        </xdr:from>
        <xdr:to>
          <xdr:col>18</xdr:col>
          <xdr:colOff>1417320</xdr:colOff>
          <xdr:row>5</xdr:row>
          <xdr:rowOff>45720</xdr:rowOff>
        </xdr:to>
        <xdr:sp macro="" textlink="">
          <xdr:nvSpPr>
            <xdr:cNvPr id="64513" name="CommandButton1" hidden="1">
              <a:extLst>
                <a:ext uri="{63B3BB69-23CF-44E3-9099-C40C66FF867C}">
                  <a14:compatExt spid="_x0000_s64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881413</xdr:colOff>
      <xdr:row>26</xdr:row>
      <xdr:rowOff>26908</xdr:rowOff>
    </xdr:from>
    <xdr:to>
      <xdr:col>18</xdr:col>
      <xdr:colOff>2151413</xdr:colOff>
      <xdr:row>27</xdr:row>
      <xdr:rowOff>169783</xdr:rowOff>
    </xdr:to>
    <xdr:grpSp>
      <xdr:nvGrpSpPr>
        <xdr:cNvPr id="10" name="Location"/>
        <xdr:cNvGrpSpPr/>
      </xdr:nvGrpSpPr>
      <xdr:grpSpPr>
        <a:xfrm>
          <a:off x="9873013" y="6465808"/>
          <a:ext cx="1270000" cy="390525"/>
          <a:chOff x="12380951" y="1905577"/>
          <a:chExt cx="1893717" cy="1135005"/>
        </a:xfrm>
      </xdr:grpSpPr>
      <xdr:sp macro="" textlink="">
        <xdr:nvSpPr>
          <xdr:cNvPr id="11"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2" name="Pop"/>
          <xdr:cNvSpPr txBox="1"/>
        </xdr:nvSpPr>
        <xdr:spPr>
          <a:xfrm>
            <a:off x="12959414" y="2665372"/>
            <a:ext cx="708965" cy="36681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3" name="N_Camp"/>
          <xdr:cNvSpPr txBox="1"/>
        </xdr:nvSpPr>
        <xdr:spPr>
          <a:xfrm>
            <a:off x="13337143" y="2673771"/>
            <a:ext cx="836058" cy="36681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4" name="Site"/>
          <xdr:cNvSpPr txBox="1"/>
        </xdr:nvSpPr>
        <xdr:spPr>
          <a:xfrm>
            <a:off x="12380951" y="1905577"/>
            <a:ext cx="1893717" cy="5404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 name="Cluster"/>
          <xdr:cNvGrpSpPr/>
        </xdr:nvGrpSpPr>
        <xdr:grpSpPr>
          <a:xfrm>
            <a:off x="12477748" y="2348604"/>
            <a:ext cx="1732609" cy="380242"/>
            <a:chOff x="12477748" y="2348604"/>
            <a:chExt cx="1732609" cy="380242"/>
          </a:xfrm>
        </xdr:grpSpPr>
        <xdr:grpSp>
          <xdr:nvGrpSpPr>
            <xdr:cNvPr id="16" name="Shelter_G"/>
            <xdr:cNvGrpSpPr/>
          </xdr:nvGrpSpPr>
          <xdr:grpSpPr>
            <a:xfrm>
              <a:off x="12477748" y="2367654"/>
              <a:ext cx="332972" cy="361192"/>
              <a:chOff x="8585625" y="4782769"/>
              <a:chExt cx="147154" cy="166659"/>
            </a:xfrm>
          </xdr:grpSpPr>
          <xdr:pic>
            <xdr:nvPicPr>
              <xdr:cNvPr id="20" name="Shelter_I"/>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7" name="NFI_G"/>
            <xdr:cNvGrpSpPr/>
          </xdr:nvGrpSpPr>
          <xdr:grpSpPr>
            <a:xfrm>
              <a:off x="13877376" y="2348604"/>
              <a:ext cx="332981" cy="361192"/>
              <a:chOff x="8250078" y="5375644"/>
              <a:chExt cx="147158" cy="166659"/>
            </a:xfrm>
          </xdr:grpSpPr>
          <xdr:pic>
            <xdr:nvPicPr>
              <xdr:cNvPr id="18" name="NFI_I"/>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19"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30</xdr:col>
      <xdr:colOff>75143</xdr:colOff>
      <xdr:row>39</xdr:row>
      <xdr:rowOff>97367</xdr:rowOff>
    </xdr:from>
    <xdr:to>
      <xdr:col>33</xdr:col>
      <xdr:colOff>532343</xdr:colOff>
      <xdr:row>46</xdr:row>
      <xdr:rowOff>30692</xdr:rowOff>
    </xdr:to>
    <xdr:grpSp>
      <xdr:nvGrpSpPr>
        <xdr:cNvPr id="7" name="Group 6"/>
        <xdr:cNvGrpSpPr/>
      </xdr:nvGrpSpPr>
      <xdr:grpSpPr>
        <a:xfrm>
          <a:off x="22858943" y="9755717"/>
          <a:ext cx="2914650" cy="1666875"/>
          <a:chOff x="8172450" y="9248775"/>
          <a:chExt cx="2009775" cy="1362075"/>
        </a:xfrm>
      </xdr:grpSpPr>
      <xdr:sp macro="" textlink="">
        <xdr:nvSpPr>
          <xdr:cNvPr id="2" name="Rounded Rectangle 1"/>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705"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6"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7"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4514" name="Label 2" hidden="1">
                <a:extLst>
                  <a:ext uri="{63B3BB69-23CF-44E3-9099-C40C66FF867C}">
                    <a14:compatExt spid="_x0000_s64514"/>
                  </a:ext>
                </a:extLst>
              </xdr:cNvPr>
              <xdr:cNvSpPr/>
            </xdr:nvSpPr>
            <xdr:spPr bwMode="auto">
              <a:xfrm>
                <a:off x="8286750"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GB" sz="800" b="0" i="0" u="none" strike="noStrike" baseline="0">
                    <a:solidFill>
                      <a:srgbClr val="000000"/>
                    </a:solidFill>
                    <a:latin typeface="Tahoma"/>
                    <a:ea typeface="Tahoma"/>
                    <a:cs typeface="Tahoma"/>
                  </a:rPr>
                  <a:t>1,000</a:t>
                </a:r>
              </a:p>
            </xdr:txBody>
          </xdr:sp>
        </mc:Choice>
        <mc:Fallback/>
      </mc:AlternateContent>
      <mc:AlternateContent xmlns:mc="http://schemas.openxmlformats.org/markup-compatibility/2006">
        <mc:Choice xmlns:a14="http://schemas.microsoft.com/office/drawing/2010/main" Requires="a14">
          <xdr:sp macro="" textlink="">
            <xdr:nvSpPr>
              <xdr:cNvPr id="64515" name="Label 3" hidden="1">
                <a:extLst>
                  <a:ext uri="{63B3BB69-23CF-44E3-9099-C40C66FF867C}">
                    <a14:compatExt spid="_x0000_s64515"/>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GB" sz="800" b="0" i="0" u="none" strike="noStrike" baseline="0">
                    <a:solidFill>
                      <a:srgbClr val="000000"/>
                    </a:solidFill>
                    <a:latin typeface="Tahoma"/>
                    <a:ea typeface="Tahoma"/>
                    <a:cs typeface="Tahoma"/>
                  </a:rPr>
                  <a:t>5,000</a:t>
                </a:r>
              </a:p>
            </xdr:txBody>
          </xdr:sp>
        </mc:Choice>
        <mc:Fallback/>
      </mc:AlternateContent>
      <mc:AlternateContent xmlns:mc="http://schemas.openxmlformats.org/markup-compatibility/2006">
        <mc:Choice xmlns:a14="http://schemas.microsoft.com/office/drawing/2010/main" Requires="a14">
          <xdr:sp macro="" textlink="">
            <xdr:nvSpPr>
              <xdr:cNvPr id="64516" name="Label 4" descr="25,000" hidden="1">
                <a:extLst>
                  <a:ext uri="{63B3BB69-23CF-44E3-9099-C40C66FF867C}">
                    <a14:compatExt spid="_x0000_s64516"/>
                  </a:ext>
                </a:extLst>
              </xdr:cNvPr>
              <xdr:cNvSpPr/>
            </xdr:nvSpPr>
            <xdr:spPr bwMode="auto">
              <a:xfrm>
                <a:off x="9553575" y="1032510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GB" sz="800" b="0" i="0" u="none" strike="noStrike" baseline="0">
                    <a:solidFill>
                      <a:srgbClr val="000000"/>
                    </a:solidFill>
                    <a:latin typeface="Tahoma"/>
                    <a:ea typeface="Tahoma"/>
                    <a:cs typeface="Tahoma"/>
                  </a:rPr>
                  <a:t>25,000</a:t>
                </a:r>
              </a:p>
            </xdr:txBody>
          </xdr:sp>
        </mc:Choice>
        <mc:Fallback/>
      </mc:AlternateContent>
      <mc:AlternateContent xmlns:mc="http://schemas.openxmlformats.org/markup-compatibility/2006">
        <mc:Choice xmlns:a14="http://schemas.microsoft.com/office/drawing/2010/main" Requires="a14">
          <xdr:sp macro="" textlink="">
            <xdr:nvSpPr>
              <xdr:cNvPr id="64518" name="Label 6" hidden="1">
                <a:extLst>
                  <a:ext uri="{63B3BB69-23CF-44E3-9099-C40C66FF867C}">
                    <a14:compatExt spid="_x0000_s64518"/>
                  </a:ext>
                </a:extLst>
              </xdr:cNvPr>
              <xdr:cNvSpPr/>
            </xdr:nvSpPr>
            <xdr:spPr bwMode="auto">
              <a:xfrm>
                <a:off x="8696325" y="9334500"/>
                <a:ext cx="9334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xdr:twoCellAnchor>
    <xdr:from>
      <xdr:col>3</xdr:col>
      <xdr:colOff>491014</xdr:colOff>
      <xdr:row>45</xdr:row>
      <xdr:rowOff>237169</xdr:rowOff>
    </xdr:from>
    <xdr:to>
      <xdr:col>5</xdr:col>
      <xdr:colOff>512286</xdr:colOff>
      <xdr:row>54</xdr:row>
      <xdr:rowOff>102866</xdr:rowOff>
    </xdr:to>
    <xdr:grpSp>
      <xdr:nvGrpSpPr>
        <xdr:cNvPr id="546" name="Kachin/Shan_G"/>
        <xdr:cNvGrpSpPr/>
      </xdr:nvGrpSpPr>
      <xdr:grpSpPr>
        <a:xfrm>
          <a:off x="2840514" y="11095669"/>
          <a:ext cx="1278572" cy="1326197"/>
          <a:chOff x="12374510" y="887371"/>
          <a:chExt cx="1906595" cy="3922814"/>
        </a:xfrm>
      </xdr:grpSpPr>
      <xdr:sp macro="" textlink="">
        <xdr:nvSpPr>
          <xdr:cNvPr id="547" name="Oval"/>
          <xdr:cNvSpPr/>
        </xdr:nvSpPr>
        <xdr:spPr>
          <a:xfrm>
            <a:off x="12374510" y="887371"/>
            <a:ext cx="1906595" cy="392281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6">
        <xdr:nvSpPr>
          <xdr:cNvPr id="548" name="Pop" hidden="1"/>
          <xdr:cNvSpPr txBox="1"/>
        </xdr:nvSpPr>
        <xdr:spPr>
          <a:xfrm>
            <a:off x="12959415" y="1313368"/>
            <a:ext cx="708964" cy="307082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DAE0558-1BCC-4D53-B23D-B0E4C0E4272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106,537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6">
        <xdr:nvSpPr>
          <xdr:cNvPr id="549" name="N_Camp" hidden="1"/>
          <xdr:cNvSpPr txBox="1"/>
        </xdr:nvSpPr>
        <xdr:spPr>
          <a:xfrm>
            <a:off x="13337142" y="2049327"/>
            <a:ext cx="836059" cy="161570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168D021-3C76-45F2-8B63-71805B502384}" type="TxLink">
              <a:rPr lang="en-US" sz="1600" b="0" i="0" u="none" strike="noStrike">
                <a:solidFill>
                  <a:srgbClr val="000000"/>
                </a:solidFill>
                <a:latin typeface="Calibri"/>
                <a:cs typeface="Arial" pitchFamily="34" charset="0"/>
              </a:rPr>
              <a:pPr algn="r"/>
              <a:t>169 camps</a:t>
            </a:fld>
            <a:endParaRPr lang="en-US" sz="600" i="1">
              <a:solidFill>
                <a:schemeClr val="tx1"/>
              </a:solidFill>
              <a:latin typeface="Arial" pitchFamily="34" charset="0"/>
              <a:cs typeface="Arial" pitchFamily="34" charset="0"/>
            </a:endParaRPr>
          </a:p>
        </xdr:txBody>
      </xdr:sp>
      <xdr:sp macro="" textlink="U26">
        <xdr:nvSpPr>
          <xdr:cNvPr id="550"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A8B12D4-D5BE-4552-9C4D-AFD38020031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Kachin/Shan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1" name="Cluster"/>
          <xdr:cNvGrpSpPr/>
        </xdr:nvGrpSpPr>
        <xdr:grpSpPr>
          <a:xfrm>
            <a:off x="12477748" y="2348604"/>
            <a:ext cx="1732609" cy="380242"/>
            <a:chOff x="12477748" y="2348604"/>
            <a:chExt cx="1732609" cy="380242"/>
          </a:xfrm>
        </xdr:grpSpPr>
        <xdr:grpSp>
          <xdr:nvGrpSpPr>
            <xdr:cNvPr id="552" name="Shelter_G"/>
            <xdr:cNvGrpSpPr/>
          </xdr:nvGrpSpPr>
          <xdr:grpSpPr>
            <a:xfrm>
              <a:off x="12477748" y="2367654"/>
              <a:ext cx="332972" cy="361192"/>
              <a:chOff x="8585625" y="4782769"/>
              <a:chExt cx="147154" cy="166659"/>
            </a:xfrm>
          </xdr:grpSpPr>
          <xdr:pic>
            <xdr:nvPicPr>
              <xdr:cNvPr id="556"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3" name="NFI_G"/>
            <xdr:cNvGrpSpPr/>
          </xdr:nvGrpSpPr>
          <xdr:grpSpPr>
            <a:xfrm>
              <a:off x="13877376" y="2348604"/>
              <a:ext cx="332981" cy="361192"/>
              <a:chOff x="8250078" y="5375644"/>
              <a:chExt cx="147158" cy="166659"/>
            </a:xfrm>
          </xdr:grpSpPr>
          <xdr:pic>
            <xdr:nvPicPr>
              <xdr:cNvPr id="554"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55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60325</xdr:colOff>
      <xdr:row>26</xdr:row>
      <xdr:rowOff>107950</xdr:rowOff>
    </xdr:from>
    <xdr:to>
      <xdr:col>5</xdr:col>
      <xdr:colOff>134257</xdr:colOff>
      <xdr:row>29</xdr:row>
      <xdr:rowOff>160875</xdr:rowOff>
    </xdr:to>
    <xdr:grpSp>
      <xdr:nvGrpSpPr>
        <xdr:cNvPr id="1993" name="Bhamo_G"/>
        <xdr:cNvGrpSpPr/>
      </xdr:nvGrpSpPr>
      <xdr:grpSpPr>
        <a:xfrm>
          <a:off x="2308225" y="6546850"/>
          <a:ext cx="1274082" cy="795875"/>
          <a:chOff x="12380951" y="1675478"/>
          <a:chExt cx="1893717" cy="2346603"/>
        </a:xfrm>
      </xdr:grpSpPr>
      <xdr:sp macro="" textlink="">
        <xdr:nvSpPr>
          <xdr:cNvPr id="1994" name="Oval"/>
          <xdr:cNvSpPr/>
        </xdr:nvSpPr>
        <xdr:spPr>
          <a:xfrm>
            <a:off x="13055503" y="2288488"/>
            <a:ext cx="544612" cy="112058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3">
        <xdr:nvSpPr>
          <xdr:cNvPr id="199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7E72231-FDFA-47EF-97F7-BA063C4A7C4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7,899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1996" name="N_Camp" hidden="1"/>
          <xdr:cNvSpPr txBox="1"/>
        </xdr:nvSpPr>
        <xdr:spPr>
          <a:xfrm>
            <a:off x="13337142" y="2056926"/>
            <a:ext cx="836058"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B2EC1258-0782-4099-958F-79C6920E56A7}" type="TxLink">
              <a:rPr lang="en-US" sz="1600" b="0" i="0" u="none" strike="noStrike">
                <a:solidFill>
                  <a:srgbClr val="000000"/>
                </a:solidFill>
                <a:latin typeface="Calibri"/>
                <a:cs typeface="Arial" pitchFamily="34" charset="0"/>
              </a:rPr>
              <a:pPr algn="r"/>
              <a:t>Column1 cps</a:t>
            </a:fld>
            <a:endParaRPr lang="en-US" sz="600" i="1">
              <a:solidFill>
                <a:schemeClr val="tx1"/>
              </a:solidFill>
              <a:latin typeface="Arial" pitchFamily="34" charset="0"/>
              <a:cs typeface="Arial" pitchFamily="34" charset="0"/>
            </a:endParaRPr>
          </a:p>
        </xdr:txBody>
      </xdr:sp>
      <xdr:sp macro="" textlink="U3">
        <xdr:nvSpPr>
          <xdr:cNvPr id="199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EDD1E63-1C7F-437D-A88B-8BB3B7A7276E}"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Bhamo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998" name="Cluster"/>
          <xdr:cNvGrpSpPr/>
        </xdr:nvGrpSpPr>
        <xdr:grpSpPr>
          <a:xfrm>
            <a:off x="12477748" y="2348604"/>
            <a:ext cx="1732609" cy="380242"/>
            <a:chOff x="12477748" y="2348604"/>
            <a:chExt cx="1732609" cy="380242"/>
          </a:xfrm>
        </xdr:grpSpPr>
        <xdr:grpSp>
          <xdr:nvGrpSpPr>
            <xdr:cNvPr id="1999" name="Shelter_G"/>
            <xdr:cNvGrpSpPr/>
          </xdr:nvGrpSpPr>
          <xdr:grpSpPr>
            <a:xfrm>
              <a:off x="12477748" y="2367654"/>
              <a:ext cx="332972" cy="361192"/>
              <a:chOff x="8585625" y="4782769"/>
              <a:chExt cx="147154" cy="166659"/>
            </a:xfrm>
          </xdr:grpSpPr>
          <xdr:pic>
            <xdr:nvPicPr>
              <xdr:cNvPr id="200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0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00" name="NFI_G"/>
            <xdr:cNvGrpSpPr/>
          </xdr:nvGrpSpPr>
          <xdr:grpSpPr>
            <a:xfrm>
              <a:off x="13877376" y="2348604"/>
              <a:ext cx="332981" cy="361192"/>
              <a:chOff x="8250078" y="5375644"/>
              <a:chExt cx="147158" cy="166659"/>
            </a:xfrm>
          </xdr:grpSpPr>
          <xdr:pic>
            <xdr:nvPicPr>
              <xdr:cNvPr id="200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0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184150</xdr:colOff>
      <xdr:row>15</xdr:row>
      <xdr:rowOff>60325</xdr:rowOff>
    </xdr:from>
    <xdr:to>
      <xdr:col>8</xdr:col>
      <xdr:colOff>353332</xdr:colOff>
      <xdr:row>18</xdr:row>
      <xdr:rowOff>113250</xdr:rowOff>
    </xdr:to>
    <xdr:grpSp>
      <xdr:nvGrpSpPr>
        <xdr:cNvPr id="2005" name="Chipwi_G"/>
        <xdr:cNvGrpSpPr/>
      </xdr:nvGrpSpPr>
      <xdr:grpSpPr>
        <a:xfrm>
          <a:off x="4298950" y="3775075"/>
          <a:ext cx="1293132" cy="795875"/>
          <a:chOff x="12380951" y="1675478"/>
          <a:chExt cx="1893717" cy="2346603"/>
        </a:xfrm>
      </xdr:grpSpPr>
      <xdr:sp macro="" textlink="">
        <xdr:nvSpPr>
          <xdr:cNvPr id="2006" name="Oval"/>
          <xdr:cNvSpPr/>
        </xdr:nvSpPr>
        <xdr:spPr>
          <a:xfrm>
            <a:off x="13176945" y="2538363"/>
            <a:ext cx="301728" cy="62083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4">
        <xdr:nvSpPr>
          <xdr:cNvPr id="200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0FE56E5-4358-4E52-A95A-E095A569509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3,094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200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7CB1746-3579-4ACC-B7DB-46C463B012CF}" type="TxLink">
              <a:rPr lang="en-US" sz="1600" b="0" i="0" u="none" strike="noStrike">
                <a:solidFill>
                  <a:srgbClr val="000000"/>
                </a:solidFill>
                <a:latin typeface="Calibri"/>
                <a:cs typeface="Arial" pitchFamily="34" charset="0"/>
              </a:rPr>
              <a:pPr algn="r"/>
              <a:t>8 cps</a:t>
            </a:fld>
            <a:endParaRPr lang="en-US" sz="600" i="1">
              <a:solidFill>
                <a:schemeClr val="tx1"/>
              </a:solidFill>
              <a:latin typeface="Arial" pitchFamily="34" charset="0"/>
              <a:cs typeface="Arial" pitchFamily="34" charset="0"/>
            </a:endParaRPr>
          </a:p>
        </xdr:txBody>
      </xdr:sp>
      <xdr:sp macro="" textlink="U4">
        <xdr:nvSpPr>
          <xdr:cNvPr id="200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D821A3F-7DB7-4CDB-AC3F-C949DBC0761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Chipwi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0" name="Cluster"/>
          <xdr:cNvGrpSpPr/>
        </xdr:nvGrpSpPr>
        <xdr:grpSpPr>
          <a:xfrm>
            <a:off x="12477748" y="2348604"/>
            <a:ext cx="1732609" cy="380242"/>
            <a:chOff x="12477748" y="2348604"/>
            <a:chExt cx="1732609" cy="380242"/>
          </a:xfrm>
        </xdr:grpSpPr>
        <xdr:grpSp>
          <xdr:nvGrpSpPr>
            <xdr:cNvPr id="2011" name="Shelter_G"/>
            <xdr:cNvGrpSpPr/>
          </xdr:nvGrpSpPr>
          <xdr:grpSpPr>
            <a:xfrm>
              <a:off x="12477748" y="2367654"/>
              <a:ext cx="332972" cy="361192"/>
              <a:chOff x="8585625" y="4782769"/>
              <a:chExt cx="147154" cy="166659"/>
            </a:xfrm>
          </xdr:grpSpPr>
          <xdr:pic>
            <xdr:nvPicPr>
              <xdr:cNvPr id="201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1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2" name="NFI_G"/>
            <xdr:cNvGrpSpPr/>
          </xdr:nvGrpSpPr>
          <xdr:grpSpPr>
            <a:xfrm>
              <a:off x="13877376" y="2348604"/>
              <a:ext cx="332981" cy="361192"/>
              <a:chOff x="8250078" y="5375644"/>
              <a:chExt cx="147158" cy="166659"/>
            </a:xfrm>
          </xdr:grpSpPr>
          <xdr:pic>
            <xdr:nvPicPr>
              <xdr:cNvPr id="201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1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15</xdr:row>
      <xdr:rowOff>85725</xdr:rowOff>
    </xdr:from>
    <xdr:to>
      <xdr:col>3</xdr:col>
      <xdr:colOff>102507</xdr:colOff>
      <xdr:row>18</xdr:row>
      <xdr:rowOff>138650</xdr:rowOff>
    </xdr:to>
    <xdr:grpSp>
      <xdr:nvGrpSpPr>
        <xdr:cNvPr id="2017" name="Hpakant_G"/>
        <xdr:cNvGrpSpPr/>
      </xdr:nvGrpSpPr>
      <xdr:grpSpPr>
        <a:xfrm>
          <a:off x="1076325" y="3800475"/>
          <a:ext cx="1274082" cy="795875"/>
          <a:chOff x="12380951" y="1675478"/>
          <a:chExt cx="1893717" cy="2346603"/>
        </a:xfrm>
      </xdr:grpSpPr>
      <xdr:sp macro="" textlink="">
        <xdr:nvSpPr>
          <xdr:cNvPr id="2018" name="Oval"/>
          <xdr:cNvSpPr/>
        </xdr:nvSpPr>
        <xdr:spPr>
          <a:xfrm>
            <a:off x="13144406" y="2471412"/>
            <a:ext cx="366808" cy="75473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5">
        <xdr:nvSpPr>
          <xdr:cNvPr id="201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8F1C384-49FF-48CB-AC43-BCA18A9E4F6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4,038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202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9EBA5A5-7B8F-4899-92A4-18945774AA6E}" type="TxLink">
              <a:rPr lang="en-US" sz="1600" b="0" i="0" u="none" strike="noStrike">
                <a:solidFill>
                  <a:srgbClr val="000000"/>
                </a:solidFill>
                <a:latin typeface="Calibri"/>
                <a:cs typeface="Arial" pitchFamily="34" charset="0"/>
              </a:rPr>
              <a:pPr algn="r"/>
              <a:t>5 cps</a:t>
            </a:fld>
            <a:endParaRPr lang="en-US" sz="600" i="1">
              <a:solidFill>
                <a:schemeClr val="tx1"/>
              </a:solidFill>
              <a:latin typeface="Arial" pitchFamily="34" charset="0"/>
              <a:cs typeface="Arial" pitchFamily="34" charset="0"/>
            </a:endParaRPr>
          </a:p>
        </xdr:txBody>
      </xdr:sp>
      <xdr:sp macro="" textlink="U5">
        <xdr:nvSpPr>
          <xdr:cNvPr id="202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83EEF21-97E5-40C4-ADBF-813284957F70}"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Hpakant</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22" name="Cluster"/>
          <xdr:cNvGrpSpPr/>
        </xdr:nvGrpSpPr>
        <xdr:grpSpPr>
          <a:xfrm>
            <a:off x="12477748" y="2348604"/>
            <a:ext cx="1732609" cy="380242"/>
            <a:chOff x="12477748" y="2348604"/>
            <a:chExt cx="1732609" cy="380242"/>
          </a:xfrm>
        </xdr:grpSpPr>
        <xdr:grpSp>
          <xdr:nvGrpSpPr>
            <xdr:cNvPr id="2023" name="Shelter_G"/>
            <xdr:cNvGrpSpPr/>
          </xdr:nvGrpSpPr>
          <xdr:grpSpPr>
            <a:xfrm>
              <a:off x="12477748" y="2367654"/>
              <a:ext cx="332972" cy="361192"/>
              <a:chOff x="8585625" y="4782769"/>
              <a:chExt cx="147154" cy="166659"/>
            </a:xfrm>
          </xdr:grpSpPr>
          <xdr:pic>
            <xdr:nvPicPr>
              <xdr:cNvPr id="202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24" name="NFI_G"/>
            <xdr:cNvGrpSpPr/>
          </xdr:nvGrpSpPr>
          <xdr:grpSpPr>
            <a:xfrm>
              <a:off x="13877376" y="2348604"/>
              <a:ext cx="332981" cy="361192"/>
              <a:chOff x="8250078" y="5375644"/>
              <a:chExt cx="147158" cy="166659"/>
            </a:xfrm>
          </xdr:grpSpPr>
          <xdr:pic>
            <xdr:nvPicPr>
              <xdr:cNvPr id="202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2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33</xdr:row>
      <xdr:rowOff>130175</xdr:rowOff>
    </xdr:from>
    <xdr:to>
      <xdr:col>7</xdr:col>
      <xdr:colOff>547007</xdr:colOff>
      <xdr:row>36</xdr:row>
      <xdr:rowOff>40135</xdr:rowOff>
    </xdr:to>
    <xdr:grpSp>
      <xdr:nvGrpSpPr>
        <xdr:cNvPr id="2029" name="Hseni_G"/>
        <xdr:cNvGrpSpPr/>
      </xdr:nvGrpSpPr>
      <xdr:grpSpPr>
        <a:xfrm>
          <a:off x="3921125" y="8302625"/>
          <a:ext cx="1293132" cy="652910"/>
          <a:chOff x="12380951" y="1748589"/>
          <a:chExt cx="1893717" cy="1900439"/>
        </a:xfrm>
      </xdr:grpSpPr>
      <xdr:sp macro="" textlink="">
        <xdr:nvSpPr>
          <xdr:cNvPr id="2030" name="Oval"/>
          <xdr:cNvSpPr/>
        </xdr:nvSpPr>
        <xdr:spPr>
          <a:xfrm>
            <a:off x="13257180" y="2554162"/>
            <a:ext cx="141259" cy="2892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6">
        <xdr:nvSpPr>
          <xdr:cNvPr id="203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F4CA7F5-FA50-4542-970D-B4643DD6E35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183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203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B1ACFA2-AEFF-4EE0-B582-694AC51B3CDF}" type="TxLink">
              <a:rPr lang="en-US" sz="1600" b="0" i="0" u="none" strike="noStrike">
                <a:solidFill>
                  <a:srgbClr val="000000"/>
                </a:solidFill>
                <a:latin typeface="Calibri"/>
                <a:cs typeface="Arial" pitchFamily="34" charset="0"/>
              </a:rPr>
              <a:pPr algn="r"/>
              <a:t>23 cps</a:t>
            </a:fld>
            <a:endParaRPr lang="en-US" sz="600" i="1">
              <a:solidFill>
                <a:schemeClr val="tx1"/>
              </a:solidFill>
              <a:latin typeface="Arial" pitchFamily="34" charset="0"/>
              <a:cs typeface="Arial" pitchFamily="34" charset="0"/>
            </a:endParaRPr>
          </a:p>
        </xdr:txBody>
      </xdr:sp>
      <xdr:sp macro="" textlink="U6">
        <xdr:nvSpPr>
          <xdr:cNvPr id="203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1198162-CD53-436D-BDF9-D996A82DC16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Hseni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34" name="Cluster"/>
          <xdr:cNvGrpSpPr/>
        </xdr:nvGrpSpPr>
        <xdr:grpSpPr>
          <a:xfrm>
            <a:off x="12477748" y="2348604"/>
            <a:ext cx="1732609" cy="380242"/>
            <a:chOff x="12477748" y="2348604"/>
            <a:chExt cx="1732609" cy="380242"/>
          </a:xfrm>
        </xdr:grpSpPr>
        <xdr:grpSp>
          <xdr:nvGrpSpPr>
            <xdr:cNvPr id="2035" name="Shelter_G"/>
            <xdr:cNvGrpSpPr/>
          </xdr:nvGrpSpPr>
          <xdr:grpSpPr>
            <a:xfrm>
              <a:off x="12477748" y="2367654"/>
              <a:ext cx="332972" cy="361192"/>
              <a:chOff x="8585625" y="4782769"/>
              <a:chExt cx="147154" cy="166659"/>
            </a:xfrm>
          </xdr:grpSpPr>
          <xdr:pic>
            <xdr:nvPicPr>
              <xdr:cNvPr id="203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4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36" name="NFI_G"/>
            <xdr:cNvGrpSpPr/>
          </xdr:nvGrpSpPr>
          <xdr:grpSpPr>
            <a:xfrm>
              <a:off x="13877376" y="2348604"/>
              <a:ext cx="332981" cy="361192"/>
              <a:chOff x="8250078" y="5375644"/>
              <a:chExt cx="147158" cy="166659"/>
            </a:xfrm>
          </xdr:grpSpPr>
          <xdr:pic>
            <xdr:nvPicPr>
              <xdr:cNvPr id="203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3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38</xdr:row>
      <xdr:rowOff>31750</xdr:rowOff>
    </xdr:from>
    <xdr:to>
      <xdr:col>5</xdr:col>
      <xdr:colOff>426357</xdr:colOff>
      <xdr:row>40</xdr:row>
      <xdr:rowOff>179835</xdr:rowOff>
    </xdr:to>
    <xdr:grpSp>
      <xdr:nvGrpSpPr>
        <xdr:cNvPr id="2041" name="Hsipaw_G"/>
        <xdr:cNvGrpSpPr/>
      </xdr:nvGrpSpPr>
      <xdr:grpSpPr>
        <a:xfrm>
          <a:off x="2600325" y="9442450"/>
          <a:ext cx="1274082" cy="643385"/>
          <a:chOff x="12380951" y="1748589"/>
          <a:chExt cx="1893717" cy="1900439"/>
        </a:xfrm>
      </xdr:grpSpPr>
      <xdr:sp macro="" textlink="">
        <xdr:nvSpPr>
          <xdr:cNvPr id="2042" name="Oval"/>
          <xdr:cNvSpPr/>
        </xdr:nvSpPr>
        <xdr:spPr>
          <a:xfrm>
            <a:off x="13295115" y="2631852"/>
            <a:ext cx="65390" cy="13391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7">
        <xdr:nvSpPr>
          <xdr:cNvPr id="2043"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C7177D-3EDB-4A99-8A6E-E014F6E922BA}"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204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01EDE2-D4D3-4FCA-8377-F268DD851268}"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7">
        <xdr:nvSpPr>
          <xdr:cNvPr id="204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0805D5-AD09-47F2-AFDB-879605E6BCB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Hsipaw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46" name="Cluster"/>
          <xdr:cNvGrpSpPr/>
        </xdr:nvGrpSpPr>
        <xdr:grpSpPr>
          <a:xfrm>
            <a:off x="12477748" y="2348604"/>
            <a:ext cx="1732609" cy="380242"/>
            <a:chOff x="12477748" y="2348604"/>
            <a:chExt cx="1732609" cy="380242"/>
          </a:xfrm>
        </xdr:grpSpPr>
        <xdr:grpSp>
          <xdr:nvGrpSpPr>
            <xdr:cNvPr id="2047" name="Shelter_G"/>
            <xdr:cNvGrpSpPr/>
          </xdr:nvGrpSpPr>
          <xdr:grpSpPr>
            <a:xfrm>
              <a:off x="12477748" y="2367654"/>
              <a:ext cx="332972" cy="361192"/>
              <a:chOff x="8585625" y="4782769"/>
              <a:chExt cx="147154" cy="166659"/>
            </a:xfrm>
          </xdr:grpSpPr>
          <xdr:pic>
            <xdr:nvPicPr>
              <xdr:cNvPr id="205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5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48" name="NFI_G"/>
            <xdr:cNvGrpSpPr/>
          </xdr:nvGrpSpPr>
          <xdr:grpSpPr>
            <a:xfrm>
              <a:off x="13877376" y="2348604"/>
              <a:ext cx="332981" cy="361192"/>
              <a:chOff x="8250078" y="5375644"/>
              <a:chExt cx="147158" cy="166659"/>
            </a:xfrm>
          </xdr:grpSpPr>
          <xdr:pic>
            <xdr:nvPicPr>
              <xdr:cNvPr id="204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5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130175</xdr:colOff>
      <xdr:row>13</xdr:row>
      <xdr:rowOff>15875</xdr:rowOff>
    </xdr:from>
    <xdr:to>
      <xdr:col>7</xdr:col>
      <xdr:colOff>204107</xdr:colOff>
      <xdr:row>15</xdr:row>
      <xdr:rowOff>41554</xdr:rowOff>
    </xdr:to>
    <xdr:grpSp>
      <xdr:nvGrpSpPr>
        <xdr:cNvPr id="2053" name="Injangyang_G"/>
        <xdr:cNvGrpSpPr/>
      </xdr:nvGrpSpPr>
      <xdr:grpSpPr>
        <a:xfrm>
          <a:off x="3578225" y="3235325"/>
          <a:ext cx="1293132" cy="520979"/>
          <a:chOff x="12380951" y="1748589"/>
          <a:chExt cx="1893717" cy="1535789"/>
        </a:xfrm>
      </xdr:grpSpPr>
      <xdr:sp macro="" textlink="">
        <xdr:nvSpPr>
          <xdr:cNvPr id="2054"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8">
        <xdr:nvSpPr>
          <xdr:cNvPr id="2055"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8322CC2-F341-4E08-810B-D95EF011BF0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2056"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A7B8464-E029-48A3-9171-CA2820469390}"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8">
        <xdr:nvSpPr>
          <xdr:cNvPr id="205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66F313C-BBD9-4E0D-91D9-796B59346B4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Injangyang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58" name="Cluster"/>
          <xdr:cNvGrpSpPr/>
        </xdr:nvGrpSpPr>
        <xdr:grpSpPr>
          <a:xfrm>
            <a:off x="12477748" y="2348604"/>
            <a:ext cx="1732609" cy="380242"/>
            <a:chOff x="12477748" y="2348604"/>
            <a:chExt cx="1732609" cy="380242"/>
          </a:xfrm>
        </xdr:grpSpPr>
        <xdr:grpSp>
          <xdr:nvGrpSpPr>
            <xdr:cNvPr id="2059" name="Shelter_G"/>
            <xdr:cNvGrpSpPr/>
          </xdr:nvGrpSpPr>
          <xdr:grpSpPr>
            <a:xfrm>
              <a:off x="12477748" y="2367654"/>
              <a:ext cx="332972" cy="361192"/>
              <a:chOff x="8585625" y="4782769"/>
              <a:chExt cx="147154" cy="166659"/>
            </a:xfrm>
          </xdr:grpSpPr>
          <xdr:pic>
            <xdr:nvPicPr>
              <xdr:cNvPr id="206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6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60" name="NFI_G"/>
            <xdr:cNvGrpSpPr/>
          </xdr:nvGrpSpPr>
          <xdr:grpSpPr>
            <a:xfrm>
              <a:off x="13877376" y="2348604"/>
              <a:ext cx="332981" cy="361192"/>
              <a:chOff x="8250078" y="5375644"/>
              <a:chExt cx="147158" cy="166659"/>
            </a:xfrm>
          </xdr:grpSpPr>
          <xdr:pic>
            <xdr:nvPicPr>
              <xdr:cNvPr id="206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6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374650</xdr:colOff>
      <xdr:row>7</xdr:row>
      <xdr:rowOff>9525</xdr:rowOff>
    </xdr:from>
    <xdr:to>
      <xdr:col>9</xdr:col>
      <xdr:colOff>67582</xdr:colOff>
      <xdr:row>9</xdr:row>
      <xdr:rowOff>153628</xdr:rowOff>
    </xdr:to>
    <xdr:grpSp>
      <xdr:nvGrpSpPr>
        <xdr:cNvPr id="2065" name="Khaunglanhpu_G"/>
        <xdr:cNvGrpSpPr/>
      </xdr:nvGrpSpPr>
      <xdr:grpSpPr>
        <a:xfrm>
          <a:off x="4489450" y="1743075"/>
          <a:ext cx="1293132" cy="639403"/>
          <a:chOff x="12380951" y="1375536"/>
          <a:chExt cx="1893717" cy="1908842"/>
        </a:xfrm>
      </xdr:grpSpPr>
      <xdr:sp macro="" textlink="">
        <xdr:nvSpPr>
          <xdr:cNvPr id="2066" name="Oval"/>
          <xdr:cNvSpPr/>
        </xdr:nvSpPr>
        <xdr:spPr>
          <a:xfrm>
            <a:off x="13327810" y="232995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9">
        <xdr:nvSpPr>
          <xdr:cNvPr id="2067"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F06038F-D55A-40E0-B3D1-47EFC267AE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2068"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4E64A4B-9EFC-42C7-8187-E02308032B85}"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9">
        <xdr:nvSpPr>
          <xdr:cNvPr id="2069" name="Site"/>
          <xdr:cNvSpPr txBox="1"/>
        </xdr:nvSpPr>
        <xdr:spPr>
          <a:xfrm>
            <a:off x="12380951" y="1375536"/>
            <a:ext cx="1893717"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9309BE-D8ED-4867-85F5-5C3F57D1808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Khaunglanhpu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70" name="Cluster"/>
          <xdr:cNvGrpSpPr/>
        </xdr:nvGrpSpPr>
        <xdr:grpSpPr>
          <a:xfrm>
            <a:off x="12477748" y="2348604"/>
            <a:ext cx="1732609" cy="380242"/>
            <a:chOff x="12477748" y="2348604"/>
            <a:chExt cx="1732609" cy="380242"/>
          </a:xfrm>
        </xdr:grpSpPr>
        <xdr:grpSp>
          <xdr:nvGrpSpPr>
            <xdr:cNvPr id="2071" name="Shelter_G"/>
            <xdr:cNvGrpSpPr/>
          </xdr:nvGrpSpPr>
          <xdr:grpSpPr>
            <a:xfrm>
              <a:off x="12477748" y="2367654"/>
              <a:ext cx="332972" cy="361192"/>
              <a:chOff x="8585625" y="4782769"/>
              <a:chExt cx="147154" cy="166659"/>
            </a:xfrm>
          </xdr:grpSpPr>
          <xdr:pic>
            <xdr:nvPicPr>
              <xdr:cNvPr id="207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7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72" name="NFI_G"/>
            <xdr:cNvGrpSpPr/>
          </xdr:nvGrpSpPr>
          <xdr:grpSpPr>
            <a:xfrm>
              <a:off x="13877376" y="2348604"/>
              <a:ext cx="332981" cy="361192"/>
              <a:chOff x="8250078" y="5375644"/>
              <a:chExt cx="147158" cy="166659"/>
            </a:xfrm>
          </xdr:grpSpPr>
          <xdr:pic>
            <xdr:nvPicPr>
              <xdr:cNvPr id="207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7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31</xdr:row>
      <xdr:rowOff>149225</xdr:rowOff>
    </xdr:from>
    <xdr:to>
      <xdr:col>7</xdr:col>
      <xdr:colOff>547007</xdr:colOff>
      <xdr:row>34</xdr:row>
      <xdr:rowOff>202150</xdr:rowOff>
    </xdr:to>
    <xdr:grpSp>
      <xdr:nvGrpSpPr>
        <xdr:cNvPr id="2077" name="Kutkai_G"/>
        <xdr:cNvGrpSpPr/>
      </xdr:nvGrpSpPr>
      <xdr:grpSpPr>
        <a:xfrm>
          <a:off x="3921125" y="7826375"/>
          <a:ext cx="1293132" cy="795875"/>
          <a:chOff x="12380951" y="1675478"/>
          <a:chExt cx="1893717" cy="2346603"/>
        </a:xfrm>
      </xdr:grpSpPr>
      <xdr:sp macro="" textlink="">
        <xdr:nvSpPr>
          <xdr:cNvPr id="2078" name="Oval"/>
          <xdr:cNvSpPr/>
        </xdr:nvSpPr>
        <xdr:spPr>
          <a:xfrm>
            <a:off x="13135584" y="2453261"/>
            <a:ext cx="384450" cy="79103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0">
        <xdr:nvSpPr>
          <xdr:cNvPr id="207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C9F55DB-0975-4162-AF69-CAB85E88D55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4,732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208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0CAD60C-2EB1-4099-9108-E38A553A22C0}"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0">
        <xdr:nvSpPr>
          <xdr:cNvPr id="208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DF4E69E-3D25-4848-A9CD-6154C0013A8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Kutkai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82" name="Cluster"/>
          <xdr:cNvGrpSpPr/>
        </xdr:nvGrpSpPr>
        <xdr:grpSpPr>
          <a:xfrm>
            <a:off x="12477748" y="2348604"/>
            <a:ext cx="1732609" cy="380242"/>
            <a:chOff x="12477748" y="2348604"/>
            <a:chExt cx="1732609" cy="380242"/>
          </a:xfrm>
        </xdr:grpSpPr>
        <xdr:grpSp>
          <xdr:nvGrpSpPr>
            <xdr:cNvPr id="2083" name="Shelter_G"/>
            <xdr:cNvGrpSpPr/>
          </xdr:nvGrpSpPr>
          <xdr:grpSpPr>
            <a:xfrm>
              <a:off x="12477748" y="2367654"/>
              <a:ext cx="332972" cy="361192"/>
              <a:chOff x="8585625" y="4782769"/>
              <a:chExt cx="147154" cy="166659"/>
            </a:xfrm>
          </xdr:grpSpPr>
          <xdr:pic>
            <xdr:nvPicPr>
              <xdr:cNvPr id="208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8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84" name="NFI_G"/>
            <xdr:cNvGrpSpPr/>
          </xdr:nvGrpSpPr>
          <xdr:grpSpPr>
            <a:xfrm>
              <a:off x="13877376" y="2348604"/>
              <a:ext cx="332981" cy="361192"/>
              <a:chOff x="8250078" y="5375644"/>
              <a:chExt cx="147158" cy="166659"/>
            </a:xfrm>
          </xdr:grpSpPr>
          <xdr:pic>
            <xdr:nvPicPr>
              <xdr:cNvPr id="208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8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104775</xdr:colOff>
      <xdr:row>6</xdr:row>
      <xdr:rowOff>82550</xdr:rowOff>
    </xdr:from>
    <xdr:to>
      <xdr:col>7</xdr:col>
      <xdr:colOff>178707</xdr:colOff>
      <xdr:row>8</xdr:row>
      <xdr:rowOff>108229</xdr:rowOff>
    </xdr:to>
    <xdr:grpSp>
      <xdr:nvGrpSpPr>
        <xdr:cNvPr id="2089" name="Machanbaw_G"/>
        <xdr:cNvGrpSpPr/>
      </xdr:nvGrpSpPr>
      <xdr:grpSpPr>
        <a:xfrm>
          <a:off x="3552825" y="1568450"/>
          <a:ext cx="1293132" cy="520979"/>
          <a:chOff x="12380951" y="1748589"/>
          <a:chExt cx="1893717" cy="1535789"/>
        </a:xfrm>
      </xdr:grpSpPr>
      <xdr:sp macro="" textlink="">
        <xdr:nvSpPr>
          <xdr:cNvPr id="2090"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1">
        <xdr:nvSpPr>
          <xdr:cNvPr id="2091"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7E369E3-3C25-49F9-A75A-F89492861C3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2092"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280B17-09B5-4435-9528-A946B3D29FDF}" type="TxLink">
              <a:rPr lang="en-US" sz="1600" b="0" i="0" u="none" strike="noStrike">
                <a:solidFill>
                  <a:srgbClr val="000000"/>
                </a:solidFill>
                <a:latin typeface="Calibri"/>
                <a:cs typeface="Arial" pitchFamily="34" charset="0"/>
              </a:rPr>
              <a:pPr algn="r"/>
              <a:t>16 cps</a:t>
            </a:fld>
            <a:endParaRPr lang="en-US" sz="600" i="1">
              <a:solidFill>
                <a:schemeClr val="tx1"/>
              </a:solidFill>
              <a:latin typeface="Arial" pitchFamily="34" charset="0"/>
              <a:cs typeface="Arial" pitchFamily="34" charset="0"/>
            </a:endParaRPr>
          </a:p>
        </xdr:txBody>
      </xdr:sp>
      <xdr:sp macro="" textlink="U11">
        <xdr:nvSpPr>
          <xdr:cNvPr id="209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01937A2-968F-41B9-9F1E-3ED29FD168A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Machanbaw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94" name="Cluster"/>
          <xdr:cNvGrpSpPr/>
        </xdr:nvGrpSpPr>
        <xdr:grpSpPr>
          <a:xfrm>
            <a:off x="12477748" y="2348604"/>
            <a:ext cx="1732609" cy="380242"/>
            <a:chOff x="12477748" y="2348604"/>
            <a:chExt cx="1732609" cy="380242"/>
          </a:xfrm>
        </xdr:grpSpPr>
        <xdr:grpSp>
          <xdr:nvGrpSpPr>
            <xdr:cNvPr id="2095" name="Shelter_G"/>
            <xdr:cNvGrpSpPr/>
          </xdr:nvGrpSpPr>
          <xdr:grpSpPr>
            <a:xfrm>
              <a:off x="12477748" y="2367654"/>
              <a:ext cx="332972" cy="361192"/>
              <a:chOff x="8585625" y="4782769"/>
              <a:chExt cx="147154" cy="166659"/>
            </a:xfrm>
          </xdr:grpSpPr>
          <xdr:pic>
            <xdr:nvPicPr>
              <xdr:cNvPr id="209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0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96" name="NFI_G"/>
            <xdr:cNvGrpSpPr/>
          </xdr:nvGrpSpPr>
          <xdr:grpSpPr>
            <a:xfrm>
              <a:off x="13877376" y="2348604"/>
              <a:ext cx="332981" cy="361192"/>
              <a:chOff x="8250078" y="5375644"/>
              <a:chExt cx="147158" cy="166659"/>
            </a:xfrm>
          </xdr:grpSpPr>
          <xdr:pic>
            <xdr:nvPicPr>
              <xdr:cNvPr id="209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9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466725</xdr:colOff>
      <xdr:row>28</xdr:row>
      <xdr:rowOff>127000</xdr:rowOff>
    </xdr:from>
    <xdr:to>
      <xdr:col>5</xdr:col>
      <xdr:colOff>540657</xdr:colOff>
      <xdr:row>31</xdr:row>
      <xdr:rowOff>179925</xdr:rowOff>
    </xdr:to>
    <xdr:grpSp>
      <xdr:nvGrpSpPr>
        <xdr:cNvPr id="2101" name="Mansi_G"/>
        <xdr:cNvGrpSpPr/>
      </xdr:nvGrpSpPr>
      <xdr:grpSpPr>
        <a:xfrm>
          <a:off x="2714625" y="7061200"/>
          <a:ext cx="1274082" cy="795875"/>
          <a:chOff x="12380951" y="1675478"/>
          <a:chExt cx="1893717" cy="2346603"/>
        </a:xfrm>
      </xdr:grpSpPr>
      <xdr:sp macro="" textlink="">
        <xdr:nvSpPr>
          <xdr:cNvPr id="2102" name="Oval"/>
          <xdr:cNvSpPr/>
        </xdr:nvSpPr>
        <xdr:spPr>
          <a:xfrm>
            <a:off x="12987902" y="2149392"/>
            <a:ext cx="679816" cy="13987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210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8D9F414-AFB5-4272-9808-B37CCD0603F7}"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13,812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210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449390F-BB01-4B89-98FD-02EC002EDAB1}"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2">
        <xdr:nvSpPr>
          <xdr:cNvPr id="210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C9C33B4-E300-499C-B930-9FF1ED17524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Mansi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06" name="Cluster"/>
          <xdr:cNvGrpSpPr/>
        </xdr:nvGrpSpPr>
        <xdr:grpSpPr>
          <a:xfrm>
            <a:off x="12477748" y="2348604"/>
            <a:ext cx="1732609" cy="380242"/>
            <a:chOff x="12477748" y="2348604"/>
            <a:chExt cx="1732609" cy="380242"/>
          </a:xfrm>
        </xdr:grpSpPr>
        <xdr:grpSp>
          <xdr:nvGrpSpPr>
            <xdr:cNvPr id="2107" name="Shelter_G"/>
            <xdr:cNvGrpSpPr/>
          </xdr:nvGrpSpPr>
          <xdr:grpSpPr>
            <a:xfrm>
              <a:off x="12477748" y="2367654"/>
              <a:ext cx="332972" cy="361192"/>
              <a:chOff x="8585625" y="4782769"/>
              <a:chExt cx="147154" cy="166659"/>
            </a:xfrm>
          </xdr:grpSpPr>
          <xdr:pic>
            <xdr:nvPicPr>
              <xdr:cNvPr id="211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1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08" name="NFI_G"/>
            <xdr:cNvGrpSpPr/>
          </xdr:nvGrpSpPr>
          <xdr:grpSpPr>
            <a:xfrm>
              <a:off x="13877376" y="2348604"/>
              <a:ext cx="332981" cy="361192"/>
              <a:chOff x="8250078" y="5375644"/>
              <a:chExt cx="147158" cy="166659"/>
            </a:xfrm>
          </xdr:grpSpPr>
          <xdr:pic>
            <xdr:nvPicPr>
              <xdr:cNvPr id="210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1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301625</xdr:colOff>
      <xdr:row>33</xdr:row>
      <xdr:rowOff>15875</xdr:rowOff>
    </xdr:from>
    <xdr:to>
      <xdr:col>5</xdr:col>
      <xdr:colOff>375557</xdr:colOff>
      <xdr:row>35</xdr:row>
      <xdr:rowOff>163960</xdr:rowOff>
    </xdr:to>
    <xdr:grpSp>
      <xdr:nvGrpSpPr>
        <xdr:cNvPr id="2113" name="Manton_G"/>
        <xdr:cNvGrpSpPr/>
      </xdr:nvGrpSpPr>
      <xdr:grpSpPr>
        <a:xfrm>
          <a:off x="2549525" y="8188325"/>
          <a:ext cx="1274082" cy="643385"/>
          <a:chOff x="12380951" y="1748589"/>
          <a:chExt cx="1893717" cy="1900439"/>
        </a:xfrm>
      </xdr:grpSpPr>
      <xdr:sp macro="" textlink="">
        <xdr:nvSpPr>
          <xdr:cNvPr id="2114" name="Oval"/>
          <xdr:cNvSpPr/>
        </xdr:nvSpPr>
        <xdr:spPr>
          <a:xfrm>
            <a:off x="13258197" y="2556244"/>
            <a:ext cx="139227" cy="28512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11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21BEE80-59BA-4C4C-A420-432BAF93C32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313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11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ABFEC4D-7596-4AA8-A804-0F1D262FE4E7}"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13">
        <xdr:nvSpPr>
          <xdr:cNvPr id="211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31978AE-C543-4707-8236-A06C8DF1BB3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Manton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18" name="Cluster"/>
          <xdr:cNvGrpSpPr/>
        </xdr:nvGrpSpPr>
        <xdr:grpSpPr>
          <a:xfrm>
            <a:off x="12477748" y="2348604"/>
            <a:ext cx="1732609" cy="380242"/>
            <a:chOff x="12477748" y="2348604"/>
            <a:chExt cx="1732609" cy="380242"/>
          </a:xfrm>
        </xdr:grpSpPr>
        <xdr:grpSp>
          <xdr:nvGrpSpPr>
            <xdr:cNvPr id="2119" name="Shelter_G"/>
            <xdr:cNvGrpSpPr/>
          </xdr:nvGrpSpPr>
          <xdr:grpSpPr>
            <a:xfrm>
              <a:off x="12477748" y="2367654"/>
              <a:ext cx="332972" cy="361192"/>
              <a:chOff x="8585625" y="4782769"/>
              <a:chExt cx="147154" cy="166659"/>
            </a:xfrm>
          </xdr:grpSpPr>
          <xdr:pic>
            <xdr:nvPicPr>
              <xdr:cNvPr id="212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2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20" name="NFI_G"/>
            <xdr:cNvGrpSpPr/>
          </xdr:nvGrpSpPr>
          <xdr:grpSpPr>
            <a:xfrm>
              <a:off x="13877376" y="2348604"/>
              <a:ext cx="332981" cy="361192"/>
              <a:chOff x="8250078" y="5375644"/>
              <a:chExt cx="147158" cy="166659"/>
            </a:xfrm>
          </xdr:grpSpPr>
          <xdr:pic>
            <xdr:nvPicPr>
              <xdr:cNvPr id="212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2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187325</xdr:colOff>
      <xdr:row>19</xdr:row>
      <xdr:rowOff>53973</xdr:rowOff>
    </xdr:from>
    <xdr:to>
      <xdr:col>4</xdr:col>
      <xdr:colOff>267607</xdr:colOff>
      <xdr:row>22</xdr:row>
      <xdr:rowOff>117784</xdr:rowOff>
    </xdr:to>
    <xdr:grpSp>
      <xdr:nvGrpSpPr>
        <xdr:cNvPr id="2125" name="Mogaung_G"/>
        <xdr:cNvGrpSpPr/>
      </xdr:nvGrpSpPr>
      <xdr:grpSpPr>
        <a:xfrm>
          <a:off x="1939925" y="4638673"/>
          <a:ext cx="1274082" cy="787711"/>
          <a:chOff x="12380951" y="1702375"/>
          <a:chExt cx="1893717" cy="2292807"/>
        </a:xfrm>
      </xdr:grpSpPr>
      <xdr:sp macro="" textlink="">
        <xdr:nvSpPr>
          <xdr:cNvPr id="2126" name="Oval"/>
          <xdr:cNvSpPr/>
        </xdr:nvSpPr>
        <xdr:spPr>
          <a:xfrm>
            <a:off x="13271495" y="2583481"/>
            <a:ext cx="112627" cy="23065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4">
        <xdr:nvSpPr>
          <xdr:cNvPr id="2127" name="Pop" hidden="1"/>
          <xdr:cNvSpPr txBox="1"/>
        </xdr:nvSpPr>
        <xdr:spPr>
          <a:xfrm>
            <a:off x="12959415" y="1702375"/>
            <a:ext cx="708964" cy="229280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4415E65-F1D4-4684-9647-85CAB5CC932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1,459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4">
        <xdr:nvSpPr>
          <xdr:cNvPr id="212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2AE7432-0B19-4DE2-B8AD-39ABCCCBA4A9}" type="TxLink">
              <a:rPr lang="en-US" sz="1600" b="0" i="0" u="none" strike="noStrike">
                <a:solidFill>
                  <a:srgbClr val="000000"/>
                </a:solidFill>
                <a:latin typeface="Calibri"/>
                <a:cs typeface="Arial" pitchFamily="34" charset="0"/>
              </a:rPr>
              <a:pPr algn="r"/>
              <a:t>2 cps</a:t>
            </a:fld>
            <a:endParaRPr lang="en-US" sz="600" i="1">
              <a:solidFill>
                <a:schemeClr val="tx1"/>
              </a:solidFill>
              <a:latin typeface="Arial" pitchFamily="34" charset="0"/>
              <a:cs typeface="Arial" pitchFamily="34" charset="0"/>
            </a:endParaRPr>
          </a:p>
        </xdr:txBody>
      </xdr:sp>
      <xdr:sp macro="" textlink="U14">
        <xdr:nvSpPr>
          <xdr:cNvPr id="212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02592E4-9D6B-4C39-B1CE-63813AA65F0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Mogaung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30" name="Cluster"/>
          <xdr:cNvGrpSpPr/>
        </xdr:nvGrpSpPr>
        <xdr:grpSpPr>
          <a:xfrm>
            <a:off x="12477748" y="2348604"/>
            <a:ext cx="1732609" cy="380242"/>
            <a:chOff x="12477748" y="2348604"/>
            <a:chExt cx="1732609" cy="380242"/>
          </a:xfrm>
        </xdr:grpSpPr>
        <xdr:grpSp>
          <xdr:nvGrpSpPr>
            <xdr:cNvPr id="2131" name="Shelter_G"/>
            <xdr:cNvGrpSpPr/>
          </xdr:nvGrpSpPr>
          <xdr:grpSpPr>
            <a:xfrm>
              <a:off x="12477748" y="2367654"/>
              <a:ext cx="332972" cy="361192"/>
              <a:chOff x="8585625" y="4782769"/>
              <a:chExt cx="147154" cy="166659"/>
            </a:xfrm>
          </xdr:grpSpPr>
          <xdr:pic>
            <xdr:nvPicPr>
              <xdr:cNvPr id="213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3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32" name="NFI_G"/>
            <xdr:cNvGrpSpPr/>
          </xdr:nvGrpSpPr>
          <xdr:grpSpPr>
            <a:xfrm>
              <a:off x="13877376" y="2348604"/>
              <a:ext cx="332981" cy="361192"/>
              <a:chOff x="8250078" y="5375644"/>
              <a:chExt cx="147158" cy="166659"/>
            </a:xfrm>
          </xdr:grpSpPr>
          <xdr:pic>
            <xdr:nvPicPr>
              <xdr:cNvPr id="213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3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21</xdr:row>
      <xdr:rowOff>219075</xdr:rowOff>
    </xdr:from>
    <xdr:to>
      <xdr:col>3</xdr:col>
      <xdr:colOff>102507</xdr:colOff>
      <xdr:row>24</xdr:row>
      <xdr:rowOff>129035</xdr:rowOff>
    </xdr:to>
    <xdr:grpSp>
      <xdr:nvGrpSpPr>
        <xdr:cNvPr id="2137" name="Mohnyin_G"/>
        <xdr:cNvGrpSpPr/>
      </xdr:nvGrpSpPr>
      <xdr:grpSpPr>
        <a:xfrm>
          <a:off x="1076325" y="5419725"/>
          <a:ext cx="1274082" cy="652910"/>
          <a:chOff x="12380951" y="1748589"/>
          <a:chExt cx="1893717" cy="1900439"/>
        </a:xfrm>
      </xdr:grpSpPr>
      <xdr:sp macro="" textlink="">
        <xdr:nvSpPr>
          <xdr:cNvPr id="2138" name="Oval"/>
          <xdr:cNvSpPr/>
        </xdr:nvSpPr>
        <xdr:spPr>
          <a:xfrm>
            <a:off x="13272452" y="2585441"/>
            <a:ext cx="110713" cy="22673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5">
        <xdr:nvSpPr>
          <xdr:cNvPr id="213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86BACCD-78DE-4940-B10D-36F6C8727C2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382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5">
        <xdr:nvSpPr>
          <xdr:cNvPr id="214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3E4B464C-6A14-490A-BBCF-D0C1DD36F701}" type="TxLink">
              <a:rPr lang="en-US" sz="1600" b="0" i="0" u="none" strike="noStrike">
                <a:solidFill>
                  <a:srgbClr val="000000"/>
                </a:solidFill>
                <a:latin typeface="Calibri"/>
                <a:cs typeface="Arial" pitchFamily="34" charset="0"/>
              </a:rPr>
              <a:pPr algn="r"/>
              <a:t>8 cps</a:t>
            </a:fld>
            <a:endParaRPr lang="en-US" sz="600" i="1">
              <a:solidFill>
                <a:schemeClr val="tx1"/>
              </a:solidFill>
              <a:latin typeface="Arial" pitchFamily="34" charset="0"/>
              <a:cs typeface="Arial" pitchFamily="34" charset="0"/>
            </a:endParaRPr>
          </a:p>
        </xdr:txBody>
      </xdr:sp>
      <xdr:sp macro="" textlink="U15">
        <xdr:nvSpPr>
          <xdr:cNvPr id="214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C42F603-CABF-4F74-B93E-6902C5E52B6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Mohnyin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42" name="Cluster"/>
          <xdr:cNvGrpSpPr/>
        </xdr:nvGrpSpPr>
        <xdr:grpSpPr>
          <a:xfrm>
            <a:off x="12477748" y="2348604"/>
            <a:ext cx="1732609" cy="380242"/>
            <a:chOff x="12477748" y="2348604"/>
            <a:chExt cx="1732609" cy="380242"/>
          </a:xfrm>
        </xdr:grpSpPr>
        <xdr:grpSp>
          <xdr:nvGrpSpPr>
            <xdr:cNvPr id="2143" name="Shelter_G"/>
            <xdr:cNvGrpSpPr/>
          </xdr:nvGrpSpPr>
          <xdr:grpSpPr>
            <a:xfrm>
              <a:off x="12477748" y="2367654"/>
              <a:ext cx="332972" cy="361192"/>
              <a:chOff x="8585625" y="4782769"/>
              <a:chExt cx="147154" cy="166659"/>
            </a:xfrm>
          </xdr:grpSpPr>
          <xdr:pic>
            <xdr:nvPicPr>
              <xdr:cNvPr id="214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4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44" name="NFI_G"/>
            <xdr:cNvGrpSpPr/>
          </xdr:nvGrpSpPr>
          <xdr:grpSpPr>
            <a:xfrm>
              <a:off x="13877376" y="2348604"/>
              <a:ext cx="332981" cy="361192"/>
              <a:chOff x="8250078" y="5375644"/>
              <a:chExt cx="147158" cy="166659"/>
            </a:xfrm>
          </xdr:grpSpPr>
          <xdr:pic>
            <xdr:nvPicPr>
              <xdr:cNvPr id="214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4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22225</xdr:colOff>
      <xdr:row>24</xdr:row>
      <xdr:rowOff>88900</xdr:rowOff>
    </xdr:from>
    <xdr:to>
      <xdr:col>6</xdr:col>
      <xdr:colOff>10432</xdr:colOff>
      <xdr:row>27</xdr:row>
      <xdr:rowOff>141825</xdr:rowOff>
    </xdr:to>
    <xdr:grpSp>
      <xdr:nvGrpSpPr>
        <xdr:cNvPr id="2149" name="Momauk_G"/>
        <xdr:cNvGrpSpPr/>
      </xdr:nvGrpSpPr>
      <xdr:grpSpPr>
        <a:xfrm>
          <a:off x="2841625" y="6032500"/>
          <a:ext cx="1283607" cy="795875"/>
          <a:chOff x="12380951" y="1675478"/>
          <a:chExt cx="1893717" cy="2346603"/>
        </a:xfrm>
      </xdr:grpSpPr>
      <xdr:sp macro="" textlink="">
        <xdr:nvSpPr>
          <xdr:cNvPr id="2150" name="Oval"/>
          <xdr:cNvSpPr/>
        </xdr:nvSpPr>
        <xdr:spPr>
          <a:xfrm>
            <a:off x="12858822" y="1883801"/>
            <a:ext cx="937975" cy="19299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6">
        <xdr:nvSpPr>
          <xdr:cNvPr id="2151"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0454AD8-6D1E-4B13-87C6-283B14A725B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25,132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6">
        <xdr:nvSpPr>
          <xdr:cNvPr id="215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837D4D6-627B-4D93-8A8A-1DE95A99066D}"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6">
        <xdr:nvSpPr>
          <xdr:cNvPr id="215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4FE8D75-382B-4D7B-BFA8-34D4A106802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Momauk</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54" name="Cluster"/>
          <xdr:cNvGrpSpPr/>
        </xdr:nvGrpSpPr>
        <xdr:grpSpPr>
          <a:xfrm>
            <a:off x="12477748" y="2348604"/>
            <a:ext cx="1732609" cy="380242"/>
            <a:chOff x="12477748" y="2348604"/>
            <a:chExt cx="1732609" cy="380242"/>
          </a:xfrm>
        </xdr:grpSpPr>
        <xdr:grpSp>
          <xdr:nvGrpSpPr>
            <xdr:cNvPr id="2155" name="Shelter_G"/>
            <xdr:cNvGrpSpPr/>
          </xdr:nvGrpSpPr>
          <xdr:grpSpPr>
            <a:xfrm>
              <a:off x="12477748" y="2367654"/>
              <a:ext cx="332972" cy="361192"/>
              <a:chOff x="8585625" y="4782769"/>
              <a:chExt cx="147154" cy="166659"/>
            </a:xfrm>
          </xdr:grpSpPr>
          <xdr:pic>
            <xdr:nvPicPr>
              <xdr:cNvPr id="215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6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56" name="NFI_G"/>
            <xdr:cNvGrpSpPr/>
          </xdr:nvGrpSpPr>
          <xdr:grpSpPr>
            <a:xfrm>
              <a:off x="13877376" y="2348604"/>
              <a:ext cx="332981" cy="361192"/>
              <a:chOff x="8250078" y="5375644"/>
              <a:chExt cx="147158" cy="166659"/>
            </a:xfrm>
          </xdr:grpSpPr>
          <xdr:pic>
            <xdr:nvPicPr>
              <xdr:cNvPr id="215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5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511175</xdr:colOff>
      <xdr:row>28</xdr:row>
      <xdr:rowOff>177800</xdr:rowOff>
    </xdr:from>
    <xdr:to>
      <xdr:col>8</xdr:col>
      <xdr:colOff>23132</xdr:colOff>
      <xdr:row>31</xdr:row>
      <xdr:rowOff>230725</xdr:rowOff>
    </xdr:to>
    <xdr:grpSp>
      <xdr:nvGrpSpPr>
        <xdr:cNvPr id="2161" name="Muse_G"/>
        <xdr:cNvGrpSpPr/>
      </xdr:nvGrpSpPr>
      <xdr:grpSpPr>
        <a:xfrm>
          <a:off x="3959225" y="7112000"/>
          <a:ext cx="1302657" cy="795875"/>
          <a:chOff x="12380951" y="1675478"/>
          <a:chExt cx="1893717" cy="2346603"/>
        </a:xfrm>
      </xdr:grpSpPr>
      <xdr:sp macro="" textlink="">
        <xdr:nvSpPr>
          <xdr:cNvPr id="2162" name="Oval"/>
          <xdr:cNvSpPr/>
        </xdr:nvSpPr>
        <xdr:spPr>
          <a:xfrm>
            <a:off x="13211753" y="2609984"/>
            <a:ext cx="232113" cy="4775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7">
        <xdr:nvSpPr>
          <xdr:cNvPr id="216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7679C42-A3EB-4AAF-B726-68A910808B52}"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1,048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7">
        <xdr:nvSpPr>
          <xdr:cNvPr id="216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062D508-160D-46D8-8736-5966A8112384}" type="TxLink">
              <a:rPr lang="en-US" sz="1600" b="0" i="0" u="none" strike="noStrike">
                <a:solidFill>
                  <a:srgbClr val="000000"/>
                </a:solidFill>
                <a:latin typeface="Calibri"/>
                <a:cs typeface="Arial" pitchFamily="34" charset="0"/>
              </a:rPr>
              <a:pPr algn="r"/>
              <a:t>15 cps</a:t>
            </a:fld>
            <a:endParaRPr lang="en-US" sz="600" i="1">
              <a:solidFill>
                <a:schemeClr val="tx1"/>
              </a:solidFill>
              <a:latin typeface="Arial" pitchFamily="34" charset="0"/>
              <a:cs typeface="Arial" pitchFamily="34" charset="0"/>
            </a:endParaRPr>
          </a:p>
        </xdr:txBody>
      </xdr:sp>
      <xdr:sp macro="" textlink="U17">
        <xdr:nvSpPr>
          <xdr:cNvPr id="216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44A4624-AF52-4582-A554-727EFB5B3A1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Muse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66" name="Cluster"/>
          <xdr:cNvGrpSpPr/>
        </xdr:nvGrpSpPr>
        <xdr:grpSpPr>
          <a:xfrm>
            <a:off x="12477748" y="2348604"/>
            <a:ext cx="1732609" cy="380242"/>
            <a:chOff x="12477748" y="2348604"/>
            <a:chExt cx="1732609" cy="380242"/>
          </a:xfrm>
        </xdr:grpSpPr>
        <xdr:grpSp>
          <xdr:nvGrpSpPr>
            <xdr:cNvPr id="2167" name="Shelter_G"/>
            <xdr:cNvGrpSpPr/>
          </xdr:nvGrpSpPr>
          <xdr:grpSpPr>
            <a:xfrm>
              <a:off x="12477748" y="2367654"/>
              <a:ext cx="332972" cy="361192"/>
              <a:chOff x="8585625" y="4782769"/>
              <a:chExt cx="147154" cy="166659"/>
            </a:xfrm>
          </xdr:grpSpPr>
          <xdr:pic>
            <xdr:nvPicPr>
              <xdr:cNvPr id="217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7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68" name="NFI_G"/>
            <xdr:cNvGrpSpPr/>
          </xdr:nvGrpSpPr>
          <xdr:grpSpPr>
            <a:xfrm>
              <a:off x="13877376" y="2348604"/>
              <a:ext cx="332981" cy="361192"/>
              <a:chOff x="8250078" y="5375644"/>
              <a:chExt cx="147158" cy="166659"/>
            </a:xfrm>
          </xdr:grpSpPr>
          <xdr:pic>
            <xdr:nvPicPr>
              <xdr:cNvPr id="216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7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19</xdr:row>
      <xdr:rowOff>225425</xdr:rowOff>
    </xdr:from>
    <xdr:to>
      <xdr:col>5</xdr:col>
      <xdr:colOff>426357</xdr:colOff>
      <xdr:row>23</xdr:row>
      <xdr:rowOff>40225</xdr:rowOff>
    </xdr:to>
    <xdr:grpSp>
      <xdr:nvGrpSpPr>
        <xdr:cNvPr id="2173" name="Myitkyina_G"/>
        <xdr:cNvGrpSpPr/>
      </xdr:nvGrpSpPr>
      <xdr:grpSpPr>
        <a:xfrm>
          <a:off x="2600325" y="4930775"/>
          <a:ext cx="1274082" cy="805400"/>
          <a:chOff x="12380951" y="1675478"/>
          <a:chExt cx="1893717" cy="2346603"/>
        </a:xfrm>
      </xdr:grpSpPr>
      <xdr:sp macro="" textlink="">
        <xdr:nvSpPr>
          <xdr:cNvPr id="2174" name="Oval"/>
          <xdr:cNvSpPr/>
        </xdr:nvSpPr>
        <xdr:spPr>
          <a:xfrm>
            <a:off x="13071339" y="2321071"/>
            <a:ext cx="512941" cy="105541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8">
        <xdr:nvSpPr>
          <xdr:cNvPr id="217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B6AA59A-0BBA-4527-B880-6E938F4921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11,374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8">
        <xdr:nvSpPr>
          <xdr:cNvPr id="217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947CC42-8A69-4029-8ECE-3D0ADECEFAC8}"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8">
        <xdr:nvSpPr>
          <xdr:cNvPr id="217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459C229-2AE5-439D-99AE-377F0347FA5C}"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Myitkyina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78" name="Cluster"/>
          <xdr:cNvGrpSpPr/>
        </xdr:nvGrpSpPr>
        <xdr:grpSpPr>
          <a:xfrm>
            <a:off x="12477748" y="2348604"/>
            <a:ext cx="1732609" cy="380242"/>
            <a:chOff x="12477748" y="2348604"/>
            <a:chExt cx="1732609" cy="380242"/>
          </a:xfrm>
        </xdr:grpSpPr>
        <xdr:grpSp>
          <xdr:nvGrpSpPr>
            <xdr:cNvPr id="2179" name="Shelter_G"/>
            <xdr:cNvGrpSpPr/>
          </xdr:nvGrpSpPr>
          <xdr:grpSpPr>
            <a:xfrm>
              <a:off x="12477748" y="2367654"/>
              <a:ext cx="332972" cy="361192"/>
              <a:chOff x="8585625" y="4782769"/>
              <a:chExt cx="147154" cy="166659"/>
            </a:xfrm>
          </xdr:grpSpPr>
          <xdr:pic>
            <xdr:nvPicPr>
              <xdr:cNvPr id="218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8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80" name="NFI_G"/>
            <xdr:cNvGrpSpPr/>
          </xdr:nvGrpSpPr>
          <xdr:grpSpPr>
            <a:xfrm>
              <a:off x="13877376" y="2348604"/>
              <a:ext cx="332981" cy="361192"/>
              <a:chOff x="8250078" y="5375644"/>
              <a:chExt cx="147158" cy="166659"/>
            </a:xfrm>
          </xdr:grpSpPr>
          <xdr:pic>
            <xdr:nvPicPr>
              <xdr:cNvPr id="218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8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314325</xdr:colOff>
      <xdr:row>30</xdr:row>
      <xdr:rowOff>146050</xdr:rowOff>
    </xdr:from>
    <xdr:to>
      <xdr:col>6</xdr:col>
      <xdr:colOff>302532</xdr:colOff>
      <xdr:row>33</xdr:row>
      <xdr:rowOff>198975</xdr:rowOff>
    </xdr:to>
    <xdr:grpSp>
      <xdr:nvGrpSpPr>
        <xdr:cNvPr id="2185" name="Namhkan_G"/>
        <xdr:cNvGrpSpPr/>
      </xdr:nvGrpSpPr>
      <xdr:grpSpPr>
        <a:xfrm>
          <a:off x="3133725" y="7575550"/>
          <a:ext cx="1283607" cy="795875"/>
          <a:chOff x="12380951" y="1675478"/>
          <a:chExt cx="1893717" cy="2346603"/>
        </a:xfrm>
      </xdr:grpSpPr>
      <xdr:sp macro="" textlink="">
        <xdr:nvSpPr>
          <xdr:cNvPr id="2186" name="Oval"/>
          <xdr:cNvSpPr/>
        </xdr:nvSpPr>
        <xdr:spPr>
          <a:xfrm>
            <a:off x="13195910" y="2577386"/>
            <a:ext cx="263798" cy="54278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9">
        <xdr:nvSpPr>
          <xdr:cNvPr id="218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88426CB-73A6-46DF-AD72-58A246FB0EB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2,018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9">
        <xdr:nvSpPr>
          <xdr:cNvPr id="218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F867D6-5E21-425D-8B17-2EC4ADD465DC}" type="TxLink">
              <a:rPr lang="en-US" sz="1600" b="0" i="0" u="none" strike="noStrike">
                <a:solidFill>
                  <a:srgbClr val="000000"/>
                </a:solidFill>
                <a:latin typeface="Calibri"/>
                <a:cs typeface="Arial" pitchFamily="34" charset="0"/>
              </a:rPr>
              <a:pPr algn="r"/>
              <a:t>25 cps</a:t>
            </a:fld>
            <a:endParaRPr lang="en-US" sz="600" i="1">
              <a:solidFill>
                <a:schemeClr val="tx1"/>
              </a:solidFill>
              <a:latin typeface="Arial" pitchFamily="34" charset="0"/>
              <a:cs typeface="Arial" pitchFamily="34" charset="0"/>
            </a:endParaRPr>
          </a:p>
        </xdr:txBody>
      </xdr:sp>
      <xdr:sp macro="" textlink="U19">
        <xdr:nvSpPr>
          <xdr:cNvPr id="218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E2778F5-684E-4A0A-B459-37780B88DF5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Namhkan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90" name="Cluster"/>
          <xdr:cNvGrpSpPr/>
        </xdr:nvGrpSpPr>
        <xdr:grpSpPr>
          <a:xfrm>
            <a:off x="12477748" y="2348604"/>
            <a:ext cx="1732609" cy="380242"/>
            <a:chOff x="12477748" y="2348604"/>
            <a:chExt cx="1732609" cy="380242"/>
          </a:xfrm>
        </xdr:grpSpPr>
        <xdr:grpSp>
          <xdr:nvGrpSpPr>
            <xdr:cNvPr id="2191" name="Shelter_G"/>
            <xdr:cNvGrpSpPr/>
          </xdr:nvGrpSpPr>
          <xdr:grpSpPr>
            <a:xfrm>
              <a:off x="12477748" y="2367654"/>
              <a:ext cx="332972" cy="361192"/>
              <a:chOff x="8585625" y="4782769"/>
              <a:chExt cx="147154" cy="166659"/>
            </a:xfrm>
          </xdr:grpSpPr>
          <xdr:pic>
            <xdr:nvPicPr>
              <xdr:cNvPr id="219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9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92" name="NFI_G"/>
            <xdr:cNvGrpSpPr/>
          </xdr:nvGrpSpPr>
          <xdr:grpSpPr>
            <a:xfrm>
              <a:off x="13877376" y="2348604"/>
              <a:ext cx="332981" cy="361192"/>
              <a:chOff x="8250078" y="5375644"/>
              <a:chExt cx="147158" cy="166659"/>
            </a:xfrm>
          </xdr:grpSpPr>
          <xdr:pic>
            <xdr:nvPicPr>
              <xdr:cNvPr id="219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9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73025</xdr:colOff>
      <xdr:row>35</xdr:row>
      <xdr:rowOff>85725</xdr:rowOff>
    </xdr:from>
    <xdr:to>
      <xdr:col>6</xdr:col>
      <xdr:colOff>61232</xdr:colOff>
      <xdr:row>37</xdr:row>
      <xdr:rowOff>233810</xdr:rowOff>
    </xdr:to>
    <xdr:grpSp>
      <xdr:nvGrpSpPr>
        <xdr:cNvPr id="2197" name="Namtu_G"/>
        <xdr:cNvGrpSpPr/>
      </xdr:nvGrpSpPr>
      <xdr:grpSpPr>
        <a:xfrm>
          <a:off x="2892425" y="8753475"/>
          <a:ext cx="1283607" cy="643385"/>
          <a:chOff x="12380951" y="1748589"/>
          <a:chExt cx="1893717" cy="1900439"/>
        </a:xfrm>
      </xdr:grpSpPr>
      <xdr:sp macro="" textlink="">
        <xdr:nvSpPr>
          <xdr:cNvPr id="2198" name="Oval"/>
          <xdr:cNvSpPr/>
        </xdr:nvSpPr>
        <xdr:spPr>
          <a:xfrm>
            <a:off x="13259685" y="2559291"/>
            <a:ext cx="136251" cy="27903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0">
        <xdr:nvSpPr>
          <xdr:cNvPr id="219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9DD6BB-6B75-4296-AF00-701ADBBEF2F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609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0">
        <xdr:nvSpPr>
          <xdr:cNvPr id="220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C95BF77-991B-494C-8070-549A5DAF0AEF}"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20">
        <xdr:nvSpPr>
          <xdr:cNvPr id="220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EE38207-293C-402D-8990-F5B8DCB5F75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Namtu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02" name="Cluster"/>
          <xdr:cNvGrpSpPr/>
        </xdr:nvGrpSpPr>
        <xdr:grpSpPr>
          <a:xfrm>
            <a:off x="12477748" y="2348604"/>
            <a:ext cx="1732609" cy="380242"/>
            <a:chOff x="12477748" y="2348604"/>
            <a:chExt cx="1732609" cy="380242"/>
          </a:xfrm>
        </xdr:grpSpPr>
        <xdr:grpSp>
          <xdr:nvGrpSpPr>
            <xdr:cNvPr id="2203" name="Shelter_G"/>
            <xdr:cNvGrpSpPr/>
          </xdr:nvGrpSpPr>
          <xdr:grpSpPr>
            <a:xfrm>
              <a:off x="12477748" y="2367654"/>
              <a:ext cx="332972" cy="361192"/>
              <a:chOff x="8585625" y="4782769"/>
              <a:chExt cx="147154" cy="166659"/>
            </a:xfrm>
          </xdr:grpSpPr>
          <xdr:pic>
            <xdr:nvPicPr>
              <xdr:cNvPr id="220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0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04" name="NFI_G"/>
            <xdr:cNvGrpSpPr/>
          </xdr:nvGrpSpPr>
          <xdr:grpSpPr>
            <a:xfrm>
              <a:off x="13877376" y="2348604"/>
              <a:ext cx="332981" cy="361192"/>
              <a:chOff x="8250078" y="5375644"/>
              <a:chExt cx="147158" cy="166659"/>
            </a:xfrm>
          </xdr:grpSpPr>
          <xdr:pic>
            <xdr:nvPicPr>
              <xdr:cNvPr id="220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0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9525</xdr:colOff>
      <xdr:row>5</xdr:row>
      <xdr:rowOff>104775</xdr:rowOff>
    </xdr:from>
    <xdr:to>
      <xdr:col>5</xdr:col>
      <xdr:colOff>654957</xdr:colOff>
      <xdr:row>8</xdr:row>
      <xdr:rowOff>14735</xdr:rowOff>
    </xdr:to>
    <xdr:grpSp>
      <xdr:nvGrpSpPr>
        <xdr:cNvPr id="2209" name="Puta-O_G"/>
        <xdr:cNvGrpSpPr/>
      </xdr:nvGrpSpPr>
      <xdr:grpSpPr>
        <a:xfrm>
          <a:off x="2828925" y="1343025"/>
          <a:ext cx="1274082" cy="652910"/>
          <a:chOff x="12380951" y="1748589"/>
          <a:chExt cx="1893717" cy="1900439"/>
        </a:xfrm>
      </xdr:grpSpPr>
      <xdr:sp macro="" textlink="">
        <xdr:nvSpPr>
          <xdr:cNvPr id="2210" name="Oval"/>
          <xdr:cNvSpPr/>
        </xdr:nvSpPr>
        <xdr:spPr>
          <a:xfrm>
            <a:off x="13267596" y="2575497"/>
            <a:ext cx="120426" cy="24662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1">
        <xdr:nvSpPr>
          <xdr:cNvPr id="221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0CBE50E-5A1C-42B0-B8A4-EFF6C916327C}"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429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1">
        <xdr:nvSpPr>
          <xdr:cNvPr id="221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CF1136-8C78-4E65-BB9E-FB46C10C67BB}"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1">
        <xdr:nvSpPr>
          <xdr:cNvPr id="221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7EEED2-CE07-4F28-BE12-8C8A8F5CEA9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Puta-O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14" name="Cluster"/>
          <xdr:cNvGrpSpPr/>
        </xdr:nvGrpSpPr>
        <xdr:grpSpPr>
          <a:xfrm>
            <a:off x="12477748" y="2348604"/>
            <a:ext cx="1732609" cy="380242"/>
            <a:chOff x="12477748" y="2348604"/>
            <a:chExt cx="1732609" cy="380242"/>
          </a:xfrm>
        </xdr:grpSpPr>
        <xdr:grpSp>
          <xdr:nvGrpSpPr>
            <xdr:cNvPr id="2215" name="Shelter_G"/>
            <xdr:cNvGrpSpPr/>
          </xdr:nvGrpSpPr>
          <xdr:grpSpPr>
            <a:xfrm>
              <a:off x="12477748" y="2367654"/>
              <a:ext cx="332972" cy="361192"/>
              <a:chOff x="8585625" y="4782769"/>
              <a:chExt cx="147154" cy="166659"/>
            </a:xfrm>
          </xdr:grpSpPr>
          <xdr:pic>
            <xdr:nvPicPr>
              <xdr:cNvPr id="221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2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16" name="NFI_G"/>
            <xdr:cNvGrpSpPr/>
          </xdr:nvGrpSpPr>
          <xdr:grpSpPr>
            <a:xfrm>
              <a:off x="13877376" y="2348604"/>
              <a:ext cx="332981" cy="361192"/>
              <a:chOff x="8250078" y="5375644"/>
              <a:chExt cx="147158" cy="166659"/>
            </a:xfrm>
          </xdr:grpSpPr>
          <xdr:pic>
            <xdr:nvPicPr>
              <xdr:cNvPr id="221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1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809625</xdr:colOff>
      <xdr:row>26</xdr:row>
      <xdr:rowOff>123222</xdr:rowOff>
    </xdr:from>
    <xdr:to>
      <xdr:col>4</xdr:col>
      <xdr:colOff>26307</xdr:colOff>
      <xdr:row>29</xdr:row>
      <xdr:rowOff>41092</xdr:rowOff>
    </xdr:to>
    <xdr:grpSp>
      <xdr:nvGrpSpPr>
        <xdr:cNvPr id="2221" name="Shwegu_G"/>
        <xdr:cNvGrpSpPr/>
      </xdr:nvGrpSpPr>
      <xdr:grpSpPr>
        <a:xfrm>
          <a:off x="1698625" y="6397022"/>
          <a:ext cx="1274082" cy="641770"/>
          <a:chOff x="12380951" y="1748589"/>
          <a:chExt cx="1893717" cy="1892230"/>
        </a:xfrm>
      </xdr:grpSpPr>
      <xdr:sp macro="" textlink="">
        <xdr:nvSpPr>
          <xdr:cNvPr id="2222" name="Oval"/>
          <xdr:cNvSpPr/>
        </xdr:nvSpPr>
        <xdr:spPr>
          <a:xfrm>
            <a:off x="13188391" y="2561918"/>
            <a:ext cx="278836" cy="57372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2">
        <xdr:nvSpPr>
          <xdr:cNvPr id="2223" name="Pop" hidden="1"/>
          <xdr:cNvSpPr txBox="1"/>
        </xdr:nvSpPr>
        <xdr:spPr>
          <a:xfrm>
            <a:off x="12959415" y="2056737"/>
            <a:ext cx="708964" cy="158408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E0E137-8190-4C8B-938B-726DC0F0F816}"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1,867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2">
        <xdr:nvSpPr>
          <xdr:cNvPr id="222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EE7CA8C-61C5-448F-97C1-FAFFA8F3BBE1}"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2">
        <xdr:nvSpPr>
          <xdr:cNvPr id="222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87BAA3-C92A-48C4-B8CC-3A2284C1473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Shwegu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26" name="Cluster"/>
          <xdr:cNvGrpSpPr/>
        </xdr:nvGrpSpPr>
        <xdr:grpSpPr>
          <a:xfrm>
            <a:off x="12477748" y="2348604"/>
            <a:ext cx="1732609" cy="380242"/>
            <a:chOff x="12477748" y="2348604"/>
            <a:chExt cx="1732609" cy="380242"/>
          </a:xfrm>
        </xdr:grpSpPr>
        <xdr:grpSp>
          <xdr:nvGrpSpPr>
            <xdr:cNvPr id="2227" name="Shelter_G"/>
            <xdr:cNvGrpSpPr/>
          </xdr:nvGrpSpPr>
          <xdr:grpSpPr>
            <a:xfrm>
              <a:off x="12477748" y="2367654"/>
              <a:ext cx="332972" cy="361192"/>
              <a:chOff x="8585625" y="4782769"/>
              <a:chExt cx="147154" cy="166659"/>
            </a:xfrm>
          </xdr:grpSpPr>
          <xdr:pic>
            <xdr:nvPicPr>
              <xdr:cNvPr id="223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3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28" name="NFI_G"/>
            <xdr:cNvGrpSpPr/>
          </xdr:nvGrpSpPr>
          <xdr:grpSpPr>
            <a:xfrm>
              <a:off x="13877376" y="2348604"/>
              <a:ext cx="332981" cy="361192"/>
              <a:chOff x="8250078" y="5375644"/>
              <a:chExt cx="147158" cy="166659"/>
            </a:xfrm>
          </xdr:grpSpPr>
          <xdr:pic>
            <xdr:nvPicPr>
              <xdr:cNvPr id="222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3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111125</xdr:colOff>
      <xdr:row>11</xdr:row>
      <xdr:rowOff>47625</xdr:rowOff>
    </xdr:from>
    <xdr:to>
      <xdr:col>6</xdr:col>
      <xdr:colOff>99332</xdr:colOff>
      <xdr:row>13</xdr:row>
      <xdr:rowOff>195710</xdr:rowOff>
    </xdr:to>
    <xdr:grpSp>
      <xdr:nvGrpSpPr>
        <xdr:cNvPr id="2233" name="Sumprabum_G"/>
        <xdr:cNvGrpSpPr/>
      </xdr:nvGrpSpPr>
      <xdr:grpSpPr>
        <a:xfrm>
          <a:off x="2930525" y="2771775"/>
          <a:ext cx="1283607" cy="643385"/>
          <a:chOff x="12380951" y="1748589"/>
          <a:chExt cx="1893717" cy="1900439"/>
        </a:xfrm>
      </xdr:grpSpPr>
      <xdr:sp macro="" textlink="">
        <xdr:nvSpPr>
          <xdr:cNvPr id="2234" name="Oval"/>
          <xdr:cNvSpPr/>
        </xdr:nvSpPr>
        <xdr:spPr>
          <a:xfrm>
            <a:off x="13245312" y="2529859"/>
            <a:ext cx="164994" cy="33789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3">
        <xdr:nvSpPr>
          <xdr:cNvPr id="223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5BB14E7-4982-460D-A649-3706152FEA2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1,047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3">
        <xdr:nvSpPr>
          <xdr:cNvPr id="223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F54293-A8CC-4D86-ABFA-088F61DCCE67}"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3">
        <xdr:nvSpPr>
          <xdr:cNvPr id="223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A380985-59BA-4C70-94A2-D33F777B254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Sumprabum</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38" name="Cluster"/>
          <xdr:cNvGrpSpPr/>
        </xdr:nvGrpSpPr>
        <xdr:grpSpPr>
          <a:xfrm>
            <a:off x="12477748" y="2348604"/>
            <a:ext cx="1732609" cy="380242"/>
            <a:chOff x="12477748" y="2348604"/>
            <a:chExt cx="1732609" cy="380242"/>
          </a:xfrm>
        </xdr:grpSpPr>
        <xdr:grpSp>
          <xdr:nvGrpSpPr>
            <xdr:cNvPr id="2239" name="Shelter_G"/>
            <xdr:cNvGrpSpPr/>
          </xdr:nvGrpSpPr>
          <xdr:grpSpPr>
            <a:xfrm>
              <a:off x="12477748" y="2367654"/>
              <a:ext cx="332972" cy="361192"/>
              <a:chOff x="8585625" y="4782769"/>
              <a:chExt cx="147154" cy="166659"/>
            </a:xfrm>
          </xdr:grpSpPr>
          <xdr:pic>
            <xdr:nvPicPr>
              <xdr:cNvPr id="224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4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40" name="NFI_G"/>
            <xdr:cNvGrpSpPr/>
          </xdr:nvGrpSpPr>
          <xdr:grpSpPr>
            <a:xfrm>
              <a:off x="13877376" y="2348604"/>
              <a:ext cx="332981" cy="361192"/>
              <a:chOff x="8250078" y="5375644"/>
              <a:chExt cx="147158" cy="166659"/>
            </a:xfrm>
          </xdr:grpSpPr>
          <xdr:pic>
            <xdr:nvPicPr>
              <xdr:cNvPr id="224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4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746125</xdr:colOff>
      <xdr:row>12</xdr:row>
      <xdr:rowOff>92909</xdr:rowOff>
    </xdr:from>
    <xdr:to>
      <xdr:col>3</xdr:col>
      <xdr:colOff>559707</xdr:colOff>
      <xdr:row>15</xdr:row>
      <xdr:rowOff>156720</xdr:rowOff>
    </xdr:to>
    <xdr:grpSp>
      <xdr:nvGrpSpPr>
        <xdr:cNvPr id="2245" name="Tanai_G"/>
        <xdr:cNvGrpSpPr/>
      </xdr:nvGrpSpPr>
      <xdr:grpSpPr>
        <a:xfrm>
          <a:off x="1635125" y="2988509"/>
          <a:ext cx="1274082" cy="787711"/>
          <a:chOff x="12380951" y="1685404"/>
          <a:chExt cx="1893717" cy="2326751"/>
        </a:xfrm>
      </xdr:grpSpPr>
      <xdr:sp macro="" textlink="">
        <xdr:nvSpPr>
          <xdr:cNvPr id="2246" name="Oval"/>
          <xdr:cNvSpPr/>
        </xdr:nvSpPr>
        <xdr:spPr>
          <a:xfrm>
            <a:off x="13233806" y="2506293"/>
            <a:ext cx="188008" cy="38503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4">
        <xdr:nvSpPr>
          <xdr:cNvPr id="2247" name="Pop" hidden="1"/>
          <xdr:cNvSpPr txBox="1"/>
        </xdr:nvSpPr>
        <xdr:spPr>
          <a:xfrm>
            <a:off x="12959415" y="1685404"/>
            <a:ext cx="708964" cy="232675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7124DC2-F3E5-4357-A1D9-39FBA7352A3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1,156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4">
        <xdr:nvSpPr>
          <xdr:cNvPr id="224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1E09160-E65B-41D5-8FEC-3BFCA62777AC}"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4">
        <xdr:nvSpPr>
          <xdr:cNvPr id="224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823ED56-0998-4744-98D9-234AB248D10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Tanai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50" name="Cluster"/>
          <xdr:cNvGrpSpPr/>
        </xdr:nvGrpSpPr>
        <xdr:grpSpPr>
          <a:xfrm>
            <a:off x="12477748" y="2348604"/>
            <a:ext cx="1732609" cy="380242"/>
            <a:chOff x="12477748" y="2348604"/>
            <a:chExt cx="1732609" cy="380242"/>
          </a:xfrm>
        </xdr:grpSpPr>
        <xdr:grpSp>
          <xdr:nvGrpSpPr>
            <xdr:cNvPr id="2251" name="Shelter_G"/>
            <xdr:cNvGrpSpPr/>
          </xdr:nvGrpSpPr>
          <xdr:grpSpPr>
            <a:xfrm>
              <a:off x="12477748" y="2367654"/>
              <a:ext cx="332972" cy="361192"/>
              <a:chOff x="8585625" y="4782769"/>
              <a:chExt cx="147154" cy="166659"/>
            </a:xfrm>
          </xdr:grpSpPr>
          <xdr:pic>
            <xdr:nvPicPr>
              <xdr:cNvPr id="225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5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52" name="NFI_G"/>
            <xdr:cNvGrpSpPr/>
          </xdr:nvGrpSpPr>
          <xdr:grpSpPr>
            <a:xfrm>
              <a:off x="13877376" y="2348604"/>
              <a:ext cx="332981" cy="361192"/>
              <a:chOff x="8250078" y="5375644"/>
              <a:chExt cx="147158" cy="166659"/>
            </a:xfrm>
          </xdr:grpSpPr>
          <xdr:pic>
            <xdr:nvPicPr>
              <xdr:cNvPr id="225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5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606425</xdr:colOff>
      <xdr:row>18</xdr:row>
      <xdr:rowOff>31750</xdr:rowOff>
    </xdr:from>
    <xdr:to>
      <xdr:col>7</xdr:col>
      <xdr:colOff>51707</xdr:colOff>
      <xdr:row>21</xdr:row>
      <xdr:rowOff>84675</xdr:rowOff>
    </xdr:to>
    <xdr:grpSp>
      <xdr:nvGrpSpPr>
        <xdr:cNvPr id="2257" name="Waingmaw_G"/>
        <xdr:cNvGrpSpPr/>
      </xdr:nvGrpSpPr>
      <xdr:grpSpPr>
        <a:xfrm>
          <a:off x="3425825" y="4489450"/>
          <a:ext cx="1293132" cy="795875"/>
          <a:chOff x="12380951" y="1675478"/>
          <a:chExt cx="1893717" cy="2346603"/>
        </a:xfrm>
      </xdr:grpSpPr>
      <xdr:sp macro="" textlink="">
        <xdr:nvSpPr>
          <xdr:cNvPr id="2258" name="Oval"/>
          <xdr:cNvSpPr/>
        </xdr:nvSpPr>
        <xdr:spPr>
          <a:xfrm>
            <a:off x="12863364" y="1893147"/>
            <a:ext cx="928889" cy="191126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5">
        <xdr:nvSpPr>
          <xdr:cNvPr id="225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B347CA4-A3C0-48C6-9CC8-BB564694993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25,825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5">
        <xdr:nvSpPr>
          <xdr:cNvPr id="226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CB4E264-C171-4E07-A3E1-3FD2477279C0}"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5">
        <xdr:nvSpPr>
          <xdr:cNvPr id="226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40406DA2-3308-4199-9713-4D5B90DBDDC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Waingmaw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62" name="Cluster"/>
          <xdr:cNvGrpSpPr/>
        </xdr:nvGrpSpPr>
        <xdr:grpSpPr>
          <a:xfrm>
            <a:off x="12477748" y="2348604"/>
            <a:ext cx="1732609" cy="380242"/>
            <a:chOff x="12477748" y="2348604"/>
            <a:chExt cx="1732609" cy="380242"/>
          </a:xfrm>
        </xdr:grpSpPr>
        <xdr:grpSp>
          <xdr:nvGrpSpPr>
            <xdr:cNvPr id="2263" name="Shelter_G"/>
            <xdr:cNvGrpSpPr/>
          </xdr:nvGrpSpPr>
          <xdr:grpSpPr>
            <a:xfrm>
              <a:off x="12477748" y="2367654"/>
              <a:ext cx="332972" cy="361192"/>
              <a:chOff x="8585625" y="4782769"/>
              <a:chExt cx="147154" cy="166659"/>
            </a:xfrm>
          </xdr:grpSpPr>
          <xdr:pic>
            <xdr:nvPicPr>
              <xdr:cNvPr id="226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6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64" name="NFI_G"/>
            <xdr:cNvGrpSpPr/>
          </xdr:nvGrpSpPr>
          <xdr:grpSpPr>
            <a:xfrm>
              <a:off x="13877376" y="2348604"/>
              <a:ext cx="332981" cy="361192"/>
              <a:chOff x="8250078" y="5375644"/>
              <a:chExt cx="147158" cy="166659"/>
            </a:xfrm>
          </xdr:grpSpPr>
          <xdr:pic>
            <xdr:nvPicPr>
              <xdr:cNvPr id="226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6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1143000</xdr:colOff>
      <xdr:row>2</xdr:row>
      <xdr:rowOff>4483</xdr:rowOff>
    </xdr:from>
    <xdr:to>
      <xdr:col>8</xdr:col>
      <xdr:colOff>647700</xdr:colOff>
      <xdr:row>3</xdr:row>
      <xdr:rowOff>114300</xdr:rowOff>
    </xdr:to>
    <xdr:grpSp>
      <xdr:nvGrpSpPr>
        <xdr:cNvPr id="2" name="Group 1"/>
        <xdr:cNvGrpSpPr/>
      </xdr:nvGrpSpPr>
      <xdr:grpSpPr>
        <a:xfrm>
          <a:off x="6126480" y="415963"/>
          <a:ext cx="3642360" cy="475577"/>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247650</xdr:colOff>
      <xdr:row>0</xdr:row>
      <xdr:rowOff>242608</xdr:rowOff>
    </xdr:from>
    <xdr:to>
      <xdr:col>8</xdr:col>
      <xdr:colOff>1066800</xdr:colOff>
      <xdr:row>2</xdr:row>
      <xdr:rowOff>76200</xdr:rowOff>
    </xdr:to>
    <xdr:grpSp>
      <xdr:nvGrpSpPr>
        <xdr:cNvPr id="2" name="Group 1"/>
        <xdr:cNvGrpSpPr/>
      </xdr:nvGrpSpPr>
      <xdr:grpSpPr>
        <a:xfrm>
          <a:off x="6983730" y="242608"/>
          <a:ext cx="3211830" cy="32127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355003</xdr:colOff>
      <xdr:row>0</xdr:row>
      <xdr:rowOff>134471</xdr:rowOff>
    </xdr:from>
    <xdr:to>
      <xdr:col>12</xdr:col>
      <xdr:colOff>237392</xdr:colOff>
      <xdr:row>0</xdr:row>
      <xdr:rowOff>645460</xdr:rowOff>
    </xdr:to>
    <xdr:grpSp>
      <xdr:nvGrpSpPr>
        <xdr:cNvPr id="13" name="Group 12"/>
        <xdr:cNvGrpSpPr/>
      </xdr:nvGrpSpPr>
      <xdr:grpSpPr>
        <a:xfrm>
          <a:off x="5989185" y="134471"/>
          <a:ext cx="2891904" cy="510989"/>
          <a:chOff x="6500812" y="317500"/>
          <a:chExt cx="6186806" cy="575469"/>
        </a:xfrm>
      </xdr:grpSpPr>
      <xdr:pic>
        <xdr:nvPicPr>
          <xdr:cNvPr id="14" name="Picture 13"/>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5" name="Picture 1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815341</xdr:colOff>
      <xdr:row>0</xdr:row>
      <xdr:rowOff>241151</xdr:rowOff>
    </xdr:from>
    <xdr:to>
      <xdr:col>6</xdr:col>
      <xdr:colOff>982980</xdr:colOff>
      <xdr:row>0</xdr:row>
      <xdr:rowOff>510540</xdr:rowOff>
    </xdr:to>
    <xdr:grpSp>
      <xdr:nvGrpSpPr>
        <xdr:cNvPr id="2" name="Group 1"/>
        <xdr:cNvGrpSpPr/>
      </xdr:nvGrpSpPr>
      <xdr:grpSpPr>
        <a:xfrm>
          <a:off x="3528061" y="241151"/>
          <a:ext cx="5516879" cy="269389"/>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95517</xdr:colOff>
      <xdr:row>8</xdr:row>
      <xdr:rowOff>64210</xdr:rowOff>
    </xdr:from>
    <xdr:to>
      <xdr:col>14</xdr:col>
      <xdr:colOff>1041894</xdr:colOff>
      <xdr:row>39</xdr:row>
      <xdr:rowOff>116709</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4009" y="1799225"/>
          <a:ext cx="4762239" cy="5439253"/>
        </a:xfrm>
        <a:prstGeom prst="rect">
          <a:avLst/>
        </a:prstGeom>
        <a:ln w="28575">
          <a:solidFill>
            <a:schemeClr val="tx1"/>
          </a:solidFill>
        </a:ln>
      </xdr:spPr>
    </xdr:pic>
    <xdr:clientData/>
  </xdr:twoCellAnchor>
  <xdr:oneCellAnchor>
    <xdr:from>
      <xdr:col>9</xdr:col>
      <xdr:colOff>504825</xdr:colOff>
      <xdr:row>10</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10</xdr:col>
      <xdr:colOff>615315</xdr:colOff>
      <xdr:row>1</xdr:row>
      <xdr:rowOff>57419</xdr:rowOff>
    </xdr:from>
    <xdr:to>
      <xdr:col>14</xdr:col>
      <xdr:colOff>981075</xdr:colOff>
      <xdr:row>2</xdr:row>
      <xdr:rowOff>142875</xdr:rowOff>
    </xdr:to>
    <xdr:grpSp>
      <xdr:nvGrpSpPr>
        <xdr:cNvPr id="35" name="Group 34"/>
        <xdr:cNvGrpSpPr/>
      </xdr:nvGrpSpPr>
      <xdr:grpSpPr>
        <a:xfrm>
          <a:off x="6939915" y="215681"/>
          <a:ext cx="3085514" cy="443009"/>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86361</xdr:colOff>
      <xdr:row>4</xdr:row>
      <xdr:rowOff>0</xdr:rowOff>
    </xdr:from>
    <xdr:to>
      <xdr:col>14</xdr:col>
      <xdr:colOff>1066800</xdr:colOff>
      <xdr:row>7</xdr:row>
      <xdr:rowOff>38100</xdr:rowOff>
    </xdr:to>
    <xdr:sp macro="" textlink="">
      <xdr:nvSpPr>
        <xdr:cNvPr id="43" name="Rounded Rectangle 42"/>
        <xdr:cNvSpPr/>
      </xdr:nvSpPr>
      <xdr:spPr>
        <a:xfrm>
          <a:off x="4323081" y="809625"/>
          <a:ext cx="4798059" cy="683895"/>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8000" tIns="18000" rIns="18000" bIns="18000" rtlCol="0" anchor="ctr"/>
        <a:lstStyle/>
        <a:p>
          <a:pPr algn="ctr"/>
          <a:r>
            <a:rPr lang="en-US" sz="1200">
              <a:solidFill>
                <a:sysClr val="windowText" lastClr="000000"/>
              </a:solidFill>
              <a:effectLst/>
              <a:latin typeface="+mn-lt"/>
              <a:ea typeface="+mn-ea"/>
              <a:cs typeface="+mn-cs"/>
            </a:rPr>
            <a:t>Shelter Cluster members are currently covering approximately 26% of the shelter needs reported in Kachin and Northern Shan States. </a:t>
          </a:r>
        </a:p>
      </xdr:txBody>
    </xdr:sp>
    <xdr:clientData/>
  </xdr:twoCellAnchor>
  <xdr:twoCellAnchor>
    <xdr:from>
      <xdr:col>80</xdr:col>
      <xdr:colOff>3138</xdr:colOff>
      <xdr:row>35</xdr:row>
      <xdr:rowOff>150159</xdr:rowOff>
    </xdr:from>
    <xdr:to>
      <xdr:col>80</xdr:col>
      <xdr:colOff>3138</xdr:colOff>
      <xdr:row>37</xdr:row>
      <xdr:rowOff>0</xdr:rowOff>
    </xdr:to>
    <xdr:grpSp>
      <xdr:nvGrpSpPr>
        <xdr:cNvPr id="73" name="Shelter_Situation_Group"/>
        <xdr:cNvGrpSpPr/>
      </xdr:nvGrpSpPr>
      <xdr:grpSpPr>
        <a:xfrm>
          <a:off x="51543646" y="6656467"/>
          <a:ext cx="0" cy="154641"/>
          <a:chOff x="13959520" y="5708810"/>
          <a:chExt cx="235841" cy="360001"/>
        </a:xfrm>
      </xdr:grpSpPr>
      <xdr:sp macro="" textlink="">
        <xdr:nvSpPr>
          <xdr:cNvPr id="114"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79</xdr:col>
      <xdr:colOff>5827</xdr:colOff>
      <xdr:row>36</xdr:row>
      <xdr:rowOff>0</xdr:rowOff>
    </xdr:from>
    <xdr:to>
      <xdr:col>80</xdr:col>
      <xdr:colOff>405</xdr:colOff>
      <xdr:row>37</xdr:row>
      <xdr:rowOff>0</xdr:rowOff>
    </xdr:to>
    <xdr:grpSp>
      <xdr:nvGrpSpPr>
        <xdr:cNvPr id="117" name="Mansi"/>
        <xdr:cNvGrpSpPr/>
      </xdr:nvGrpSpPr>
      <xdr:grpSpPr>
        <a:xfrm>
          <a:off x="50514704" y="6658708"/>
          <a:ext cx="1026209" cy="152400"/>
          <a:chOff x="13959520" y="5708810"/>
          <a:chExt cx="235841" cy="360001"/>
        </a:xfrm>
      </xdr:grpSpPr>
      <xdr:sp macro="" textlink="">
        <xdr:nvSpPr>
          <xdr:cNvPr id="118"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165</xdr:col>
      <xdr:colOff>158676</xdr:colOff>
      <xdr:row>39</xdr:row>
      <xdr:rowOff>0</xdr:rowOff>
    </xdr:from>
    <xdr:to>
      <xdr:col>165</xdr:col>
      <xdr:colOff>158676</xdr:colOff>
      <xdr:row>39</xdr:row>
      <xdr:rowOff>146583</xdr:rowOff>
    </xdr:to>
    <xdr:grpSp>
      <xdr:nvGrpSpPr>
        <xdr:cNvPr id="121" name="Hsipaw"/>
        <xdr:cNvGrpSpPr/>
      </xdr:nvGrpSpPr>
      <xdr:grpSpPr>
        <a:xfrm>
          <a:off x="104781276" y="7121769"/>
          <a:ext cx="0" cy="146583"/>
          <a:chOff x="51590538" y="6415660"/>
          <a:chExt cx="0" cy="346849"/>
        </a:xfrm>
      </xdr:grpSpPr>
      <xdr:sp macro="" textlink="">
        <xdr:nvSpPr>
          <xdr:cNvPr id="122" name="V_1"/>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24" name="V_2"/>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5" name="V_3"/>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647700</xdr:colOff>
      <xdr:row>28</xdr:row>
      <xdr:rowOff>7620</xdr:rowOff>
    </xdr:from>
    <xdr:to>
      <xdr:col>11</xdr:col>
      <xdr:colOff>121920</xdr:colOff>
      <xdr:row>32</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464820</xdr:colOff>
      <xdr:row>16</xdr:row>
      <xdr:rowOff>121920</xdr:rowOff>
    </xdr:from>
    <xdr:to>
      <xdr:col>14</xdr:col>
      <xdr:colOff>38100</xdr:colOff>
      <xdr:row>21</xdr:row>
      <xdr:rowOff>30480</xdr:rowOff>
    </xdr:to>
    <xdr:graphicFrame macro="">
      <xdr:nvGraphicFramePr>
        <xdr:cNvPr id="134" name="Chart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899160</xdr:colOff>
      <xdr:row>16</xdr:row>
      <xdr:rowOff>30480</xdr:rowOff>
    </xdr:from>
    <xdr:to>
      <xdr:col>10</xdr:col>
      <xdr:colOff>373380</xdr:colOff>
      <xdr:row>20</xdr:row>
      <xdr:rowOff>99060</xdr:rowOff>
    </xdr:to>
    <xdr:graphicFrame macro="">
      <xdr:nvGraphicFramePr>
        <xdr:cNvPr id="135" name="Chart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558897</xdr:colOff>
      <xdr:row>32</xdr:row>
      <xdr:rowOff>60082</xdr:rowOff>
    </xdr:from>
    <xdr:to>
      <xdr:col>14</xdr:col>
      <xdr:colOff>132177</xdr:colOff>
      <xdr:row>38</xdr:row>
      <xdr:rowOff>20810</xdr:rowOff>
    </xdr:to>
    <xdr:graphicFrame macro="">
      <xdr:nvGraphicFramePr>
        <xdr:cNvPr id="136"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1042474</xdr:colOff>
      <xdr:row>30</xdr:row>
      <xdr:rowOff>26963</xdr:rowOff>
    </xdr:from>
    <xdr:to>
      <xdr:col>11</xdr:col>
      <xdr:colOff>516694</xdr:colOff>
      <xdr:row>34</xdr:row>
      <xdr:rowOff>89388</xdr:rowOff>
    </xdr:to>
    <xdr:graphicFrame macro="">
      <xdr:nvGraphicFramePr>
        <xdr:cNvPr id="137" name="Chart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716866</xdr:colOff>
      <xdr:row>34</xdr:row>
      <xdr:rowOff>133643</xdr:rowOff>
    </xdr:from>
    <xdr:to>
      <xdr:col>11</xdr:col>
      <xdr:colOff>191086</xdr:colOff>
      <xdr:row>39</xdr:row>
      <xdr:rowOff>92173</xdr:rowOff>
    </xdr:to>
    <xdr:graphicFrame macro="">
      <xdr:nvGraphicFramePr>
        <xdr:cNvPr id="138" name="Chart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437271</xdr:colOff>
      <xdr:row>19</xdr:row>
      <xdr:rowOff>118697</xdr:rowOff>
    </xdr:from>
    <xdr:to>
      <xdr:col>10</xdr:col>
      <xdr:colOff>1008771</xdr:colOff>
      <xdr:row>23</xdr:row>
      <xdr:rowOff>187277</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480646</xdr:colOff>
      <xdr:row>21</xdr:row>
      <xdr:rowOff>110197</xdr:rowOff>
    </xdr:from>
    <xdr:to>
      <xdr:col>9</xdr:col>
      <xdr:colOff>1024597</xdr:colOff>
      <xdr:row>26</xdr:row>
      <xdr:rowOff>24912</xdr:rowOff>
    </xdr:to>
    <xdr:graphicFrame macro="">
      <xdr:nvGraphicFramePr>
        <xdr:cNvPr id="140"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925684</xdr:colOff>
      <xdr:row>23</xdr:row>
      <xdr:rowOff>155623</xdr:rowOff>
    </xdr:from>
    <xdr:to>
      <xdr:col>11</xdr:col>
      <xdr:colOff>409429</xdr:colOff>
      <xdr:row>29</xdr:row>
      <xdr:rowOff>80889</xdr:rowOff>
    </xdr:to>
    <xdr:graphicFrame macro="">
      <xdr:nvGraphicFramePr>
        <xdr:cNvPr id="141" name="Chart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359018</xdr:colOff>
      <xdr:row>29</xdr:row>
      <xdr:rowOff>143314</xdr:rowOff>
    </xdr:from>
    <xdr:to>
      <xdr:col>13</xdr:col>
      <xdr:colOff>337036</xdr:colOff>
      <xdr:row>34</xdr:row>
      <xdr:rowOff>44547</xdr:rowOff>
    </xdr:to>
    <xdr:graphicFrame macro="">
      <xdr:nvGraphicFramePr>
        <xdr:cNvPr id="142" name="Chart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923193</xdr:colOff>
      <xdr:row>18</xdr:row>
      <xdr:rowOff>879</xdr:rowOff>
    </xdr:from>
    <xdr:to>
      <xdr:col>11</xdr:col>
      <xdr:colOff>461597</xdr:colOff>
      <xdr:row>22</xdr:row>
      <xdr:rowOff>69459</xdr:rowOff>
    </xdr:to>
    <xdr:graphicFrame macro="">
      <xdr:nvGraphicFramePr>
        <xdr:cNvPr id="143" name="Chart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381000</xdr:colOff>
      <xdr:row>32</xdr:row>
      <xdr:rowOff>22860</xdr:rowOff>
    </xdr:from>
    <xdr:to>
      <xdr:col>12</xdr:col>
      <xdr:colOff>327660</xdr:colOff>
      <xdr:row>36</xdr:row>
      <xdr:rowOff>45720</xdr:rowOff>
    </xdr:to>
    <xdr:graphicFrame macro="">
      <xdr:nvGraphicFramePr>
        <xdr:cNvPr id="144" name="Chart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119575</xdr:colOff>
      <xdr:row>36</xdr:row>
      <xdr:rowOff>129540</xdr:rowOff>
    </xdr:from>
    <xdr:to>
      <xdr:col>12</xdr:col>
      <xdr:colOff>66235</xdr:colOff>
      <xdr:row>39</xdr:row>
      <xdr:rowOff>158115</xdr:rowOff>
    </xdr:to>
    <xdr:graphicFrame macro="">
      <xdr:nvGraphicFramePr>
        <xdr:cNvPr id="145" name="Chart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152986</xdr:colOff>
      <xdr:row>26</xdr:row>
      <xdr:rowOff>4103</xdr:rowOff>
    </xdr:from>
    <xdr:to>
      <xdr:col>10</xdr:col>
      <xdr:colOff>724486</xdr:colOff>
      <xdr:row>30</xdr:row>
      <xdr:rowOff>103163</xdr:rowOff>
    </xdr:to>
    <xdr:graphicFrame macro="">
      <xdr:nvGraphicFramePr>
        <xdr:cNvPr id="146" name="Chart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982980</xdr:colOff>
      <xdr:row>10</xdr:row>
      <xdr:rowOff>53340</xdr:rowOff>
    </xdr:from>
    <xdr:to>
      <xdr:col>11</xdr:col>
      <xdr:colOff>457200</xdr:colOff>
      <xdr:row>14</xdr:row>
      <xdr:rowOff>91440</xdr:rowOff>
    </xdr:to>
    <xdr:graphicFrame macro="">
      <xdr:nvGraphicFramePr>
        <xdr:cNvPr id="147" name="Chart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327660</xdr:colOff>
      <xdr:row>19</xdr:row>
      <xdr:rowOff>0</xdr:rowOff>
    </xdr:from>
    <xdr:to>
      <xdr:col>12</xdr:col>
      <xdr:colOff>274320</xdr:colOff>
      <xdr:row>23</xdr:row>
      <xdr:rowOff>68580</xdr:rowOff>
    </xdr:to>
    <xdr:graphicFrame macro="">
      <xdr:nvGraphicFramePr>
        <xdr:cNvPr id="148"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365760</xdr:colOff>
      <xdr:row>27</xdr:row>
      <xdr:rowOff>114300</xdr:rowOff>
    </xdr:from>
    <xdr:to>
      <xdr:col>14</xdr:col>
      <xdr:colOff>944880</xdr:colOff>
      <xdr:row>31</xdr:row>
      <xdr:rowOff>45720</xdr:rowOff>
    </xdr:to>
    <xdr:sp macro="" textlink="">
      <xdr:nvSpPr>
        <xdr:cNvPr id="5" name="TextBox 4"/>
        <xdr:cNvSpPr txBox="1"/>
      </xdr:nvSpPr>
      <xdr:spPr>
        <a:xfrm>
          <a:off x="7421880" y="4907280"/>
          <a:ext cx="157734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   </a:t>
          </a:r>
          <a:r>
            <a:rPr lang="en-US" sz="1400" baseline="0"/>
            <a:t>  </a:t>
          </a:r>
          <a:r>
            <a:rPr lang="en-US" sz="1400"/>
            <a:t>Shelter planned</a:t>
          </a:r>
        </a:p>
        <a:p>
          <a:r>
            <a:rPr lang="en-US" sz="1400" baseline="0"/>
            <a:t>     Shelter Needed</a:t>
          </a:r>
          <a:endParaRPr lang="en-US" sz="1400"/>
        </a:p>
      </xdr:txBody>
    </xdr:sp>
    <xdr:clientData/>
  </xdr:twoCellAnchor>
  <xdr:twoCellAnchor>
    <xdr:from>
      <xdr:col>12</xdr:col>
      <xdr:colOff>512886</xdr:colOff>
      <xdr:row>27</xdr:row>
      <xdr:rowOff>153865</xdr:rowOff>
    </xdr:from>
    <xdr:to>
      <xdr:col>13</xdr:col>
      <xdr:colOff>0</xdr:colOff>
      <xdr:row>28</xdr:row>
      <xdr:rowOff>161191</xdr:rowOff>
    </xdr:to>
    <xdr:sp macro="" textlink="">
      <xdr:nvSpPr>
        <xdr:cNvPr id="6" name="Rectangle 5"/>
        <xdr:cNvSpPr/>
      </xdr:nvSpPr>
      <xdr:spPr>
        <a:xfrm>
          <a:off x="8330713" y="5348653"/>
          <a:ext cx="65941" cy="168519"/>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41564</xdr:rowOff>
    </xdr:from>
    <xdr:to>
      <xdr:col>6</xdr:col>
      <xdr:colOff>103909</xdr:colOff>
      <xdr:row>42</xdr:row>
      <xdr:rowOff>25976</xdr:rowOff>
    </xdr:to>
    <xdr:sp macro="" textlink="">
      <xdr:nvSpPr>
        <xdr:cNvPr id="70" name="TextBox 69"/>
        <xdr:cNvSpPr txBox="1"/>
      </xdr:nvSpPr>
      <xdr:spPr>
        <a:xfrm>
          <a:off x="164523" y="7696200"/>
          <a:ext cx="3169227" cy="573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Shelter cluster partners, UNHCR,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other humanitarian organizations &amp; MIMU.</a:t>
          </a:r>
          <a:endParaRPr lang="en-GB" sz="1000">
            <a:latin typeface="Franklin Gothic Book" pitchFamily="34" charset="0"/>
          </a:endParaRPr>
        </a:p>
      </xdr:txBody>
    </xdr:sp>
    <xdr:clientData/>
  </xdr:twoCellAnchor>
  <xdr:twoCellAnchor>
    <xdr:from>
      <xdr:col>5</xdr:col>
      <xdr:colOff>36635</xdr:colOff>
      <xdr:row>41</xdr:row>
      <xdr:rowOff>13675</xdr:rowOff>
    </xdr:from>
    <xdr:to>
      <xdr:col>14</xdr:col>
      <xdr:colOff>1013114</xdr:colOff>
      <xdr:row>42</xdr:row>
      <xdr:rowOff>115229</xdr:rowOff>
    </xdr:to>
    <xdr:grpSp>
      <xdr:nvGrpSpPr>
        <xdr:cNvPr id="3" name="Group 2"/>
        <xdr:cNvGrpSpPr/>
      </xdr:nvGrpSpPr>
      <xdr:grpSpPr>
        <a:xfrm>
          <a:off x="2867758" y="7451967"/>
          <a:ext cx="7189710" cy="687708"/>
          <a:chOff x="2784231" y="7435848"/>
          <a:chExt cx="7013864" cy="695035"/>
        </a:xfrm>
      </xdr:grpSpPr>
      <xdr:sp macro="" textlink="">
        <xdr:nvSpPr>
          <xdr:cNvPr id="50" name="TextBox 49"/>
          <xdr:cNvSpPr txBox="1"/>
        </xdr:nvSpPr>
        <xdr:spPr>
          <a:xfrm>
            <a:off x="8230065" y="7435848"/>
            <a:ext cx="1564019" cy="188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10" name="Group 9"/>
          <xdr:cNvGrpSpPr/>
        </xdr:nvGrpSpPr>
        <xdr:grpSpPr>
          <a:xfrm>
            <a:off x="2784231" y="7460764"/>
            <a:ext cx="6311179" cy="670119"/>
            <a:chOff x="3463641" y="7700393"/>
            <a:chExt cx="5820302" cy="665671"/>
          </a:xfrm>
        </xdr:grpSpPr>
        <xdr:sp macro="" textlink="">
          <xdr:nvSpPr>
            <xdr:cNvPr id="49" name="TextBox 48"/>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the National Cluster Coordinator   : Geraldine Salducci Petruccelli</a:t>
              </a:r>
              <a:endParaRPr lang="en-GB" sz="1800" b="1">
                <a:latin typeface="+mn-lt"/>
              </a:endParaRPr>
            </a:p>
          </xdr:txBody>
        </xdr:sp>
        <xdr:sp macro="" textlink="">
          <xdr:nvSpPr>
            <xdr:cNvPr id="72" name="TextBox 71"/>
            <xdr:cNvSpPr txBox="1">
              <a:spLocks/>
            </xdr:cNvSpPr>
          </xdr:nvSpPr>
          <xdr:spPr>
            <a:xfrm>
              <a:off x="5281285" y="7872495"/>
              <a:ext cx="4002658"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b="1" baseline="0">
                  <a:latin typeface="+mn-lt"/>
                </a:rPr>
                <a:t>Sub-National Cluster  Coordinator: </a:t>
              </a:r>
              <a:r>
                <a:rPr lang="en-GB" sz="1100" b="1" baseline="0">
                  <a:solidFill>
                    <a:schemeClr val="dk1"/>
                  </a:solidFill>
                  <a:effectLst/>
                  <a:latin typeface="+mn-lt"/>
                  <a:ea typeface="+mn-ea"/>
                  <a:cs typeface="+mn-cs"/>
                </a:rPr>
                <a:t>Deepika Bhardwaj </a:t>
              </a:r>
              <a:endParaRPr lang="en-US">
                <a:effectLst/>
              </a:endParaRP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Soe Moe Kyi</a:t>
              </a:r>
            </a:p>
          </xdr:txBody>
        </xdr:sp>
      </xdr:grpSp>
      <xdr:sp macro="" textlink="">
        <xdr:nvSpPr>
          <xdr:cNvPr id="57" name="TextBox 56"/>
          <xdr:cNvSpPr txBox="1"/>
        </xdr:nvSpPr>
        <xdr:spPr>
          <a:xfrm>
            <a:off x="7967164" y="7618906"/>
            <a:ext cx="1830931" cy="22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59" name="TextBox 58"/>
          <xdr:cNvSpPr txBox="1"/>
        </xdr:nvSpPr>
        <xdr:spPr>
          <a:xfrm>
            <a:off x="7963408" y="7789759"/>
            <a:ext cx="1830931" cy="222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KYIS@unhcr.org</a:t>
            </a:r>
          </a:p>
        </xdr:txBody>
      </xdr:sp>
    </xdr:grpSp>
    <xdr:clientData/>
  </xdr:twoCellAnchor>
  <xdr:twoCellAnchor>
    <xdr:from>
      <xdr:col>12</xdr:col>
      <xdr:colOff>512886</xdr:colOff>
      <xdr:row>29</xdr:row>
      <xdr:rowOff>65943</xdr:rowOff>
    </xdr:from>
    <xdr:to>
      <xdr:col>13</xdr:col>
      <xdr:colOff>0</xdr:colOff>
      <xdr:row>30</xdr:row>
      <xdr:rowOff>73270</xdr:rowOff>
    </xdr:to>
    <xdr:sp macro="" textlink="">
      <xdr:nvSpPr>
        <xdr:cNvPr id="51" name="Rectangle 50"/>
        <xdr:cNvSpPr/>
      </xdr:nvSpPr>
      <xdr:spPr>
        <a:xfrm>
          <a:off x="8330713" y="5583116"/>
          <a:ext cx="65941" cy="168519"/>
        </a:xfrm>
        <a:prstGeom prst="rect">
          <a:avLst/>
        </a:prstGeom>
        <a:solidFill>
          <a:srgbClr val="C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857250</xdr:colOff>
      <xdr:row>6</xdr:row>
      <xdr:rowOff>205154</xdr:rowOff>
    </xdr:from>
    <xdr:to>
      <xdr:col>11</xdr:col>
      <xdr:colOff>327954</xdr:colOff>
      <xdr:row>9</xdr:row>
      <xdr:rowOff>77080</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21981</xdr:colOff>
      <xdr:row>9</xdr:row>
      <xdr:rowOff>87924</xdr:rowOff>
    </xdr:from>
    <xdr:to>
      <xdr:col>10</xdr:col>
      <xdr:colOff>578826</xdr:colOff>
      <xdr:row>14</xdr:row>
      <xdr:rowOff>31947</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153865</xdr:colOff>
      <xdr:row>36</xdr:row>
      <xdr:rowOff>146539</xdr:rowOff>
    </xdr:from>
    <xdr:to>
      <xdr:col>13</xdr:col>
      <xdr:colOff>129833</xdr:colOff>
      <xdr:row>40</xdr:row>
      <xdr:rowOff>13922</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Users\JENSENP\Desktop\Work\SHELTER_NFI_CCCM\CARs\Aug\Cluster%20reporting%20tool_SI%20update_aug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 val="Cluster reporting tool_SI updat"/>
    </sheetNames>
    <definedNames>
      <definedName name="DropDown14_Change"/>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Soe Paing" refreshedDate="42922.61991828704" createdVersion="5" refreshedVersion="5" minRefreshableVersion="3" recordCount="1167">
  <cacheSource type="worksheet">
    <worksheetSource name="Table_NFI[[Months]:[Planned Distribution]]"/>
  </cacheSource>
  <cacheFields count="48">
    <cacheField name="Months" numFmtId="1">
      <sharedItems containsSemiMixedTypes="0" containsString="0" containsNumber="1" minValue="-0.96666666666666667" maxValue="66.900000000000006"/>
    </cacheField>
    <cacheField name="Distribution Date" numFmtId="169">
      <sharedItems containsSemiMixedTypes="0" containsNonDate="0" containsDate="1" containsString="0" minDate="2011-11-02T00:00:00" maxDate="2017-05-31T00:00:00"/>
    </cacheField>
    <cacheField name="Organization" numFmtId="0">
      <sharedItems containsBlank="1" count="16">
        <s v="UNHCR"/>
        <s v="Solidarities"/>
        <s v="DRC"/>
        <s v="World Vision"/>
        <s v="MRCS"/>
        <s v="DFID"/>
        <s v="FSD"/>
        <s v="Save the Children"/>
        <s v="CRC"/>
        <s v="ICRC"/>
        <s v="Plan-Myanmar"/>
        <s v="CRCS"/>
        <s v="Relief International"/>
        <s v="UNHCR "/>
        <s v="NRC"/>
        <m u="1"/>
      </sharedItems>
    </cacheField>
    <cacheField name="Implementing Partner" numFmtId="0">
      <sharedItems containsBlank="1"/>
    </cacheField>
    <cacheField name="State" numFmtId="0">
      <sharedItems/>
    </cacheField>
    <cacheField name="Township" numFmtId="0">
      <sharedItems containsBlank="1"/>
    </cacheField>
    <cacheField name="Camp Name" numFmtId="0">
      <sharedItems containsBlank="1"/>
    </cacheField>
    <cacheField name="Hygiene Kit" numFmtId="1">
      <sharedItems containsString="0" containsBlank="1" containsNumber="1" containsInteger="1" minValue="1" maxValue="5228"/>
    </cacheField>
    <cacheField name="NFI Core Kit" numFmtId="1">
      <sharedItems containsString="0" containsBlank="1" containsNumber="1" containsInteger="1" minValue="1" maxValue="200"/>
    </cacheField>
    <cacheField name="Sanitary Kit" numFmtId="1">
      <sharedItems containsString="0" containsBlank="1" containsNumber="1" containsInteger="1" minValue="1" maxValue="2350"/>
    </cacheField>
    <cacheField name="Mosquito net" numFmtId="1">
      <sharedItems containsString="0" containsBlank="1" containsNumber="1" containsInteger="1" minValue="0" maxValue="3256"/>
    </cacheField>
    <cacheField name="Tarpaulin" numFmtId="1">
      <sharedItems containsString="0" containsBlank="1" containsNumber="1" containsInteger="1" minValue="0" maxValue="1628"/>
    </cacheField>
    <cacheField name="Blanket" numFmtId="1">
      <sharedItems containsString="0" containsBlank="1" containsNumber="1" containsInteger="1" minValue="0" maxValue="3256"/>
    </cacheField>
    <cacheField name="Kitchen Set" numFmtId="1">
      <sharedItems containsString="0" containsBlank="1" containsNumber="1" containsInteger="1" minValue="0" maxValue="1628"/>
    </cacheField>
    <cacheField name="Clothes Kit" numFmtId="1">
      <sharedItems containsString="0" containsBlank="1" containsNumber="1" containsInteger="1" minValue="0" maxValue="760"/>
    </cacheField>
    <cacheField name="Plastic Bucket" numFmtId="1">
      <sharedItems containsString="0" containsBlank="1" containsNumber="1" containsInteger="1" minValue="0" maxValue="1628"/>
    </cacheField>
    <cacheField name="Plastic Mat" numFmtId="1">
      <sharedItems containsString="0" containsBlank="1" containsNumber="1" containsInteger="1" minValue="0" maxValue="5268"/>
    </cacheField>
    <cacheField name="Winter Clothes Adult" numFmtId="1">
      <sharedItems containsString="0" containsBlank="1" containsNumber="1" containsInteger="1" minValue="2" maxValue="2676"/>
    </cacheField>
    <cacheField name="Winter Clothes Children" numFmtId="1">
      <sharedItems containsString="0" containsBlank="1" containsNumber="1" containsInteger="1" minValue="8" maxValue="3600"/>
    </cacheField>
    <cacheField name="Winter Items Other" numFmtId="1">
      <sharedItems containsString="0" containsBlank="1" containsNumber="1" containsInteger="1" minValue="0" maxValue="3816"/>
    </cacheField>
    <cacheField name="Winter Blanket" numFmtId="1">
      <sharedItems containsString="0" containsBlank="1" containsNumber="1" containsInteger="1" minValue="10" maxValue="3186"/>
    </cacheField>
    <cacheField name="Jerry Can" numFmtId="1">
      <sharedItems containsString="0" containsBlank="1" containsNumber="1" containsInteger="1" minValue="1" maxValue="405"/>
    </cacheField>
    <cacheField name="Shelter Tool kit" numFmtId="1">
      <sharedItems containsString="0" containsBlank="1" containsNumber="1" containsInteger="1" minValue="1" maxValue="152"/>
    </cacheField>
    <cacheField name="Tent" numFmtId="1">
      <sharedItems containsString="0" containsBlank="1" containsNumber="1" containsInteger="1" minValue="6" maxValue="90"/>
    </cacheField>
    <cacheField name="Hygiene Kit_LS" numFmtId="0">
      <sharedItems containsString="0" containsBlank="1" containsNumber="1" containsInteger="1" minValue="0" maxValue="165"/>
    </cacheField>
    <cacheField name="NFI Core Kit_LS" numFmtId="0">
      <sharedItems containsString="0" containsBlank="1" containsNumber="1" containsInteger="1" minValue="0" maxValue="139"/>
    </cacheField>
    <cacheField name="Sanitary Kit_LS" numFmtId="0">
      <sharedItems containsString="0" containsBlank="1" containsNumber="1" containsInteger="1" minValue="0" maxValue="657"/>
    </cacheField>
    <cacheField name="Mosquito net_LS" numFmtId="0">
      <sharedItems containsString="0" containsBlank="1" containsNumber="1" containsInteger="1" minValue="0" maxValue="184"/>
    </cacheField>
    <cacheField name="Tarpaulin_LS" numFmtId="0">
      <sharedItems containsString="0" containsBlank="1" containsNumber="1" containsInteger="1" minValue="0" maxValue="170"/>
    </cacheField>
    <cacheField name="Blanket_LS" numFmtId="0">
      <sharedItems containsString="0" containsBlank="1" containsNumber="1" containsInteger="1" minValue="0" maxValue="358"/>
    </cacheField>
    <cacheField name="Kitchen Set_LS" numFmtId="0">
      <sharedItems containsString="0" containsBlank="1" containsNumber="1" containsInteger="1" minValue="0" maxValue="143"/>
    </cacheField>
    <cacheField name="Clothes Kit_LS" numFmtId="0">
      <sharedItems containsString="0" containsBlank="1" containsNumber="1" containsInteger="1" minValue="0" maxValue="0"/>
    </cacheField>
    <cacheField name="Plastic Bucket _LS" numFmtId="0">
      <sharedItems containsString="0" containsBlank="1" containsNumber="1" containsInteger="1" minValue="0" maxValue="91"/>
    </cacheField>
    <cacheField name="Plastic  Mat_LS" numFmtId="0">
      <sharedItems containsString="0" containsBlank="1" containsNumber="1" minValue="0" maxValue="470"/>
    </cacheField>
    <cacheField name="Winter Clothes Adult_LS" numFmtId="0">
      <sharedItems containsString="0" containsBlank="1" containsNumber="1" containsInteger="1" minValue="0" maxValue="540"/>
    </cacheField>
    <cacheField name="Winter Clothes Children_LS" numFmtId="0">
      <sharedItems containsString="0" containsBlank="1" containsNumber="1" containsInteger="1" minValue="0" maxValue="203"/>
    </cacheField>
    <cacheField name="Winter Items Other_LS" numFmtId="0">
      <sharedItems containsString="0" containsBlank="1" containsNumber="1" containsInteger="1" minValue="0" maxValue="0"/>
    </cacheField>
    <cacheField name="Winter Blanket_LS" numFmtId="0">
      <sharedItems containsString="0" containsBlank="1" containsNumber="1" containsInteger="1" minValue="0" maxValue="135"/>
    </cacheField>
    <cacheField name="Winter" numFmtId="0">
      <sharedItems containsString="0" containsBlank="1" containsNumber="1" containsInteger="1" minValue="0" maxValue="1"/>
    </cacheField>
    <cacheField name="Jerry Can_LS" numFmtId="0">
      <sharedItems containsString="0" containsBlank="1" containsNumber="1" containsInteger="1" minValue="0" maxValue="91"/>
    </cacheField>
    <cacheField name="Shelter Tool kit_LS" numFmtId="0">
      <sharedItems containsString="0" containsBlank="1" containsNumber="1" containsInteger="1" minValue="0" maxValue="85"/>
    </cacheField>
    <cacheField name="Tent_LS" numFmtId="0">
      <sharedItems containsString="0" containsBlank="1" containsNumber="1" containsInteger="1" minValue="0" maxValue="49"/>
    </cacheField>
    <cacheField name="Pcode" numFmtId="0">
      <sharedItems containsBlank="1"/>
    </cacheField>
    <cacheField name="opening_date" numFmtId="0">
      <sharedItems containsDate="1" containsBlank="1" containsMixedTypes="1" minDate="1899-12-31T00:00:00" maxDate="2016-08-03T00:00:00" count="42">
        <n v="0"/>
        <s v=""/>
        <n v="1"/>
        <d v="1899-12-30T00:00:00"/>
        <m/>
        <d v="2011-07-01T00:00:00" u="1"/>
        <d v="2012-07-01T00:00:00" u="1"/>
        <d v="1899-12-31T00:00:00" u="1"/>
        <d v="2013-07-01T00:00:00" u="1"/>
        <d v="2014-04-05T00:00:00" u="1"/>
        <d v="2011-06-01T00:00:00" u="1"/>
        <d v="2012-06-01T00:00:00" u="1"/>
        <d v="2013-06-01T00:00:00" u="1"/>
        <d v="2014-03-05T00:00:00" u="1"/>
        <d v="2012-05-01T00:00:00" u="1"/>
        <s v="0" u="1"/>
        <d v="2015-05-01T00:00:00" u="1"/>
        <d v="2014-03-03T00:00:00" u="1"/>
        <d v="2012-04-01T00:00:00" u="1"/>
        <d v="2013-04-01T00:00:00" u="1"/>
        <d v="2011-03-01T00:00:00" u="1"/>
        <d v="2016-08-02T00:00:00" u="1"/>
        <d v="2012-03-01T00:00:00" u="1"/>
        <d v="2011-12-01T00:00:00" u="1"/>
        <d v="2012-02-01T00:00:00" u="1"/>
        <d v="2012-12-01T00:00:00" u="1"/>
        <d v="2013-12-01T00:00:00" u="1"/>
        <d v="2015-02-01T00:00:00" u="1"/>
        <d v="2011-11-01T00:00:00" u="1"/>
        <d v="2012-01-01T00:00:00" u="1"/>
        <d v="2013-01-01T00:00:00" u="1"/>
        <d v="2013-11-01T00:00:00" u="1"/>
        <d v="2016-01-01T00:00:00" u="1"/>
        <d v="2011-10-01T00:00:00" u="1"/>
        <d v="2012-10-01T00:00:00" u="1"/>
        <d v="2013-10-01T00:00:00" u="1"/>
        <d v="2011-09-01T00:00:00" u="1"/>
        <d v="2013-09-01T00:00:00" u="1"/>
        <d v="2011-08-01T00:00:00" u="1"/>
        <d v="2012-08-01T00:00:00" u="1"/>
        <d v="2014-11-04T00:00:00" u="1"/>
        <d v="2013-08-01T00:00:00" u="1"/>
      </sharedItems>
    </cacheField>
    <cacheField name="Status" numFmtId="0">
      <sharedItems containsBlank="1" count="4">
        <s v="Open"/>
        <s v="Closed"/>
        <s v=""/>
        <m u="1"/>
      </sharedItems>
    </cacheField>
    <cacheField name="Priority" numFmtId="0">
      <sharedItems containsBlank="1" containsMixedTypes="1" containsNumber="1" containsInteger="1" minValue="0" maxValue="0"/>
    </cacheField>
    <cacheField name="Coverage" numFmtId="9">
      <sharedItems containsBlank="1" containsMixedTypes="1" containsNumber="1" minValue="0" maxValue="3.9648328097221207E-2"/>
    </cacheField>
    <cacheField name="Planned Distribution"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y Khaing" refreshedDate="42928.532869675924" missingItemsLimit="0" createdVersion="4" refreshedVersion="5" minRefreshableVersion="3" recordCount="381">
  <cacheSource type="worksheet">
    <worksheetSource name="Table_Shelter"/>
  </cacheSource>
  <cacheFields count="24">
    <cacheField name="Update Date" numFmtId="15">
      <sharedItems containsNonDate="0" containsDate="1" containsString="0" containsBlank="1" minDate="2013-12-01T00:00:00" maxDate="2017-07-04T00:00:00"/>
    </cacheField>
    <cacheField name="Organization" numFmtId="0">
      <sharedItems containsBlank="1" count="18">
        <s v="DRC"/>
        <s v="MHF"/>
        <s v="UNHCR"/>
        <s v="UNOCHA"/>
        <s v="World Vision"/>
        <s v="KBC Zonal"/>
        <s v="Metta"/>
        <s v="Oxfam"/>
        <s v="CC"/>
        <s v="Yedai Foundation"/>
        <s v="ACTED"/>
        <s v="IRRC"/>
        <m/>
        <s v="Caritas"/>
        <s v="FSD"/>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Waingmaw"/>
        <s v="Myitkyina"/>
        <s v="Hpakant"/>
        <s v="Manton"/>
        <s v="Mansi"/>
        <s v="Bhamo"/>
        <s v="Kutkai"/>
        <s v="Momauk"/>
        <s v="Chipwi"/>
        <s v="Namhkan"/>
        <s v="Puta-O"/>
        <s v="Mogaung"/>
        <s v="Muse"/>
        <s v="Hseni"/>
        <s v="Namtu"/>
        <s v="Mohnyin"/>
        <s v="Shwegu"/>
      </sharedItems>
    </cacheField>
    <cacheField name="CampName" numFmtId="0">
      <sharedItems containsBlank="1" count="148">
        <s v="Maina Catholic Church (St. Joseph)"/>
        <s v="Mading Baptist Church"/>
        <s v="Pa Dauk Myaing(Pa La Na)"/>
        <s v="Maina KBC (Bawng Ring)"/>
        <s v="Shar Du Zut KBC church "/>
        <s v="Mandung - Jinghpaw"/>
        <s v="Du Kahtawng Qtr. 14"/>
        <s v="Njang Dung Baptist Church "/>
        <s v="Man Wing Baptist Church Cultural Compound"/>
        <s v="Robert Church"/>
        <s v="AG Church, Maw Wan"/>
        <s v="Ku Day Maw KBC"/>
        <s v="Qtr. 4 Monestry (Thargaya Thayett Taw)"/>
        <s v="Shar Du Zut RC church"/>
        <s v="Mungji Pa Dabang (Catholic Church)"/>
        <s v="AD-2000 Tharthana Compound"/>
        <s v="Pa Kahtawng "/>
        <s v="Pan Wa"/>
        <s v="Nan Kway St. John Catholic Church"/>
        <s v="Saw Zam"/>
        <s v="Border Post 8"/>
        <s v="Maw Hpawng Lhaovo Baptist Church"/>
        <s v="AG Church, Hmaw Si Sa"/>
        <s v="Chin Church, Seik Mu"/>
        <s v="Dhama Rakhita, Nyein Chan Tar Yar Ward(Lon Khin)"/>
        <s v="Qtr. 2 Lhaovo Baptist Church"/>
        <s v="Lhaovao Baptist Church (LBC)"/>
        <s v="Chipwi KBC camp"/>
        <s v="Lisu Baptist Church, Maw Shan Vil,. Seik Mu"/>
        <s v="Lisu Boarding-House"/>
        <s v="Man Wing Catholic Church"/>
        <s v="Maw Hpawng Hka Nan Baptist Church"/>
        <s v="Lana Zup Ja "/>
        <s v="Nyaung Na Pin "/>
        <s v="Loi Je Lisu Camp"/>
        <s v="Seng Ja "/>
        <s v="Nam Hkam Catholic Church ( St. Thomas I)"/>
        <s v="Hkau Shau (BP 12)"/>
        <s v="Hpare Hkyer - BP6"/>
        <s v="Pajau - Jan Mai"/>
        <s v="Shing Jai"/>
        <s v="Zai Awng - Mung Ga Zup"/>
        <s v="Dum Bung "/>
        <s v="Jan Mai Kawng Baptist Church"/>
        <s v="Lung Sut"/>
        <s v="Maina Lawang Baptist Church"/>
        <s v="Qtr. 2 Myoma Baptist Church"/>
        <s v="Tat Kone Baptist Church"/>
        <s v="Tat Kone Galile Baptist Church"/>
        <s v="Tat Kone San Pya Baptist Church"/>
        <s v="Maing Khaung"/>
        <s v="Nhkawng Pa "/>
        <s v="Post 6 Camp"/>
        <s v="Je Yang Hka "/>
        <s v="Sar Hmaw - KBC"/>
        <s v="Le Kone Ziun Baptist Church "/>
        <s v="Hpun Lum Yang "/>
        <s v="5 Ward RC Church(lon Khin)"/>
        <s v="Shatapru Sut Ngai Tawng"/>
        <s v="Shwe Zet Baptist Church"/>
        <s v="Nam Hkam (KBC Jaw Wang) II"/>
        <s v="Nam Hkawng"/>
        <s v="Nam Sa Larp"/>
        <s v="Namhkan - Pang Long KBC"/>
        <s v="Tat Kone COC Baptist - Tat Kone Htoi San"/>
        <s v="Zup Aung Camp"/>
        <s v="Bum Tsit Pa "/>
        <s v="Bum Tsit Pa Camp II"/>
        <s v="Baptist Church, Naung Hmee VT"/>
        <s v="Lisu Baptist Church, Maw Wan Ward"/>
        <s v="Muse Baptist Church"/>
        <s v="Nam Ma Phyit, COC"/>
        <s v="Nawng Hee Village"/>
        <s v="Thargaya Lisu Baptist Church"/>
        <s v="Loi Je Catholic Church"/>
        <s v="Hkat Cho "/>
        <s v="Man Bung Catholic compound"/>
        <s v="Mansi Baptist Church"/>
        <s v="Mu-yin Baptist Church"/>
        <s v="Qtr. 3 Mu-yin  Baptist Church"/>
        <s v="Momauk Baptist Church"/>
        <s v="Phan Khar Kone"/>
        <s v="Man Kawng Baptist Church"/>
        <s v="5 Ward Baptist Church(lon Khin)"/>
        <s v="Baptist Church, Hmaw Si Sar(Lon Khin)"/>
        <s v="Hmaw Wan, Anglican"/>
        <s v="Lagatyan "/>
        <s v="Maina AG Church"/>
        <s v="Mandung - RC"/>
        <s v="Maw Wan, Mu-yin Baptist Church"/>
        <s v="Nga Pyaw Taw Baptist Nursery School "/>
        <s v="Ni Thaw Ka Monestry"/>
        <s v="Rawan Baptist Church, Maw Shan Vil., Seik Mu"/>
        <s v="Ta Gun Taing Monastery (Shwe Kyi Na)"/>
        <s v="Waingmaw AG Church"/>
        <s v="Woi Chyai "/>
        <s v="Yoe Kyi Monastery"/>
        <s v="Mungji Pa Dabang (Baptist Church)         "/>
        <s v="Sai Nai Baptish Church, Maw Shan Vil., Seki Mu"/>
        <s v="Ward 2 Sai Taung Baptist Church, Seik Mu "/>
        <s v="Howa"/>
        <s v="Kyun Pin Thar Baptist Church"/>
        <s v="Kyun Taw Baptist Church "/>
        <s v="Le Kone Bethlehem Church"/>
        <s v="Loi Je Baptist Church"/>
        <s v="Maliyang Baptist Church"/>
        <s v="Man Hkring Baptist Church"/>
        <s v="Man Wing Baptist Church"/>
        <s v="Mang Hawng Baptist Church"/>
        <s v="Mung Baw "/>
        <s v="Nam Hkam - Nay Win Ni (Palawng)"/>
        <s v="Aung Thar Church"/>
        <s v="Du Kahtawng Qtr. 5"/>
        <s v="Htoi San Church"/>
        <s v="Nam Hkam (KBC Jaw Wang)"/>
        <s v="Jan Mai Kawng Catholic Church"/>
        <s v="Kone Khem Camp"/>
        <s v="Nam Hpak Ka Mare "/>
        <s v="Kutkai downtown (KBC Church)"/>
        <s v="Kutkai downtown (RC Church)"/>
        <s v="Nam Tu Baptist"/>
        <s v="Nant Ma Hpit Catholic Church"/>
        <s v="Nat Gyi Kone Baptist Church "/>
        <s v="Nawng Ing (Indawgyi) Baptist Church  "/>
        <s v="Lung Kawk  ( Hka Hkye Zup)"/>
        <s v="Maga Yang "/>
        <s v="Mai Khat "/>
        <s v="Maing Khaung Catholic Church"/>
        <s v="Mandalay Monestry"/>
        <s v="Mashi Kahtawng Baptist  Church"/>
        <s v="Mine Yu Lay village"/>
        <s v="Momauk Catholic Church (St. Patrick)"/>
        <s v="Mung Ding Pa  (Boarder)"/>
        <s v="Muse Catholic Church"/>
        <s v="Nam Lim Pa"/>
        <s v="Nant Hlaing Church"/>
        <s v="RRD Office"/>
        <s v="Shwe Gu Baptist Church"/>
        <s v="Shwe Gu Catholic Church"/>
        <s v="St. Patrick Catholic Church "/>
        <s v="Waingmaw Baptist Zonal Office"/>
        <s v="Tat Kone Emanuel Church"/>
        <s v="Tharthana Ahlin Yaung New Monastery"/>
        <s v="Ward 2 Cahotlic Church, Seik Mu"/>
        <s v="Warra Zup"/>
        <s v="Wun Tho Buddhist Monastery"/>
        <s v="Yumar Baptist Church"/>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0" maxValue="700"/>
    </cacheField>
    <cacheField name="# of Temporary Shelter Under  Construction" numFmtId="0">
      <sharedItems containsString="0" containsBlank="1" containsNumber="1" containsInteger="1" minValue="4" maxValue="140"/>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1">
      <sharedItems containsMixedTypes="1" containsNumber="1" containsInteger="1" minValue="0" maxValue="700"/>
    </cacheField>
    <cacheField name="HH Covered2"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0" maxValue="338"/>
    </cacheField>
    <cacheField name="Pcode" numFmtId="0">
      <sharedItems count="146">
        <s v="MMR001CMP029"/>
        <s v="MMR001CMP027"/>
        <s v="MMR001CMP162"/>
        <s v="MMR001CMP040"/>
        <s v="MMR001CMP244"/>
        <s v="MMR015CMP009"/>
        <s v="MMR001CMP012"/>
        <s v="MMR001CMP002"/>
        <s v="MMR001CMP230"/>
        <s v="MMR001CMP047"/>
        <s v="MMR001CMP190"/>
        <s v="MMR001CMP231"/>
        <s v="MMR001CMP026"/>
        <s v="MMR001CMP246"/>
        <s v="MMR015CMP217"/>
        <s v="MMR001CMP050"/>
        <s v="MMR001CMP126"/>
        <s v="MMR001CMP210"/>
        <s v="MMR001CMP024"/>
        <s v="MMR001CMP225"/>
        <s v="MMR001CMP113"/>
        <s v="MMR001CMP021"/>
        <s v="MMR001CMP176"/>
        <s v="MMR001CMP109"/>
        <s v="MMR001CMP174"/>
        <s v="MMR001CMP032"/>
        <s v="MMR001CMP195"/>
        <s v="MMR001CMP042"/>
        <s v="MMR001CMP181"/>
        <s v="MMR001CMP049"/>
        <s v="MMR001CMP132"/>
        <s v="MMR001CMP020"/>
        <s v="MMR001CMP128"/>
        <s v="MMR001CMP072"/>
        <s v="MMR001CMP070"/>
        <s v="MMR001CMP073"/>
        <s v="MMR015CMP003"/>
        <s v="MMR001CMP115"/>
        <s v="MMR001CMP043"/>
        <s v="MMR001CMP120"/>
        <s v="MMR001CMP041"/>
        <s v="MMR001CMP111"/>
        <s v="MMR001CMP123"/>
        <s v="MMR001CMP018"/>
        <s v="MMR001CMP234"/>
        <s v="MMR001CMP039"/>
        <s v="MMR001CMP025"/>
        <s v="MMR001CMP001"/>
        <s v="MMR001CMP003"/>
        <s v="MMR001CMP005"/>
        <s v="MMR001CMP218"/>
        <s v="MMR001CMP131"/>
        <s v="MMR001CMP160"/>
        <s v="MMR001CMP121"/>
        <s v="MMR001CMP236"/>
        <s v="MMR001CMP014"/>
        <s v="MMR001CMP122"/>
        <s v="MMR001CMP168"/>
        <s v="MMR001CMP006"/>
        <s v="MMR001CMP009"/>
        <s v="MMR015CMP214"/>
        <s v="MMR015CMP139"/>
        <s v="MMR015CMP218"/>
        <s v="MMR015CMP215"/>
        <s v="MMR001CMP023"/>
        <s v="MMR015CMP020"/>
        <s v="MMR001CMP129"/>
        <s v="MMR001CMP226"/>
        <s v="MMR001CMP188"/>
        <s v="MMR001CMP167"/>
        <s v="MMR015CMP213"/>
        <s v="MMR001CMP192"/>
        <s v="MMR001CMP033"/>
        <s v="MMR001CMP037"/>
        <s v="MMR001CMP069"/>
        <s v="MMR001CMP028"/>
        <s v="MMR001CMP062"/>
        <s v="MMR001CMP066"/>
        <s v="MMR001CMP051"/>
        <s v="MMR001CMP030"/>
        <s v="MMR001CMP056"/>
        <s v="MMR001CMP193"/>
        <s v="MMR001CMP212"/>
        <s v="MMR001CMP179"/>
        <s v="MMR001CMP169"/>
        <s v="MMR001CMP191"/>
        <s v="MMR001CMP202"/>
        <s v="MMR001CMP031"/>
        <s v="MMR015CMP209"/>
        <s v="MMR001CMP091"/>
        <s v="MMR001CMP082"/>
        <s v="MMR001CMP059"/>
        <s v="MMR001CMP182"/>
        <s v="MMR001CMP055"/>
        <s v="MMR001CMP038"/>
        <s v="MMR001CMP116"/>
        <s v="MMR001CMP053"/>
        <s v="MMR015CMP006"/>
        <s v="MMR001CMP183"/>
        <s v="MMR001CMP184"/>
        <s v="MMR015CMP010"/>
        <s v="MMR001CMP013"/>
        <s v="MMR001CMP078"/>
        <s v="MMR001CMP015"/>
        <s v="MMR001CMP071"/>
        <s v="MMR001CMP016"/>
        <s v="MMR001CMP008"/>
        <s v="MMR001CMP133"/>
        <s v="MMR001CMP077"/>
        <s v="MMR015CMP005"/>
        <s v="MMR015CMP004"/>
        <s v="MMR001CMP194"/>
        <s v="MMR001CMP011"/>
        <s v="MMR001CMP052"/>
        <s v="MMR015CMP001"/>
        <s v="MMR001CMP019"/>
        <s v="MMR015CMP015"/>
        <s v="MMR015CMP007"/>
        <s v="MMR015CMP016"/>
        <s v="MMR015CMP017"/>
        <s v="MMR015CMP014"/>
        <s v="MMR001CMP103"/>
        <s v="MMR001CMP079"/>
        <s v="MMR001CMP152"/>
        <s v="MMR001CMP135"/>
        <s v="MMR001CMP119"/>
        <s v="MMR001CMP064"/>
        <s v="MMR001CMP223"/>
        <s v="MMR001CMP058"/>
        <s v="MMR001CMP094"/>
        <s v="MMR015CMP018"/>
        <s v="MMR001CMP057"/>
        <s v="MMR001CMP203"/>
        <s v="MMR015CMP216"/>
        <s v="MMR001CMP204"/>
        <s v="MMR001CMP054"/>
        <s v=""/>
        <s v="MMR001CMP067"/>
        <s v="MMR001CMP068"/>
        <s v="MMR001CMP080"/>
        <s v="MMR001CMP036"/>
        <s v="MMR001CMP004"/>
        <s v="MMR001CMP224"/>
        <s v="MMR001CMP185"/>
        <s v="MMR001CMP022"/>
        <s v="MMR001CMP105"/>
      </sharedItems>
    </cacheField>
    <cacheField name="Status" numFmtId="0">
      <sharedItems count="3">
        <s v="Open"/>
        <s v="Closed"/>
        <s v=""/>
      </sharedItems>
    </cacheField>
    <cacheField name="Coverage" numFmtId="9">
      <sharedItems containsMixedTypes="1" containsNumber="1" minValue="0" maxValue="1"/>
    </cacheField>
    <cacheField name="Replacement (YES/NO)" numFmtId="0">
      <sharedItems containsBlank="1"/>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3.xml><?xml version="1.0" encoding="utf-8"?>
<pivotCacheDefinition xmlns="http://schemas.openxmlformats.org/spreadsheetml/2006/main" xmlns:r="http://schemas.openxmlformats.org/officeDocument/2006/relationships" r:id="rId1" refreshedBy="Soe Paing" refreshedDate="43291.579006250002" createdVersion="4" refreshedVersion="5" minRefreshableVersion="3" recordCount="167">
  <cacheSource type="worksheet">
    <worksheetSource name="Table10"/>
  </cacheSource>
  <cacheFields count="14">
    <cacheField name="Pcode" numFmtId="0">
      <sharedItems/>
    </cacheField>
    <cacheField name="Priority" numFmtId="0">
      <sharedItems count="5">
        <e v="#REF!"/>
        <s v="P2" u="1"/>
        <s v="P4" u="1"/>
        <s v="P1" u="1"/>
        <s v="P3" u="1"/>
      </sharedItems>
    </cacheField>
    <cacheField name="Camp" numFmtId="0">
      <sharedItems/>
    </cacheField>
    <cacheField name="Township" numFmtId="0">
      <sharedItems/>
    </cacheField>
    <cacheField name="HH" numFmtId="0">
      <sharedItems containsMixedTypes="1" containsNumber="1" containsInteger="1" minValue="0" maxValue="1490"/>
    </cacheField>
    <cacheField name="Ind" numFmtId="0">
      <sharedItems containsMixedTypes="1" containsNumber="1" containsInteger="1" minValue="0" maxValue="8486"/>
    </cacheField>
    <cacheField name="Winter Clothes Adult " numFmtId="0">
      <sharedItems containsSemiMixedTypes="0" containsString="0" containsNumber="1" containsInteger="1" minValue="0" maxValue="0"/>
    </cacheField>
    <cacheField name="Winter Clothes Children " numFmtId="0">
      <sharedItems containsSemiMixedTypes="0" containsString="0" containsNumber="1" containsInteger="1" minValue="0" maxValue="0"/>
    </cacheField>
    <cacheField name="Winter Items Other " numFmtId="0">
      <sharedItems containsSemiMixedTypes="0" containsString="0" containsNumber="1" containsInteger="1" minValue="0" maxValue="0"/>
    </cacheField>
    <cacheField name="WC_Adult_Gap" numFmtId="0">
      <sharedItems containsMixedTypes="1" containsNumber="1" containsInteger="1" minValue="0" maxValue="2980"/>
    </cacheField>
    <cacheField name="WC_Child_Gap" numFmtId="0">
      <sharedItems containsMixedTypes="1" containsNumber="1" containsInteger="1" minValue="0" maxValue="1490"/>
    </cacheField>
    <cacheField name="WI_Other_Gap" numFmtId="0">
      <sharedItems containsMixedTypes="1" containsNumber="1" containsInteger="1" minValue="0" maxValue="1490"/>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Deepika Bhardwaj" refreshedDate="43605.673739351849" missingItemsLimit="0" createdVersion="4" refreshedVersion="5" minRefreshableVersion="3" recordCount="606">
  <cacheSource type="worksheet">
    <worksheetSource name="Table_NFI"/>
  </cacheSource>
  <cacheFields count="50">
    <cacheField name="Distribution Date" numFmtId="169">
      <sharedItems containsSemiMixedTypes="0" containsNonDate="0" containsDate="1" containsString="0" minDate="2017-01-02T00:00:00" maxDate="2019-05-01T00:00:00" count="228">
        <d v="2017-01-02T00:00:00"/>
        <d v="2017-01-10T00:00:00"/>
        <d v="2017-01-15T00:00:00"/>
        <d v="2017-01-18T00:00:00"/>
        <d v="2017-01-19T00:00:00"/>
        <d v="2017-01-20T00:00:00"/>
        <d v="2017-01-23T00:00:00"/>
        <d v="2017-01-26T00:00:00"/>
        <d v="2017-01-28T00:00:00"/>
        <d v="2017-01-31T00:00:00"/>
        <d v="2017-02-01T00:00:00"/>
        <d v="2017-02-02T00:00:00"/>
        <d v="2017-02-09T00:00:00"/>
        <d v="2017-02-10T00:00:00"/>
        <d v="2017-02-13T00:00:00"/>
        <d v="2017-02-14T00:00:00"/>
        <d v="2017-02-16T00:00:00"/>
        <d v="2017-03-01T00:00:00"/>
        <d v="2017-03-14T00:00:00"/>
        <d v="2017-03-15T00:00:00"/>
        <d v="2017-03-16T00:00:00"/>
        <d v="2017-03-19T00:00:00"/>
        <d v="2017-03-20T00:00:00"/>
        <d v="2017-03-29T00:00:00"/>
        <d v="2017-03-31T00:00:00"/>
        <d v="2017-04-04T00:00:00"/>
        <d v="2017-04-13T00:00:00"/>
        <d v="2017-04-27T00:00:00"/>
        <d v="2017-05-05T00:00:00"/>
        <d v="2017-05-10T00:00:00"/>
        <d v="2017-05-12T00:00:00"/>
        <d v="2017-05-25T00:00:00"/>
        <d v="2017-05-26T00:00:00"/>
        <d v="2017-05-27T00:00:00"/>
        <d v="2017-05-28T00:00:00"/>
        <d v="2017-05-30T00:00:00"/>
        <d v="2017-06-07T00:00:00"/>
        <d v="2017-06-14T00:00:00"/>
        <d v="2017-06-17T00:00:00"/>
        <d v="2017-06-28T00:00:00"/>
        <d v="2017-06-29T00:00:00"/>
        <d v="2017-07-28T00:00:00"/>
        <d v="2017-08-01T00:00:00"/>
        <d v="2017-08-07T00:00:00"/>
        <d v="2017-08-15T00:00:00"/>
        <d v="2017-08-16T00:00:00"/>
        <d v="2017-08-19T00:00:00"/>
        <d v="2017-08-29T00:00:00"/>
        <d v="2017-09-07T00:00:00"/>
        <d v="2017-09-29T00:00:00"/>
        <d v="2017-09-30T00:00:00"/>
        <d v="2017-10-02T00:00:00"/>
        <d v="2017-10-17T00:00:00"/>
        <d v="2017-10-18T00:00:00"/>
        <d v="2017-10-19T00:00:00"/>
        <d v="2017-10-20T00:00:00"/>
        <d v="2017-10-27T00:00:00"/>
        <d v="2017-11-27T00:00:00"/>
        <d v="2017-11-28T00:00:00"/>
        <d v="2017-11-29T00:00:00"/>
        <d v="2017-12-06T00:00:00"/>
        <d v="2017-12-09T00:00:00"/>
        <d v="2017-12-21T00:00:00"/>
        <d v="2017-12-26T00:00:00"/>
        <d v="2017-12-27T00:00:00"/>
        <d v="2017-12-29T00:00:00"/>
        <d v="2018-01-05T00:00:00"/>
        <d v="2018-01-06T00:00:00"/>
        <d v="2018-01-07T00:00:00"/>
        <d v="2018-01-08T00:00:00"/>
        <d v="2018-01-26T00:00:00"/>
        <d v="2018-01-27T00:00:00"/>
        <d v="2018-02-09T00:00:00"/>
        <d v="2018-03-12T00:00:00"/>
        <d v="2018-03-06T00:00:00"/>
        <d v="2018-01-09T00:00:00"/>
        <d v="2018-01-11T00:00:00"/>
        <d v="2018-01-12T00:00:00"/>
        <d v="2018-01-15T00:00:00"/>
        <d v="2018-01-16T00:00:00"/>
        <d v="2018-01-25T00:00:00"/>
        <d v="2018-02-08T00:00:00"/>
        <d v="2018-02-12T00:00:00"/>
        <d v="2018-02-14T00:00:00"/>
        <d v="2018-02-20T00:00:00"/>
        <d v="2018-02-21T00:00:00"/>
        <d v="2018-03-07T00:00:00"/>
        <d v="2018-03-16T00:00:00"/>
        <d v="2018-03-26T00:00:00"/>
        <d v="2018-03-21T00:00:00"/>
        <d v="2018-03-28T00:00:00"/>
        <d v="2018-03-30T00:00:00"/>
        <d v="2018-04-11T00:00:00"/>
        <d v="2018-04-05T00:00:00"/>
        <d v="2018-04-26T00:00:00"/>
        <d v="2018-04-10T00:00:00"/>
        <d v="2018-04-27T00:00:00"/>
        <d v="2018-04-24T00:00:00"/>
        <d v="2018-04-30T00:00:00"/>
        <d v="2018-05-01T00:00:00"/>
        <d v="2018-05-07T00:00:00"/>
        <d v="2018-05-23T00:00:00"/>
        <d v="2018-05-18T00:00:00"/>
        <d v="2018-05-08T00:00:00"/>
        <d v="2018-05-04T00:00:00"/>
        <d v="2018-05-10T00:00:00"/>
        <d v="2018-05-11T00:00:00"/>
        <d v="2018-05-25T00:00:00"/>
        <d v="2018-05-24T00:00:00"/>
        <d v="2018-05-17T00:00:00"/>
        <d v="2018-05-28T00:00:00"/>
        <d v="2018-05-15T00:00:00"/>
        <d v="2018-05-21T00:00:00"/>
        <d v="2018-05-31T00:00:00"/>
        <d v="2018-05-05T00:00:00"/>
        <d v="2018-05-09T00:00:00"/>
        <d v="2018-05-19T00:00:00"/>
        <d v="2018-05-12T00:00:00"/>
        <d v="2018-05-26T00:00:00"/>
        <d v="2018-05-27T00:00:00"/>
        <d v="2018-05-29T00:00:00"/>
        <d v="2018-06-05T00:00:00"/>
        <d v="2018-06-19T00:00:00"/>
        <d v="2018-06-01T00:00:00"/>
        <d v="2018-06-15T00:00:00"/>
        <d v="2018-06-30T00:00:00"/>
        <d v="2018-06-20T00:00:00"/>
        <d v="2018-07-03T00:00:00"/>
        <d v="2018-06-22T00:00:00"/>
        <d v="2018-07-23T00:00:00"/>
        <d v="2018-07-30T00:00:00"/>
        <d v="2018-07-18T00:00:00"/>
        <d v="2018-07-19T00:00:00"/>
        <d v="2018-08-13T00:00:00"/>
        <d v="2018-10-08T00:00:00"/>
        <d v="2018-10-18T00:00:00"/>
        <d v="2018-10-16T00:00:00"/>
        <d v="2018-10-17T00:00:00"/>
        <d v="2018-11-20T00:00:00"/>
        <d v="2018-11-14T00:00:00"/>
        <d v="2018-11-15T00:00:00"/>
        <d v="2018-01-30T00:00:00"/>
        <d v="2018-01-29T00:00:00"/>
        <d v="2018-01-31T00:00:00"/>
        <d v="2018-01-17T00:00:00"/>
        <d v="2018-02-02T00:00:00"/>
        <d v="2018-01-28T00:00:00"/>
        <d v="2018-06-26T00:00:00"/>
        <d v="2018-08-08T00:00:00"/>
        <d v="2018-09-04T00:00:00"/>
        <d v="2018-08-12T00:00:00"/>
        <d v="2018-09-25T00:00:00"/>
        <d v="2018-10-31T00:00:00"/>
        <d v="2018-10-30T00:00:00"/>
        <d v="2018-08-15T00:00:00"/>
        <d v="2018-09-26T00:00:00"/>
        <d v="2018-07-26T00:00:00"/>
        <d v="2018-08-16T00:00:00"/>
        <d v="2018-08-14T00:00:00"/>
        <d v="2018-08-24T00:00:00"/>
        <d v="2018-08-17T00:00:00"/>
        <d v="2018-08-10T00:00:00"/>
        <d v="2018-09-03T00:00:00"/>
        <d v="2018-09-17T00:00:00"/>
        <d v="2018-10-01T00:00:00"/>
        <d v="2018-08-29T00:00:00"/>
        <d v="2018-09-14T00:00:00"/>
        <d v="2018-10-15T00:00:00"/>
        <d v="2018-10-24T00:00:00"/>
        <d v="2018-10-29T00:00:00"/>
        <d v="2018-12-15T00:00:00"/>
        <d v="2018-11-06T00:00:00"/>
        <d v="2018-11-07T00:00:00"/>
        <d v="2018-11-08T00:00:00"/>
        <d v="2018-11-09T00:00:00"/>
        <d v="2018-11-13T00:00:00"/>
        <d v="2018-11-19T00:00:00"/>
        <d v="2018-11-26T00:00:00"/>
        <d v="2018-11-27T00:00:00"/>
        <d v="2018-11-28T00:00:00"/>
        <d v="2018-11-29T00:00:00"/>
        <d v="2018-11-30T00:00:00"/>
        <d v="2018-09-07T00:00:00"/>
        <d v="2018-10-05T00:00:00"/>
        <d v="2018-10-06T00:00:00"/>
        <d v="2018-10-22T00:00:00"/>
        <d v="2018-11-12T00:00:00"/>
        <d v="2018-11-01T00:00:00"/>
        <d v="2019-01-16T00:00:00"/>
        <d v="2019-01-17T00:00:00"/>
        <d v="2018-12-19T00:00:00"/>
        <d v="2018-12-20T00:00:00"/>
        <d v="2018-12-21T00:00:00"/>
        <d v="2019-01-18T00:00:00"/>
        <d v="2019-01-22T00:00:00"/>
        <d v="2018-12-03T00:00:00"/>
        <d v="2018-12-04T00:00:00"/>
        <d v="2018-12-05T00:00:00"/>
        <d v="2018-12-06T00:00:00"/>
        <d v="2019-01-23T00:00:00"/>
        <d v="2019-01-24T00:00:00"/>
        <d v="2019-01-30T00:00:00"/>
        <d v="2019-01-31T00:00:00"/>
        <d v="2019-02-05T00:00:00"/>
        <d v="2019-02-07T00:00:00"/>
        <d v="2019-02-15T00:00:00"/>
        <d v="2019-02-19T00:00:00"/>
        <d v="2019-02-21T00:00:00"/>
        <d v="2019-02-26T00:00:00"/>
        <d v="2019-02-28T00:00:00"/>
        <d v="2019-03-04T00:00:00"/>
        <d v="2019-03-05T00:00:00"/>
        <d v="2019-03-06T00:00:00"/>
        <d v="2019-03-07T00:00:00"/>
        <d v="2019-03-12T00:00:00"/>
        <d v="2019-03-14T00:00:00"/>
        <d v="2019-03-15T00:00:00"/>
        <d v="2019-03-20T00:00:00"/>
        <d v="2019-03-27T00:00:00"/>
        <d v="2019-03-30T00:00:00"/>
        <d v="2019-04-02T00:00:00"/>
        <d v="2019-04-03T00:00:00"/>
        <d v="2019-04-04T00:00:00"/>
        <d v="2019-04-05T00:00:00"/>
        <d v="2019-04-08T00:00:00"/>
        <d v="2019-04-09T00:00:00"/>
        <d v="2019-04-12T00:00:00"/>
        <d v="2019-04-30T00:00:00"/>
      </sharedItems>
    </cacheField>
    <cacheField name="Distribution Month/Year (Auto-calculated)" numFmtId="169">
      <sharedItems containsBlank="1" count="29">
        <s v="1/2017"/>
        <s v="2/2017"/>
        <s v="3/2017"/>
        <s v="4/2017"/>
        <s v="5/2017"/>
        <s v="6/2017"/>
        <s v="7/2017"/>
        <s v="8/2017"/>
        <s v="9/2017"/>
        <s v="10/2017"/>
        <s v="11/2017"/>
        <s v="12/2017"/>
        <s v="1/2018"/>
        <s v="2/2018"/>
        <s v="3/2018"/>
        <m/>
        <s v="4/2018"/>
        <s v="5/2018"/>
        <s v="6/2018"/>
        <s v="7/2018"/>
        <s v="8/2018"/>
        <s v="10/2018"/>
        <s v="11/2018"/>
        <s v="9/2018"/>
        <s v="12/2018"/>
        <s v="1/2019"/>
        <s v="2/2019"/>
        <s v="3/2019"/>
        <s v="4/2019"/>
      </sharedItems>
    </cacheField>
    <cacheField name="Agency" numFmtId="0">
      <sharedItems count="18">
        <s v="UNHCR"/>
        <s v="Solidarites"/>
        <s v="NRC"/>
        <s v="Metta"/>
        <s v="MRCS"/>
        <s v="Shalom"/>
        <s v="KMSS-Myitkyina"/>
        <s v="RI"/>
        <s v="IRC"/>
        <s v="KMSS-Lashio"/>
        <s v="SCI"/>
        <s v="KMSS_Myitkyina"/>
        <s v="DRC"/>
        <s v="KBC"/>
        <s v="WVI"/>
        <s v="Plan Int."/>
        <s v="ICRC (Observer)"/>
        <s v="SI"/>
      </sharedItems>
    </cacheField>
    <cacheField name="Implementing Partner" numFmtId="0">
      <sharedItems containsBlank="1"/>
    </cacheField>
    <cacheField name="State" numFmtId="0">
      <sharedItems/>
    </cacheField>
    <cacheField name="Township" numFmtId="0">
      <sharedItems count="43">
        <s v="Waingmaw"/>
        <s v="Myitkyina"/>
        <s v="Mansi"/>
        <s v="Momauk"/>
        <s v="Shwegu"/>
        <s v="Bhamo"/>
        <s v="Hpakant"/>
        <s v="Chipwi"/>
        <s v="Sumprabum"/>
        <s v="Kutkai"/>
        <s v="Hseni"/>
        <s v="Namtu"/>
        <s v="Tanai"/>
        <s v="Muse"/>
        <s v="Namhkan"/>
        <s v="Mohnyin"/>
        <s v="Kyaukme"/>
        <s v="Mogaung"/>
        <s v="Injangyang"/>
        <s v="Puta-O"/>
        <s v="Manton"/>
        <s v="Hsipaw"/>
        <s v="lashio"/>
        <s v="Mong Shu"/>
        <s v="Luakking "/>
        <s v="Mawkmai"/>
        <s v="Laukkaing"/>
        <s v="Kut Kai"/>
        <s v="Namkham"/>
        <s v="Waimaw"/>
        <s v="Kamai (K)"/>
        <s v="Hpakant (K)"/>
        <s v="Waimaw (K)"/>
        <s v="Kutkai (S)"/>
        <s v="Namtu (S)"/>
        <s v="Mansi "/>
        <s v="Moemauk "/>
        <s v="Kamai "/>
        <s v="Hpakant "/>
        <s v="Waimaw "/>
        <s v="Nam Hkam "/>
        <s v="Mandong"/>
        <s v="Moe mouk"/>
      </sharedItems>
    </cacheField>
    <cacheField name="Location" numFmtId="0">
      <sharedItems containsBlank="1"/>
    </cacheField>
    <cacheField name="Cash for NFI (# of HHs covered)" numFmtId="0">
      <sharedItems containsString="0" containsBlank="1" containsNumber="1" containsInteger="1" minValue="1" maxValue="288"/>
    </cacheField>
    <cacheField name="Hygiene Kit" numFmtId="0">
      <sharedItems containsString="0" containsBlank="1" containsNumber="1" containsInteger="1" minValue="1" maxValue="251"/>
    </cacheField>
    <cacheField name="Dignity Kit" numFmtId="0">
      <sharedItems containsString="0" containsBlank="1" containsNumber="1" containsInteger="1" minValue="1" maxValue="103"/>
    </cacheField>
    <cacheField name="NFI Core Kit" numFmtId="0">
      <sharedItems containsString="0" containsBlank="1" containsNumber="1" containsInteger="1" minValue="1" maxValue="240"/>
    </cacheField>
    <cacheField name="Sanitary Kit" numFmtId="0">
      <sharedItems containsString="0" containsBlank="1" containsNumber="1" containsInteger="1" minValue="1" maxValue="657"/>
    </cacheField>
    <cacheField name="Mosquito net" numFmtId="0">
      <sharedItems containsString="0" containsBlank="1" containsNumber="1" containsInteger="1" minValue="1" maxValue="412"/>
    </cacheField>
    <cacheField name="Tarpaulin" numFmtId="0">
      <sharedItems containsString="0" containsBlank="1" containsNumber="1" containsInteger="1" minValue="1" maxValue="255"/>
    </cacheField>
    <cacheField name="Blanket" numFmtId="0">
      <sharedItems containsBlank="1" containsMixedTypes="1" containsNumber="1" containsInteger="1" minValue="1" maxValue="3170"/>
    </cacheField>
    <cacheField name="Kitchen Set" numFmtId="0">
      <sharedItems containsString="0" containsBlank="1" containsNumber="1" containsInteger="1" minValue="1" maxValue="251"/>
    </cacheField>
    <cacheField name="Clothes Kit" numFmtId="0">
      <sharedItems containsString="0" containsBlank="1" containsNumber="1" containsInteger="1" minValue="2" maxValue="60"/>
    </cacheField>
    <cacheField name="Plastic Bucket" numFmtId="0">
      <sharedItems containsString="0" containsBlank="1" containsNumber="1" containsInteger="1" minValue="1" maxValue="166"/>
    </cacheField>
    <cacheField name="Plastic Mat" numFmtId="0">
      <sharedItems containsString="0" containsBlank="1" containsNumber="1" containsInteger="1" minValue="1" maxValue="1186"/>
    </cacheField>
    <cacheField name="Winter Clothes Adult" numFmtId="0">
      <sharedItems containsString="0" containsBlank="1" containsNumber="1" containsInteger="1" minValue="1" maxValue="732"/>
    </cacheField>
    <cacheField name="Winter Clothes Children" numFmtId="0">
      <sharedItems containsString="0" containsBlank="1" containsNumber="1" containsInteger="1" minValue="1" maxValue="2536"/>
    </cacheField>
    <cacheField name="Winter Items Other" numFmtId="0">
      <sharedItems containsString="0" containsBlank="1" containsNumber="1" containsInteger="1" minValue="1" maxValue="1473"/>
    </cacheField>
    <cacheField name="Winter Blanket" numFmtId="0">
      <sharedItems containsString="0" containsBlank="1" containsNumber="1" containsInteger="1" minValue="1" maxValue="1186"/>
    </cacheField>
    <cacheField name="Jerry Can" numFmtId="0">
      <sharedItems containsString="0" containsBlank="1" containsNumber="1" containsInteger="1" minValue="1" maxValue="179"/>
    </cacheField>
    <cacheField name="Solar lamps" numFmtId="0">
      <sharedItems containsString="0" containsBlank="1" containsNumber="1" containsInteger="1" minValue="1" maxValue="593"/>
    </cacheField>
    <cacheField name="Shelter Tool kit" numFmtId="1">
      <sharedItems containsString="0" containsBlank="1" containsNumber="1" containsInteger="1" minValue="1" maxValue="85"/>
    </cacheField>
    <cacheField name="Tent" numFmtId="1">
      <sharedItems containsString="0" containsBlank="1" containsNumber="1" containsInteger="1" minValue="6" maxValue="49"/>
    </cacheField>
    <cacheField name="NFI Core Kit_LS" numFmtId="0">
      <sharedItems containsBlank="1"/>
    </cacheField>
    <cacheField name="Sanitary Kit_LS" numFmtId="0">
      <sharedItems containsBlank="1"/>
    </cacheField>
    <cacheField name="Mosquito net_LS" numFmtId="0">
      <sharedItems containsBlank="1"/>
    </cacheField>
    <cacheField name="Tarpaulin_LS" numFmtId="0">
      <sharedItems containsBlank="1"/>
    </cacheField>
    <cacheField name="Blanket_LS" numFmtId="0">
      <sharedItems containsBlank="1"/>
    </cacheField>
    <cacheField name="Kitchen Set_LS" numFmtId="0">
      <sharedItems containsBlank="1"/>
    </cacheField>
    <cacheField name="Clothes Kit_LS" numFmtId="0">
      <sharedItems containsBlank="1"/>
    </cacheField>
    <cacheField name="Plastic Bucket _LS" numFmtId="0">
      <sharedItems containsBlank="1"/>
    </cacheField>
    <cacheField name="Plastic  Mat_LS" numFmtId="0">
      <sharedItems containsBlank="1"/>
    </cacheField>
    <cacheField name="Winter Clothes Adult_LS" numFmtId="0">
      <sharedItems containsBlank="1"/>
    </cacheField>
    <cacheField name="Winter Clothes Children_LS" numFmtId="0">
      <sharedItems containsNonDate="0" containsString="0" containsBlank="1"/>
    </cacheField>
    <cacheField name="Winter Items Other_LS" numFmtId="0">
      <sharedItems containsNonDate="0" containsString="0" containsBlank="1"/>
    </cacheField>
    <cacheField name="Winter Blanket_LS" numFmtId="0">
      <sharedItems containsNonDate="0" containsString="0" containsBlank="1"/>
    </cacheField>
    <cacheField name="Winter" numFmtId="0">
      <sharedItems containsString="0" containsBlank="1" containsNumber="1" containsInteger="1" minValue="0" maxValue="1"/>
    </cacheField>
    <cacheField name="Jerry Can_LS" numFmtId="0">
      <sharedItems containsNonDate="0" containsString="0" containsBlank="1"/>
    </cacheField>
    <cacheField name="Shelter Tool kit_LS" numFmtId="0">
      <sharedItems containsNonDate="0" containsString="0" containsBlank="1"/>
    </cacheField>
    <cacheField name="CGIs" numFmtId="0">
      <sharedItems containsString="0" containsBlank="1" containsNumber="1" containsInteger="1" minValue="60" maxValue="4350"/>
    </cacheField>
    <cacheField name="Pillow" numFmtId="0">
      <sharedItems containsString="0" containsBlank="1" containsNumber="1" containsInteger="1" minValue="17" maxValue="17"/>
    </cacheField>
    <cacheField name="Iron Box" numFmtId="0">
      <sharedItems containsString="0" containsBlank="1" containsNumber="1" containsInteger="1" minValue="17" maxValue="40"/>
    </cacheField>
    <cacheField name="Bedding" numFmtId="0">
      <sharedItems containsString="0" containsBlank="1" containsNumber="1" containsInteger="1" minValue="40" maxValue="40"/>
    </cacheField>
    <cacheField name="Tent_LS" numFmtId="0">
      <sharedItems containsNonDate="0" containsString="0" containsBlank="1"/>
    </cacheField>
    <cacheField name="Pcode" numFmtId="0">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Deepika Bhardwaj" refreshedDate="43605.673742939813" missingItemsLimit="0" createdVersion="4" refreshedVersion="5" minRefreshableVersion="3" recordCount="305">
  <cacheSource type="worksheet">
    <worksheetSource name="AllData_CampList"/>
  </cacheSource>
  <cacheFields count="31">
    <cacheField name="Status" numFmtId="0">
      <sharedItems containsBlank="1" count="4">
        <s v="Open "/>
        <s v="Closed"/>
        <m/>
        <s v="Relocated"/>
      </sharedItems>
    </cacheField>
    <cacheField name="State" numFmtId="0">
      <sharedItems containsBlank="1" count="3">
        <s v="Kachin"/>
        <s v="Shan_North"/>
        <m/>
      </sharedItems>
    </cacheField>
    <cacheField name="S_Pcode" numFmtId="0">
      <sharedItems containsBlank="1"/>
    </cacheField>
    <cacheField name="District" numFmtId="0">
      <sharedItems containsBlank="1"/>
    </cacheField>
    <cacheField name="D_Pcode" numFmtId="0">
      <sharedItems containsBlank="1"/>
    </cacheField>
    <cacheField name="Township" numFmtId="0">
      <sharedItems containsBlank="1" count="24">
        <s v="Myitkyina"/>
        <s v="Waingmaw"/>
        <s v="Chipwi"/>
        <s v="Bhamo"/>
        <s v="Momauk"/>
        <s v="Mansi"/>
        <s v="Shwegu"/>
        <s v="Puta-O"/>
        <s v="Mogaung"/>
        <s v="Mohnyin"/>
        <s v="Hpakant"/>
        <s v="Khaunglanhpu"/>
        <s v="Injangyang"/>
        <s v="Sumprabum"/>
        <s v="Machanbaw"/>
        <s v="Tanai"/>
        <s v="Namhkan"/>
        <s v="Kutkai"/>
        <s v="Manton"/>
        <s v="Namtu"/>
        <s v="Muse"/>
        <s v="Hseni"/>
        <s v="Hsipaw"/>
        <m/>
      </sharedItems>
    </cacheField>
    <cacheField name="T_Pcode" numFmtId="0">
      <sharedItems containsBlank="1"/>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76" maxValue="220512"/>
    </cacheField>
    <cacheField name="Camp" numFmtId="0">
      <sharedItems containsBlank="1" count="304">
        <s v="Tat Kone Baptist Church"/>
        <s v="Njang Dung Baptist Church "/>
        <s v="Tat Kone Galile Baptist Church"/>
        <s v="Tat Kone Emanuel Church"/>
        <s v="Tat Kone San Pya Baptist Church"/>
        <s v="Shatapru Sut Ngai Tawng"/>
        <s v="Shatapru Thida Aye Baptist Church"/>
        <s v="Man Hkring Baptist Church"/>
        <s v="Shwe Zet Baptist Church"/>
        <s v="Du Kahtawng Baptist"/>
        <s v="Kyun Pin Thar Baptist Church"/>
        <s v="Le Kone Ziun Baptist Church "/>
        <s v="Maliyang Baptist Church"/>
        <s v="Jan Mai Kawng Baptist Church"/>
        <s v="Myay Myint Baptist Church"/>
        <s v="Jan Mai Kawng Catholic Church"/>
        <s v="Maw Hpawng Hka Nan Baptist Church"/>
        <s v="Maw Hpawng Lhaovo Baptist Church"/>
        <s v="Tat Kone COC Baptist - Tat Kone Htoi San"/>
        <s v="Wun Tho Buddhist Monastery"/>
        <s v="Nan Kway St. John Catholic Church"/>
        <s v="Qtr. 2 Myoma Baptist Church"/>
        <s v="Mading Baptist Church"/>
        <s v="Qtr. 4 Monestry (Thargaya Thayett Taw)"/>
        <s v="Hkat Cho "/>
        <s v="Maina Catholic Church (St. Joseph)"/>
        <s v="Qtr. 3 Mu-yin  Baptist Church"/>
        <s v="Maina AG Church"/>
        <s v="Qtr. 2 Lhaovo Baptist Church"/>
        <s v="Nawng Hee Village"/>
        <s v="Thargaya Lisu Baptist Church"/>
        <s v="Nawng Si Paw Village - Inn Lay"/>
        <s v="Moke Lwe Village - Hkar Shi"/>
        <s v="Waingmaw Baptist Zonal Office"/>
        <s v="Waingmaw AG Church"/>
        <s v="Chipwi KBC camp"/>
        <s v="Lisu Boarding-House"/>
        <s v="AD-2000 Tharthana Compound"/>
        <s v="Mu-yin Baptist Church"/>
        <s v="Htoi San Church"/>
        <s v="Yoe Kyi Monastery"/>
        <s v="Women's Affairs Association Building"/>
        <s v="Lan Jaw "/>
        <s v="Gant Gwin"/>
        <s v="Nant Hlaing Church"/>
        <s v="Kannar Yeik Thar"/>
        <s v="Momauk Baptist Church"/>
        <s v="Myo Thit "/>
        <s v="Man Bung Catholic compound"/>
        <s v="Mansi Baptist Church"/>
        <s v="Shwe Gu Baptist Church"/>
        <s v="Shwe Gu Catholic Church"/>
        <s v="Ta Gun Taing Monastery (Shwe Kyi Na)"/>
        <s v="Loi Je Catholic Church"/>
        <s v="Momauk Catholic Church (St. Patrick)"/>
        <s v="Mandalay Monestry"/>
        <s v="Ni Thaw Ka Monestry"/>
        <s v="Tarli "/>
        <s v="Loi Je Lisu Camp"/>
        <s v="Loi Je Baptist Church"/>
        <s v="Man Nawng "/>
        <s v="Mai Khat "/>
        <s v="Phar Kay/Nant Waing "/>
        <s v="Nyaung Na Pin "/>
        <s v="Seng Ja "/>
        <s v="Tote Tan Ward"/>
        <s v="Ma Hawng Baptist Church"/>
        <s v="Kyun Taw Baptist Church "/>
        <s v="Nat Gyi Kone Baptist Church "/>
        <s v="St. Patrick Catholic Church "/>
        <s v="Maw Wan, Mu-yin Baptist Church"/>
        <s v="La Ja"/>
        <s v="Nant Ma Hpit Catholic Church"/>
        <s v="Yumar Baptist Church"/>
        <s v="Chin Church, Seik Mu"/>
        <s v="Border Post 8"/>
        <s v="Hkau Shau (BP 12)"/>
        <s v="Nant Mun"/>
        <s v="Nga Pyaw Taw Baptist Nursery School "/>
        <s v="Nga Pyaw Taw Roman Catholic Church"/>
        <s v="Maw Wan, Kyauk Hlaing Gu Pagoda Compound"/>
        <s v="Maw Wan, Kachin Baptist Church"/>
        <s v="Chin(Zomi) Baptist Church"/>
        <s v="Maw Wan, Myo Oo Pagoda"/>
        <s v="Maw Wan, Catholic Church"/>
        <s v="Maga Yang "/>
        <s v="Aye Mya Tharyar Church of Christ "/>
        <s v="Mashi Kahtawng Catholic Church"/>
        <s v="Mashi Kahtawng Baptist  Church"/>
        <s v="Mashi Kahtawng Rakhine traditional group"/>
        <s v="Mashi Kahtawng Evangelical Church"/>
        <s v="Mashi Kahtawng Yaung Chi Oo Thi la shin Monestry"/>
        <s v="Mashi Kahtawng Municipal Dammar Yone"/>
        <s v="Mashi Kahtawng Myo Oo Taw Ya Monestry"/>
        <s v="Mashi Kahtawng Shan Traditional Monestry"/>
        <s v="Thiri Mingalar Manizay Yone, Myoma Quarter"/>
        <s v="Parami, Charity Office, MyoMa Quarter"/>
        <s v="Pajau - Jan Mai"/>
        <s v="San Kyel, Masoe Yein Monestry"/>
        <s v="Je Yang Hka "/>
        <s v="Maw Si Zar, Thiriyardanar Sein, Damma Compound, Lone Khin"/>
        <s v="Ma Mon Buddhist Monastery"/>
        <s v="Sa Baw Sarsana Parla Monastery"/>
        <s v="Hpun Lum Yang "/>
        <s v="Tar Ma Hkan Buddhist Monastery, Haung Par"/>
        <s v="Zai Awng - Mung Ga Zup"/>
        <s v="Dum Bung "/>
        <s v="Border Post 10"/>
        <s v="Pa Kahtawng "/>
        <s v="Lana Zup Ja "/>
        <s v="Laiza Market 3 - Laiza Gat"/>
        <s v="Manau Compound"/>
        <s v="Bum Tsit Pa "/>
        <s v="Nhkawng Pa "/>
        <s v="Man Wing Catholic Church"/>
        <s v="Man Wing Baptist Church"/>
        <s v="Man Wing- IDPs in Host"/>
        <s v="Lawk Awng Mare D. (Sinbo Area)"/>
        <s v="Hlaing Naung Baptist"/>
        <s v="Post 6 Camp"/>
        <s v="Pa Dauk Myaing(Pa La Na)"/>
        <s v="IDPs in Host "/>
        <s v="Lisu Baptist Church, Maw Wan Ward"/>
        <s v="5 Ward RC Church(lon Khin)"/>
        <s v="Lung Kawk  ( Hka Hkye Zup)"/>
        <s v="Nam Hka Mare (west of Man Wing)"/>
        <s v="Nam Lim Pa - Scattered IDPs in forest"/>
        <s v="Lawk Hkawng Ginwang"/>
        <s v="Baptist Church, Hmaw Si Sar(Lon Khin)"/>
        <s v="Dhama Rakhita, Nyein Chan Tar Yar Ward(Lon Khin)"/>
        <s v="AG Church, Hmaw Si Sa"/>
        <s v="Daw Hpum Yang Ninghtawn"/>
        <s v="Lisu Baptist Church, Maw Shan Vil,. Seik Mu"/>
        <s v="Rawan Baptist Church, Maw Shan Vil., Seik Mu"/>
        <s v="Ward 2 Sai Taung Baptist Church, Seik Mu "/>
        <s v="AG Church, Maw Wan"/>
        <s v="Hmaw Wan, Anglican"/>
        <s v="Nam Ma Phyit, COC"/>
        <s v="Away Yar Rama Monastery, Ka Day village"/>
        <s v="1 Ward, Sein Yadanar Company(Lon Khin)"/>
        <s v="Baptist Church, Sai Ra village"/>
        <s v="Anglican Church, Hmaw Si Sar"/>
        <s v="Phan Khar Kone"/>
        <s v="Wrad(5) Christian Association"/>
        <s v="Aung Thar Church"/>
        <s v="Muring Baptist Church, Awng Ra, Wa Ra Zut VT"/>
        <s v="May Di Ka Rama Monastery(Lon Khin)"/>
        <s v="5 Ward Baptist Church(lon Khin)"/>
        <s v="Ei Wan Gali Asso., Ward 1, Seik Mu"/>
        <s v="Lhaovao Baptist Church (LBC)"/>
        <s v="IDPs in Host"/>
        <s v="Sai Nai Baptish Church, Maw Shan Vil., Seki Mu"/>
        <s v="Ward 2 Cahotlic Church, Seik Mu"/>
        <s v="Free Christian Asso., Ward 1, Seik Mu"/>
        <s v="Baptist Church, Naung Hmee VT"/>
        <s v="Hmaw Wan, Baptist Christian Church"/>
        <s v="Khun Sint Village"/>
        <s v="Sumprabum"/>
        <s v="IDP Boarding School, A Len Bum"/>
        <s v="Pan Wa"/>
        <s v="Maing Khaung Catholic Church"/>
        <s v="Saw Zam"/>
        <s v="Inn Lel Yan - IDPs in Host"/>
        <s v="Man Wing Catholic Church II"/>
        <s v="Man Ting"/>
        <s v="Host Families"/>
        <s v="Hpakant Baptist Church, Nam Ma Hpit"/>
        <s v="Zomee Baptist Church camp, Hmaw Wan"/>
        <s v="Lagatyan "/>
        <s v="Mung Ding Pa  (Boarder)"/>
        <s v="Nam Lim Pa"/>
        <s v="Man Wing Baptist Church Cultural Compound"/>
        <s v="Hopin -IDPs in Host"/>
        <s v="Nam Lim Pa    (Boarding School)"/>
        <s v="Moenyin- IDPs in Host"/>
        <s v="Thu Kha Waddy"/>
        <s v="Man Kawng Baptist Church"/>
        <s v="Man Kawng Catholic Church"/>
        <s v="Ban Hkung Yang (Boarding School)"/>
        <s v="Ban Hkung (School)"/>
        <s v="Ban Hkung Yang"/>
        <s v="IDPs scattered in South Mansi"/>
        <s v="Lung Sut"/>
        <s v="Si Hkan Gyi"/>
        <s v="Naung Khaing"/>
        <s v="Machanbaw - KBC"/>
        <s v="St. Patrick Church, Bhamo"/>
        <s v="Sar Hmaw - KBC"/>
        <s v="Tharthana Ahlin Yaung New Monastery"/>
        <s v="Ndup Yang"/>
        <s v="Bum Tsit Pa Camp II"/>
        <s v="Salang Yang"/>
        <s v="Shar Du Zut KBC church "/>
        <s v="Shar Du Zut RC church"/>
        <s v="Muyin church (Aung Yar pre-school compound)"/>
        <s v="Ku Day Maw KBC"/>
        <s v="Hka Shi"/>
        <s v="Lawng Hkang Shait Yang Camp​ ( Lel Pyin)​ "/>
        <s v="St. Joseph Tanai RC camp "/>
        <s v="Sar Hmaw - ICM"/>
        <s v="Tanai KBC Camp"/>
        <s v="Ma Hawng RC "/>
        <s v="Tanai CoC"/>
        <s v="Ka Bu Dam CoC"/>
        <s v="Dawthponeyan Boarding School"/>
        <s v="Mung Ding Pa "/>
        <s v="Wara Zup KBC Church"/>
        <s v="A Lo Taw Pyae monastery"/>
        <s v="Sadung"/>
        <s v="Thar Ta Na Aung San monastery"/>
        <s v="Myo Oo St. Dominic RC Church"/>
        <s v="Namti Labraw Yang KBC Camp"/>
        <s v="Tang Hpre RC Church"/>
        <s v="Jaw Masat Camp"/>
        <s v="Ti Yang Zup"/>
        <s v="Karmaing RC Church"/>
        <s v="Tanai AG Church "/>
        <s v="Pa Dauk Myaing(Pa La Na)-II"/>
        <s v="Nam Hkam (KBC Jaw Wang)"/>
        <s v="Namti"/>
        <s v="Nam Hkam Catholic Church ( St. Thomas I)"/>
        <s v="AG Church Pa Ma Tee"/>
        <s v="Nam Hkam - Nay Win Ni (Palawng)"/>
        <s v="Mungji Pa Dabang (Baptist Church)         "/>
        <s v="Nam Hpak Ka Mare "/>
        <s v="Mandung - Jinghpaw"/>
        <s v="Nam Tu Baptist"/>
        <s v="Kutkai downtown (KBC Church)"/>
        <s v="Kutkai downtown (RC Church)"/>
        <s v="Mine Yu Lay village ( Old)"/>
        <s v="Zup Aung Camp"/>
        <s v="Mandung - RC"/>
        <s v="Muse Baptist Church"/>
        <s v="Nam Hkam (KBC Jaw Wang) II"/>
        <s v="Namhkan - Pang Long KBC"/>
        <s v="Muse Catholic Church"/>
        <s v="Nam Hkam Malut Jak "/>
        <s v="Mungji Pa Dabang (Catholic Church)"/>
        <s v="Nam Sa Larp"/>
        <s v="Mung Baw "/>
        <s v="Pan Ta Pyae"/>
        <s v="Mong Wee Shan"/>
        <s v="Nam Hpak Ka Ta'ang ( Aung Tha Pyay)"/>
        <s v="Howa"/>
        <s v="Nam Hkyet"/>
        <s v="Munekoe Pa (Giwang) - Hka San (Mung  Go  Pa ) "/>
        <s v="Mung Hawm "/>
        <s v="Kone Khem Camp"/>
        <s v="Lisu Church Namtu"/>
        <s v="Man Kaung/Naung Ti Kyar Village"/>
        <s v="Kutkai downtown (KBC Church-2)"/>
        <s v="Mungji Pa Dabang (RC Church)         "/>
        <s v="Man Loi"/>
        <s v="Hpai Kawng Mare"/>
        <s v="Nam Hkam Catholic Church ( St. Thomas II)"/>
        <s v="Nam Hkawng"/>
        <s v="Narte"/>
        <s v="Hpai Kawng"/>
        <s v="Nam Tu RC"/>
        <s v="Galeng (Kachin)"/>
        <s v="Galeng (Palaung) &amp; Kone Khem"/>
        <s v="Kyu Sot"/>
        <s v="Pan Law"/>
        <m/>
        <s v="Le Kone Bethlehem Church"/>
        <s v="Maina Lawang Baptist Church"/>
        <s v="Maina KBC (Bawng Ring)"/>
        <s v="Shing Jai"/>
        <s v="Hpare Hkyer - BP6"/>
        <s v="New Pang Ku "/>
        <s v="Man Sa"/>
        <s v="Mong Wee Ta'ang"/>
        <s v="Robert Church"/>
        <s v="Woi Chyai "/>
        <s v="Tsan Lun - Namjarap"/>
        <s v="Nawng Ing (Indawgyi) Baptist Church  "/>
        <s v="Shwe Myint Thar Monastry "/>
        <s v="Namtu RC"/>
        <s v="Namtu KBC 1"/>
        <s v="Namtu KBC 2"/>
        <s v="Maing Khaung"/>
        <s v="KBC (Ho Mun Ward)"/>
        <s v="Monastery (Myauk Kyaung)_North ward"/>
        <s v="Kamahtan Kyaung_(South ward)"/>
        <s v="Jwan Jaw KBC"/>
        <s v="Aung Mingalar_(Swan Saw ward)"/>
        <s v="Namt Hkun monastery"/>
        <s v="St. Peter Church (Ho Mun ward)"/>
        <s v="Gawrakha Youth Association"/>
        <s v="B.E.H.S 2 (Ho Mun ward)"/>
        <s v="B.E.H.S 4 (Ho Mun ward)"/>
        <s v="Wein Sai Church "/>
        <s v="Sha-It Yang"/>
        <s v="Lan Gwa St.Paul RC Church"/>
        <s v="Emmanuel AG Church"/>
        <s v="Trinity Camp"/>
        <s v="Lawa RC Church"/>
        <s v="Waimaw Baptist Zonal Office 2"/>
        <s v="Maina Relocation Site"/>
        <s v="Mai Yu Lay New (Ta'ang)"/>
        <s v="Yi Hku Man Hkan "/>
        <s v="Hu Hku &amp; Ho Hko"/>
        <s v="Hka Garan Yang "/>
        <s v="Pang Hkawn Yang "/>
      </sharedItems>
    </cacheField>
    <cacheField name="CP_Pcode" numFmtId="0">
      <sharedItems containsBlank="1" count="303">
        <s v="MMR001CMP001"/>
        <s v="MMR001CMP002"/>
        <s v="MMR001CMP003"/>
        <s v="MMR001CMP004"/>
        <s v="MMR001CMP005"/>
        <s v="MMR001CMP006"/>
        <s v="MMR001CMP007"/>
        <s v="MMR001CMP008"/>
        <s v="MMR001CMP009"/>
        <s v="MMR001CMP010"/>
        <s v="MMR001CMP013"/>
        <s v="MMR001CMP014"/>
        <s v="MMR001CMP016"/>
        <s v="MMR001CMP018"/>
        <s v="MMR001CMP017"/>
        <s v="MMR001CMP019"/>
        <s v="MMR001CMP020"/>
        <s v="MMR001CMP021"/>
        <s v="MMR001CMP023"/>
        <s v="MMR001CMP022"/>
        <s v="MMR001CMP024"/>
        <s v="MMR001CMP025"/>
        <s v="MMR001CMP027"/>
        <s v="MMR001CMP026"/>
        <s v="MMR001CMP028"/>
        <s v="MMR001CMP029"/>
        <s v="MMR001CMP030"/>
        <s v="MMR001CMP031"/>
        <s v="MMR001CMP032"/>
        <s v="MMR001CMP033"/>
        <s v="MMR001CMP037"/>
        <s v="MMR001CMP034"/>
        <s v="MMR001CMP035"/>
        <s v="MMR001CMP036"/>
        <s v="MMR001CMP038"/>
        <s v="MMR001CMP042"/>
        <s v="MMR001CMP049"/>
        <s v="MMR001CMP050"/>
        <s v="MMR001CMP051"/>
        <s v="MMR001CMP052"/>
        <s v="MMR001CMP053"/>
        <s v="MMR001CMP044"/>
        <s v="MMR001CMP045"/>
        <s v="MMR001CMP046"/>
        <s v="MMR001CMP054"/>
        <s v="MMR001CMP048"/>
        <s v="MMR001CMP056"/>
        <s v="MMR001CMP061"/>
        <s v="MMR001CMP062"/>
        <s v="MMR001CMP066"/>
        <s v="MMR001CMP067"/>
        <s v="MMR001CMP068"/>
        <s v="MMR001CMP055"/>
        <s v="MMR001CMP069"/>
        <s v="MMR001CMP057"/>
        <s v="MMR001CMP058"/>
        <s v="MMR001CMP059"/>
        <s v="MMR001CMP060"/>
        <s v="MMR001CMP070"/>
        <s v="MMR001CMP071"/>
        <s v="MMR001CMP063"/>
        <s v="MMR001CMP064"/>
        <s v="MMR001CMP065"/>
        <s v="MMR001CMP072"/>
        <s v="MMR001CMP073"/>
        <s v="MMR001CMP075"/>
        <s v="MMR001CMP077"/>
        <s v="MMR001CMP078"/>
        <s v="MMR001CMP079"/>
        <s v="MMR001CMP080"/>
        <s v="MMR001CMP091"/>
        <s v="MMR001CMP074"/>
        <s v="MMR001CMP103"/>
        <s v="MMR001CMP105"/>
        <s v="MMR001CMP109"/>
        <s v="MMR001CMP113"/>
        <s v="MMR001CMP115"/>
        <s v="MMR001CMP081"/>
        <s v="MMR001CMP082"/>
        <s v="MMR001CMP083"/>
        <s v="MMR001CMP084"/>
        <s v="MMR001CMP085"/>
        <s v="MMR001CMP086"/>
        <s v="MMR001CMP088"/>
        <s v="MMR001CMP090"/>
        <s v="MMR001CMP119"/>
        <s v="MMR001CMP092"/>
        <s v="MMR001CMP093"/>
        <s v="MMR001CMP094"/>
        <s v="MMR001CMP095"/>
        <s v="MMR001CMP096"/>
        <s v="MMR001CMP097"/>
        <s v="MMR001CMP098"/>
        <s v="MMR001CMP099"/>
        <s v="MMR001CMP100"/>
        <s v="MMR001CMP101"/>
        <s v="MMR001CMP102"/>
        <s v="MMR001CMP120"/>
        <s v="MMR001CMP104"/>
        <s v="MMR001CMP121"/>
        <s v="MMR001CMP106"/>
        <s v="MMR001CMP107"/>
        <s v="MMR001CMP108"/>
        <s v="MMR001CMP122"/>
        <s v="MMR001CMP110"/>
        <s v="MMR001CMP111"/>
        <s v="MMR001CMP123"/>
        <s v="MMR001CMP114"/>
        <s v="MMR001CMP126"/>
        <s v="MMR001CMP128"/>
        <s v="MMR001CMP117"/>
        <s v="MMR001CMP118"/>
        <s v="MMR001CMP129"/>
        <s v="MMR001CMP131"/>
        <s v="MMR001CMP132"/>
        <s v="MMR001CMP133"/>
        <s v="MMR001CMP134"/>
        <s v="MMR001CMP147"/>
        <s v="MMR001CMP148"/>
        <s v="MMR001CMP160"/>
        <s v="MMR001CMP162"/>
        <s v="MMR001CMP163"/>
        <s v="MMR001CMP167"/>
        <s v="MMR001CMP168"/>
        <s v="MMR001CMP135"/>
        <s v="MMR001CMP136"/>
        <s v="MMR001CMP137"/>
        <s v="MMR001CMP146"/>
        <s v="MMR001CMP169"/>
        <s v="MMR001CMP174"/>
        <s v="MMR001CMP176"/>
        <s v="MMR001CMP153"/>
        <s v="MMR001CMP181"/>
        <s v="MMR001CMP182"/>
        <s v="MMR001CMP184"/>
        <s v="MMR001CMP190"/>
        <s v="MMR001CMP191"/>
        <s v="MMR001CMP192"/>
        <s v="MMR001CMP170"/>
        <s v="MMR001CMP171"/>
        <s v="MMR001CMP172"/>
        <s v="MMR001CMP173"/>
        <s v="MMR001CMP193"/>
        <s v="MMR001CMP175"/>
        <s v="MMR001CMP194"/>
        <s v="MMR001CMP177"/>
        <s v="MMR001CMP178"/>
        <s v="MMR001CMP179"/>
        <s v="MMR001CMP180"/>
        <s v="MMR001CMP195"/>
        <s v="MMR001CMP196"/>
        <s v="MMR001CMP183"/>
        <s v="MMR001CMP197"/>
        <s v="MMR001CMP185"/>
        <s v="MMR001CMP186"/>
        <s v="MMR001CMP188"/>
        <s v="MMR001CMP189"/>
        <s v="MMR001CMP200"/>
        <s v="MMR001CMP206"/>
        <s v="MMR001CMP208"/>
        <s v="MMR001CMP210"/>
        <s v="MMR001CMP223"/>
        <s v="MMR001CMP225"/>
        <s v="MMR001CMP227"/>
        <s v="MMR001CMP228"/>
        <s v="MMR001CMP198"/>
        <s v="MMR001CMP199"/>
        <s v="MMR001CMP229"/>
        <s v="MMR001CMP201"/>
        <s v="MMR001CMP202"/>
        <s v="MMR001CMP203"/>
        <s v="MMR001CMP204"/>
        <s v="MMR001CMP230"/>
        <s v="MMR001CMP232"/>
        <s v="MMR001CMP209"/>
        <s v="MMR001CMP233"/>
        <s v="MMR001CMP211"/>
        <s v="MMR001CMP212"/>
        <s v="MMR001CMP213"/>
        <s v="MMR001CMP214"/>
        <s v="MMR001CMP215"/>
        <s v="MMR001CMP216"/>
        <s v="MMR001CMP217"/>
        <s v="MMR001CMP234"/>
        <s v="MMR001CMP219"/>
        <s v="MMR001CMP220"/>
        <s v="MMR001CMP221"/>
        <s v="MMR001CMP222"/>
        <s v="MMR001CMP236"/>
        <s v="MMR001CMP224"/>
        <s v="MMR001CMP238"/>
        <s v="MMR001CMP226"/>
        <s v="MMR001CMP239"/>
        <s v="MMR001CMP244"/>
        <s v="MMR001CMP246"/>
        <s v="MMR001CMP247"/>
        <s v="MMR001CMP231"/>
        <s v="MMR001CMP248"/>
        <s v="MMR001CMP250"/>
        <s v="MMR001CMP251"/>
        <s v="MMR001CMP235"/>
        <s v="MMR001CMP253"/>
        <s v="MMR001CMP237"/>
        <s v="MMR001CMP254"/>
        <s v="MMR001CMP256"/>
        <s v="MMR001CMP240"/>
        <s v="MMR001CMP241"/>
        <s v="MMR001CMP242"/>
        <s v="MMR001CMP243"/>
        <s v="MMR001CMP258"/>
        <s v="MMR001CMP245"/>
        <s v="MMR001CMP259"/>
        <s v="MMR001CMP261"/>
        <s v="MMR001CMP264"/>
        <s v="MMR001CMP265"/>
        <s v="MMR001CMP267"/>
        <s v="MMR001CMP270"/>
        <s v="MMR001CMP252"/>
        <s v="MMR001CMP271"/>
        <s v="MMR015CMP001"/>
        <s v="MMR001CMP255"/>
        <s v="MMR015CMP003"/>
        <s v="MMR001CMP257"/>
        <s v="MMR015CMP004"/>
        <s v="MMR015CMP006"/>
        <s v="MMR015CMP007"/>
        <s v="MMR015CMP009"/>
        <s v="MMR015CMP014"/>
        <s v="MMR015CMP016"/>
        <s v="MMR015CMP017"/>
        <s v="MMR015CMP018"/>
        <s v="MMR015CMP020"/>
        <s v="MMR015CMP209"/>
        <s v="MMR015CMP213"/>
        <s v="MMR015CMP214"/>
        <s v="MMR015CMP215"/>
        <s v="MMR015CMP216"/>
        <s v="MMR015CMP002"/>
        <s v="MMR015CMP217"/>
        <s v="MMR015CMP218"/>
        <s v="MMR015CMP005"/>
        <s v="MMR015CMP221"/>
        <s v="MMR015CMP224"/>
        <s v="MMR015CMP225"/>
        <s v="MMR015CMP010"/>
        <s v="MMR015CMP011"/>
        <s v="MMR015CMP012"/>
        <s v="MMR015CMP227"/>
        <s v="MMR015CMP015"/>
        <s v="MMR015CMP232"/>
        <s v="MMR015CMP244"/>
        <s v="MMR015CMP245"/>
        <s v="MMR015CMP019"/>
        <s v="MMR015CMP246"/>
        <s v="MMR015CMP022"/>
        <s v="MMR015CMP024"/>
        <s v="MMR015CMP139"/>
        <s v="MMR015CMP207"/>
        <s v="MMR015CMP247"/>
        <s v="MMR015CMP210"/>
        <s v="MMR015CMP211"/>
        <s v="MMR015CMP212"/>
        <s v="MMR015CMP248"/>
        <s v="MMR015CMP249"/>
        <m/>
        <s v="MMR001CMP015"/>
        <s v="MMR001CMP039"/>
        <s v="MMR001CMP040"/>
        <s v="MMR001CMP041"/>
        <s v="MMR001CMP043"/>
        <s v="MMR015CMP219"/>
        <s v="MMR015CMP222"/>
        <s v="MMR015CMP223"/>
        <s v="MMR001CMP047"/>
        <s v="MMR001CMP116"/>
        <s v="MMR015CMP226"/>
        <s v="MMR001CMP152"/>
        <s v="MMR015CMP228"/>
        <s v="MMR015CMP229"/>
        <s v="MMR015CMP230"/>
        <s v="MMR015CMP231"/>
        <s v="MMR001CMP218"/>
        <s v="MMR015CMP233"/>
        <s v="MMR015CMP234"/>
        <s v="MMR015CMP235"/>
        <s v="MMR015CMP236"/>
        <s v="MMR015CMP237"/>
        <s v="MMR015CMP238"/>
        <s v="MMR015CMP239"/>
        <s v="MMR015CMP240"/>
        <s v="MMR015CMP241"/>
        <s v="MMR015CMP242"/>
        <s v="MMR015CMP243"/>
        <s v="MMR001CMP249"/>
        <s v="MMR001CMP260"/>
        <s v="MMR001CMP262"/>
        <s v="MMR001CMP263"/>
        <s v="MMR001CMP268"/>
        <s v="MMR001CMP269"/>
        <s v="MMR001CMP272"/>
        <s v="MMR015CMP220"/>
        <s v="MMR015CMP250"/>
        <s v="MMR001CMP273"/>
      </sharedItems>
    </cacheField>
    <cacheField name="Longitude" numFmtId="0">
      <sharedItems containsString="0" containsBlank="1" containsNumber="1" minValue="96.269199999999998" maxValue="98.475719999999995" count="209">
        <n v="97.386718999999999"/>
        <n v="97.394547000000003"/>
        <n v="97.377662999999998"/>
        <n v="97.389778000000007"/>
        <n v="97.382192000000003"/>
        <n v="97.399628000000007"/>
        <n v="97.418004999999994"/>
        <n v="97.418694000000002"/>
        <n v="97.419403000000003"/>
        <n v="97.382997575757599"/>
        <n v="97.405202777777802"/>
        <n v="97.403402307692303"/>
        <n v="97.4113064583333"/>
        <n v="97.370900000000006"/>
        <n v="97.376671999999999"/>
        <n v="97.373361000000003"/>
        <n v="97.2843958974359"/>
        <n v="97.290952037037002"/>
        <n v="97.379987"/>
        <n v="97.403878500000005"/>
        <n v="97.359320179999997"/>
        <n v="97.438432380952406"/>
        <n v="97.451965000000001"/>
        <n v="97.432495000000003"/>
        <n v="97.404195925926004"/>
        <n v="97.437782499999997"/>
        <n v="97.437472666666693"/>
        <n v="97.433419259259296"/>
        <n v="97.441166388888902"/>
        <n v="97.345039"/>
        <n v="97.428251153846105"/>
        <m/>
        <n v="97.421104"/>
        <n v="97.438259000000002"/>
        <n v="97.444283730158702"/>
        <n v="98.131550000000004"/>
        <n v="97.240183461538507"/>
        <n v="97.238829999999993"/>
        <n v="97.234200000000001"/>
        <n v="97.236919999999998"/>
        <n v="97.240639999999999"/>
        <n v="98.354146999999998"/>
        <n v="97.315860000000001"/>
        <n v="97.221556500999995"/>
        <n v="97.344359999999995"/>
        <n v="97.407787999999996"/>
        <n v="97.325019999999995"/>
        <n v="97.291820000000001"/>
        <n v="96.807353000000006"/>
        <n v="97.227789999999999"/>
        <n v="97.724566999999993"/>
        <n v="97.346950000000007"/>
        <n v="97.346940000000004"/>
        <n v="97.347740000000002"/>
        <n v="97.416826999999998"/>
        <n v="97.717133000000004"/>
        <n v="97.718582999999995"/>
        <n v="97.321659999999994"/>
        <n v="97.409474000000003"/>
        <n v="97.429860000000005"/>
        <n v="97.724483000000006"/>
        <n v="97.710864000000001"/>
        <n v="97.415289999999999"/>
        <n v="96.942279999999997"/>
        <n v="96.922619999999995"/>
        <n v="96.948740000000001"/>
        <n v="96.367059999999995"/>
        <n v="96.319829999999996"/>
        <n v="98.144502500000002"/>
        <n v="96.341352999999998"/>
        <n v="96.306910999999999"/>
        <n v="96.283377000000002"/>
        <n v="97.915833000000006"/>
        <n v="97.807182999999995"/>
        <n v="96.364949999999993"/>
        <n v="96.312790000000007"/>
        <n v="96.31326"/>
        <n v="96.316210999999996"/>
        <n v="97.715230000000005"/>
        <n v="96.310928000000004"/>
        <n v="97.751389000000003"/>
        <n v="97.568331999999998"/>
        <n v="96.343350000000001"/>
        <n v="97.573126000000002"/>
        <n v="97.756789999999995"/>
        <n v="97.537099999999995"/>
        <n v="97.837778"/>
        <n v="97.752667000000002"/>
        <n v="97.625617000000005"/>
        <n v="97.551507000000001"/>
        <n v="97.550267000000005"/>
        <n v="97.609832999999995"/>
        <n v="97.669366999999994"/>
        <n v="97.578490000000002"/>
        <n v="97.589979999999997"/>
        <n v="97.588291999999996"/>
        <n v="96.705960000000005"/>
        <n v="97.990555999999998"/>
        <n v="97.4345"/>
        <n v="97.228835000000004"/>
        <n v="96.316400000000002"/>
        <n v="96.361609999999999"/>
        <n v="97.585667000000001"/>
        <n v="97.132339999999999"/>
        <n v="96.346469999999997"/>
        <n v="96.35257"/>
        <n v="96.345569999999995"/>
        <n v="96.269199999999998"/>
        <n v="96.279200000000003"/>
        <n v="96.286680000000004"/>
        <n v="96.317350000000005"/>
        <n v="96.316564"/>
        <n v="96.339590000000001"/>
        <n v="96.339870000000005"/>
        <n v="96.359549999999999"/>
        <n v="96.353070000000002"/>
        <n v="97.252650000000003"/>
        <n v="96.354159999999993"/>
        <n v="96.359309999999994"/>
        <n v="96.355270000000004"/>
        <n v="98.129990000000006"/>
        <n v="97.298055000000005"/>
        <n v="96.353030000000004"/>
        <n v="97.348405"/>
        <n v="96.288250000000005"/>
        <n v="96.673805000000002"/>
        <n v="97.343406999999999"/>
        <n v="97.568836000000005"/>
        <n v="97.541793999999996"/>
        <n v="98.377780000000001"/>
        <n v="97.227057000000002"/>
        <n v="98.356260000000006"/>
        <n v="97.561105999999995"/>
        <n v="97.578367"/>
        <n v="97.276591999999994"/>
        <n v="96.793177"/>
        <n v="96.315601999999998"/>
        <n v="97.601243999999994"/>
        <n v="96.808850000000007"/>
        <n v="97.590767"/>
        <n v="96.52534"/>
        <n v="96.366919999999993"/>
        <n v="97.710989999999995"/>
        <n v="97.416121000000004"/>
        <n v="97.58184"/>
        <n v="97.586470000000006"/>
        <n v="96.793999999999997"/>
        <n v="97.239130000000003"/>
        <n v="97.745480999999998"/>
        <n v="97.608249999999998"/>
        <n v="97.75609"/>
        <n v="96.662092000000001"/>
        <n v="96.637"/>
        <n v="97.430321000000006"/>
        <n v="97.461271999999994"/>
        <n v="97.174999999999997"/>
        <n v="97.010629910000006"/>
        <n v="97.104997409999996"/>
        <n v="97.49136"/>
        <n v="97.669557999999995"/>
        <n v="97.670360000000002"/>
        <n v="97.681970000000007"/>
        <n v="98.220614999999995"/>
        <n v="97.818979999999996"/>
        <n v="97.124403000000001"/>
        <n v="97.404089999999997"/>
        <n v="97.926813999999993"/>
        <n v="97.947360000000003"/>
        <n v="97.793019999999999"/>
        <n v="97.837040000000002"/>
        <n v="97.116680000000002"/>
        <n v="97.909400000000005"/>
        <n v="97.700940000000003"/>
        <n v="97.709879999999998"/>
        <n v="97.911647000000002"/>
        <n v="98.248999999999995"/>
        <n v="98.218626999999998"/>
        <n v="98.054946000000001"/>
        <n v="97.358999999999995"/>
        <n v="97.506"/>
        <n v="97.810101000000003"/>
        <n v="98.116817999999995"/>
        <n v="98.129380999999995"/>
        <n v="98.320651999999995"/>
        <n v="98.337999999999994"/>
        <n v="97.848529999999997"/>
        <n v="97.314762999999999"/>
        <n v="98.213958000000005"/>
        <n v="98.115809999999996"/>
        <n v="97.678299999999993"/>
        <n v="98.139397000000002"/>
        <n v="98.352670000000003"/>
        <n v="97.398989"/>
        <n v="97.400671000000003"/>
        <n v="97.409035000000003"/>
        <n v="97.426536944444507"/>
        <n v="97.434855869565197"/>
        <n v="98.025662999999994"/>
        <n v="98.475719999999995"/>
        <n v="97.868876999999998"/>
        <n v="97.504999999999995"/>
        <n v="97.229116811594196"/>
        <n v="97.546893999999995"/>
        <n v="98.221000000000004"/>
        <n v="97.225881000000001"/>
        <n v="97.013800000000003"/>
        <n v="97.431079999999994"/>
        <n v="97.796999999999997"/>
        <n v="97.487258999999995"/>
      </sharedItems>
    </cacheField>
    <cacheField name="Latitude" numFmtId="0">
      <sharedItems containsString="0" containsBlank="1" containsNumber="1" minValue="22.677008000000001"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527"/>
    </cacheField>
    <cacheField name="Total" numFmtId="0">
      <sharedItems containsString="0" containsBlank="1" containsNumber="1" containsInteger="1" minValue="0" maxValue="8721"/>
    </cacheField>
    <cacheField name="Avg" numFmtId="2">
      <sharedItems containsMixedTypes="1" containsNumber="1" minValue="2.75" maxValue="7.242647058823529"/>
    </cacheField>
    <cacheField name="Accessibility" numFmtId="0">
      <sharedItems containsBlank="1" count="3">
        <s v="GCA"/>
        <s v="NGCA"/>
        <m/>
      </sharedItems>
    </cacheField>
    <cacheField name="Affected Population" numFmtId="49">
      <sharedItems containsBlank="1" count="2">
        <s v="IDP"/>
        <m/>
      </sharedItems>
    </cacheField>
    <cacheField name="Type of Accomodation" numFmtId="0">
      <sharedItems containsBlank="1" count="8">
        <s v="Camp"/>
        <s v="Boarding School"/>
        <s v="IDPs in host"/>
        <s v="Camp like setting"/>
        <s v="Rural"/>
        <s v="Host Families"/>
        <m/>
        <s v="Individual House"/>
      </sharedItems>
    </cacheField>
    <cacheField name="Type of Location" numFmtId="0">
      <sharedItems containsBlank="1" count="5">
        <s v="Urban"/>
        <s v="Rural"/>
        <m/>
        <s v="Forest/bush"/>
        <s v="Village"/>
      </sharedItems>
    </cacheField>
    <cacheField name="Opening Date" numFmtId="0">
      <sharedItems containsDate="1" containsBlank="1" containsMixedTypes="1" minDate="2011-03-01T00:00:00" maxDate="2019-04-01T00:00:00" count="60">
        <d v="2011-06-01T00:00:00"/>
        <d v="2011-07-01T00:00:00"/>
        <d v="2011-08-01T00:00:00"/>
        <d v="2011-10-01T00:00:00"/>
        <d v="2012-01-01T00:00:00"/>
        <d v="2012-04-01T00:00:00"/>
        <d v="2012-05-01T00:00:00"/>
        <d v="2012-02-01T00:00:00"/>
        <d v="2013-06-01T00:00:00"/>
        <d v="2013-07-01T00:00:00"/>
        <d v="2011-11-01T00:00:00"/>
        <m/>
        <d v="2012-12-01T00:00:00"/>
        <d v="2012-10-01T00:00:00"/>
        <d v="2011-12-01T00:00:00"/>
        <d v="2012-08-01T00:00:00"/>
        <d v="2013-11-01T00:00:00"/>
        <d v="2012-03-01T00:00:00"/>
        <d v="2012-06-01T00:00:00"/>
        <d v="2013-08-01T00:00:00"/>
        <d v="2014-03-03T00:00:00"/>
        <d v="2013-01-01T00:00:00"/>
        <d v="2011-09-01T00:00:00"/>
        <d v="2012-07-01T00:00:00"/>
        <d v="2013-10-01T00:00:00"/>
        <d v="2014-06-01T00:00:00"/>
        <d v="2013-04-01T00:00:00"/>
        <d v="2014-04-01T00:00:00"/>
        <d v="2015-06-25T00:00:00"/>
        <d v="2013-09-01T00:00:00"/>
        <d v="2015-05-01T00:00:00"/>
        <d v="2015-02-01T00:00:00"/>
        <d v="2016-08-02T00:00:00"/>
        <d v="2015-01-15T00:00:00"/>
        <d v="2017-06-01T00:00:00"/>
        <d v="2017-01-06T00:00:00"/>
        <d v="2017-07-13T00:00:00"/>
        <d v="2016-01-01T00:00:00"/>
        <d v="2017-01-16T00:00:00"/>
        <d v="2018-04-22T00:00:00"/>
        <d v="2018-07-31T00:00:00"/>
        <d v="2018-05-30T00:00:00"/>
        <d v="2018-06-01T00:00:00"/>
        <d v="2017-08-15T00:00:00"/>
        <d v="2017-08-16T00:00:00"/>
        <d v="2013-12-01T00:00:00"/>
        <d v="2014-03-05T00:00:00"/>
        <d v="2014-11-04T00:00:00"/>
        <d v="2014-04-18T00:00:00"/>
        <d v="2014-04-05T00:00:00"/>
        <d v="2016-03-01T00:00:00"/>
        <d v="2016-02-01T00:00:00"/>
        <d v="2016-12-20T00:00:00"/>
        <d v="2017-02-15T00:00:00"/>
        <d v="2011-03-01T00:00:00"/>
        <d v="2017-01-17T00:00:00"/>
        <d v="2016-03-06T00:00:00"/>
        <s v="20.04.2018"/>
        <d v="2019-03-31T00:00:00"/>
        <d v="2018-04-30T00:00:00"/>
      </sharedItems>
    </cacheField>
    <cacheField name="Responsible Agency" numFmtId="0">
      <sharedItems containsBlank="1" count="11">
        <s v="KBC-MYT"/>
        <s v="Shalom"/>
        <s v="KBC-MKA"/>
        <s v="KMSS-MYT"/>
        <m/>
        <s v="KBC"/>
        <s v="KMSS-BMO"/>
        <s v="KBC-BMO"/>
        <s v="uncovered"/>
        <s v="KBC-NSS"/>
        <s v="KMSS-LSO"/>
      </sharedItems>
    </cacheField>
    <cacheField name="Source" numFmtId="0">
      <sharedItems containsBlank="1"/>
    </cacheField>
    <cacheField name="Update Date" numFmtId="0">
      <sharedItems containsDate="1" containsBlank="1" containsMixedTypes="1" minDate="2013-01-15T00:00:00" maxDate="2019-05-09T00:00:00"/>
    </cacheField>
    <cacheField name="Comment" numFmtId="0">
      <sharedItems containsBlank="1" longText="1"/>
    </cacheField>
    <cacheField name="Nearest_Town" numFmtId="0">
      <sharedItems containsBlank="1"/>
    </cacheField>
    <cacheField name="Distance" numFmtId="165">
      <sharedItems containsBlank="1" containsMixedTypes="1" containsNumber="1" minValue="0" maxValue="51"/>
    </cacheField>
    <cacheField name="Distance_Cat" numFmtId="0">
      <sharedItems containsBlank="1" containsMixedTypes="1" containsNumber="1" containsInteger="1" minValue="1" maxValue="1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167">
  <r>
    <n v="66.900000000000006"/>
    <d v="2011-11-02T00:00:00"/>
    <x v="0"/>
    <s v="KBC"/>
    <s v="Kachin"/>
    <s v="Myitkyina"/>
    <s v="Du Kahtawng Qtr. 14"/>
    <m/>
    <m/>
    <m/>
    <n v="0"/>
    <n v="5"/>
    <n v="0"/>
    <n v="5"/>
    <n v="5"/>
    <n v="5"/>
    <n v="5"/>
    <m/>
    <m/>
    <m/>
    <m/>
    <m/>
    <m/>
    <m/>
    <n v="0"/>
    <n v="0"/>
    <n v="0"/>
    <n v="0"/>
    <n v="0"/>
    <n v="0"/>
    <n v="0"/>
    <n v="0"/>
    <n v="0"/>
    <n v="0"/>
    <n v="0"/>
    <n v="0"/>
    <n v="0"/>
    <n v="0"/>
    <n v="0"/>
    <n v="0"/>
    <n v="0"/>
    <n v="0"/>
    <s v="MMR001CMP012"/>
    <x v="0"/>
    <x v="0"/>
    <s v="P4"/>
    <n v="1.2286521685710776E-4"/>
    <s v="No"/>
  </r>
  <r>
    <n v="66.900000000000006"/>
    <d v="2011-11-02T00:00:00"/>
    <x v="0"/>
    <s v="KBC"/>
    <s v="Kachin"/>
    <s v="Myitkyina"/>
    <s v="Du Kahtawng Qtr. 4"/>
    <m/>
    <m/>
    <m/>
    <n v="0"/>
    <n v="6"/>
    <n v="0"/>
    <n v="6"/>
    <n v="6"/>
    <n v="6"/>
    <n v="6"/>
    <m/>
    <m/>
    <m/>
    <m/>
    <m/>
    <m/>
    <m/>
    <n v="0"/>
    <n v="0"/>
    <n v="0"/>
    <n v="0"/>
    <n v="0"/>
    <n v="0"/>
    <n v="0"/>
    <n v="0"/>
    <n v="0"/>
    <n v="0"/>
    <n v="0"/>
    <n v="0"/>
    <n v="0"/>
    <n v="0"/>
    <n v="0"/>
    <n v="0"/>
    <n v="0"/>
    <n v="0"/>
    <s v="MMR001CMP010"/>
    <x v="0"/>
    <x v="0"/>
    <s v="P4"/>
    <n v="1.474382602285293E-4"/>
    <s v="No"/>
  </r>
  <r>
    <n v="66.900000000000006"/>
    <d v="2011-11-02T00:00:00"/>
    <x v="0"/>
    <s v="KBC"/>
    <s v="Kachin"/>
    <s v="Myitkyina"/>
    <s v="Du Kahtawng Qtr. 5"/>
    <m/>
    <m/>
    <m/>
    <n v="39"/>
    <n v="8"/>
    <n v="39"/>
    <n v="8"/>
    <n v="8"/>
    <n v="8"/>
    <n v="8"/>
    <m/>
    <m/>
    <m/>
    <m/>
    <m/>
    <m/>
    <m/>
    <n v="0"/>
    <n v="0"/>
    <n v="0"/>
    <n v="0"/>
    <n v="0"/>
    <n v="0"/>
    <n v="0"/>
    <n v="0"/>
    <n v="0"/>
    <n v="0"/>
    <n v="0"/>
    <n v="0"/>
    <n v="0"/>
    <n v="0"/>
    <n v="0"/>
    <n v="0"/>
    <n v="0"/>
    <n v="0"/>
    <s v="MMR001CMP011"/>
    <x v="0"/>
    <x v="0"/>
    <s v="P4"/>
    <n v="1.965843469713724E-4"/>
    <s v="No"/>
  </r>
  <r>
    <n v="66.900000000000006"/>
    <d v="2011-11-02T00:00:00"/>
    <x v="0"/>
    <s v="KBC"/>
    <s v="Kachin"/>
    <s v="Myitkyina"/>
    <s v="Man Hkring Baptist Church"/>
    <m/>
    <m/>
    <m/>
    <n v="112"/>
    <n v="68"/>
    <n v="112"/>
    <n v="68"/>
    <n v="68"/>
    <n v="68"/>
    <n v="68"/>
    <m/>
    <m/>
    <m/>
    <m/>
    <m/>
    <m/>
    <m/>
    <n v="0"/>
    <n v="0"/>
    <n v="0"/>
    <n v="0"/>
    <n v="0"/>
    <n v="0"/>
    <n v="0"/>
    <n v="0"/>
    <n v="0"/>
    <n v="0"/>
    <n v="0"/>
    <n v="0"/>
    <n v="0"/>
    <n v="0"/>
    <n v="0"/>
    <n v="0"/>
    <n v="0"/>
    <n v="0"/>
    <s v="MMR001CMP008"/>
    <x v="0"/>
    <x v="0"/>
    <s v="P4"/>
    <n v="1.6697360343769184E-3"/>
    <s v="No"/>
  </r>
  <r>
    <n v="66.900000000000006"/>
    <d v="2011-11-02T00:00:00"/>
    <x v="0"/>
    <s v="KBC"/>
    <s v="Kachin"/>
    <s v="Myitkyina"/>
    <s v="Shatapru Sut Ngai Tawng"/>
    <m/>
    <m/>
    <m/>
    <n v="219"/>
    <n v="117"/>
    <n v="219"/>
    <n v="117"/>
    <n v="117"/>
    <n v="117"/>
    <n v="117"/>
    <m/>
    <m/>
    <m/>
    <m/>
    <m/>
    <m/>
    <m/>
    <n v="0"/>
    <n v="0"/>
    <n v="0"/>
    <n v="0"/>
    <n v="0"/>
    <n v="0"/>
    <n v="0"/>
    <n v="0"/>
    <n v="0"/>
    <n v="0"/>
    <n v="0"/>
    <n v="0"/>
    <n v="0"/>
    <n v="0"/>
    <n v="0"/>
    <n v="0"/>
    <n v="0"/>
    <n v="0"/>
    <s v="MMR001CMP006"/>
    <x v="0"/>
    <x v="0"/>
    <s v="P4"/>
    <n v="2.87074295809206E-3"/>
    <s v="No"/>
  </r>
  <r>
    <n v="66.900000000000006"/>
    <d v="2011-11-02T00:00:00"/>
    <x v="0"/>
    <s v="KBC"/>
    <s v="Kachin"/>
    <s v="Myitkyina"/>
    <s v="Shatapru Thida Aye Baptist Church"/>
    <m/>
    <m/>
    <m/>
    <n v="2"/>
    <n v="1"/>
    <n v="2"/>
    <n v="1"/>
    <n v="1"/>
    <n v="1"/>
    <n v="1"/>
    <m/>
    <m/>
    <m/>
    <m/>
    <m/>
    <m/>
    <m/>
    <n v="0"/>
    <n v="0"/>
    <n v="0"/>
    <n v="0"/>
    <n v="0"/>
    <n v="0"/>
    <n v="0"/>
    <n v="0"/>
    <n v="0"/>
    <n v="0"/>
    <n v="0"/>
    <n v="0"/>
    <n v="0"/>
    <n v="0"/>
    <n v="0"/>
    <n v="0"/>
    <n v="0"/>
    <n v="0"/>
    <s v="MMR001CMP007"/>
    <x v="0"/>
    <x v="0"/>
    <s v="P4"/>
    <n v="2.4444498765552813E-5"/>
    <s v="No"/>
  </r>
  <r>
    <n v="66.86666666666666"/>
    <d v="2011-11-03T00:00:00"/>
    <x v="0"/>
    <s v="KMSS"/>
    <s v="Kachin"/>
    <s v="Myitkyina"/>
    <s v="Jan Mai Kawng Baptist Church"/>
    <m/>
    <m/>
    <m/>
    <n v="106"/>
    <n v="52"/>
    <n v="106"/>
    <n v="52"/>
    <n v="52"/>
    <n v="52"/>
    <n v="52"/>
    <m/>
    <m/>
    <m/>
    <m/>
    <m/>
    <m/>
    <m/>
    <n v="0"/>
    <n v="0"/>
    <n v="0"/>
    <n v="0"/>
    <n v="0"/>
    <n v="0"/>
    <n v="0"/>
    <n v="0"/>
    <n v="0"/>
    <n v="0"/>
    <n v="0"/>
    <n v="0"/>
    <n v="0"/>
    <n v="0"/>
    <n v="0"/>
    <n v="0"/>
    <n v="0"/>
    <n v="0"/>
    <s v="MMR001CMP018"/>
    <x v="0"/>
    <x v="0"/>
    <s v="P4"/>
    <n v="1.2768569674647024E-3"/>
    <s v="No"/>
  </r>
  <r>
    <n v="66.86666666666666"/>
    <d v="2011-11-03T00:00:00"/>
    <x v="0"/>
    <s v="KBC"/>
    <s v="Kachin"/>
    <s v="Myitkyina"/>
    <s v="Le Kone Ziun Baptist Church "/>
    <m/>
    <m/>
    <m/>
    <n v="116"/>
    <n v="49"/>
    <n v="116"/>
    <n v="49"/>
    <n v="49"/>
    <n v="49"/>
    <n v="49"/>
    <m/>
    <m/>
    <m/>
    <m/>
    <m/>
    <m/>
    <m/>
    <n v="0"/>
    <n v="0"/>
    <n v="0"/>
    <n v="0"/>
    <n v="0"/>
    <n v="0"/>
    <n v="0"/>
    <n v="0"/>
    <n v="0"/>
    <n v="0"/>
    <n v="0"/>
    <n v="0"/>
    <n v="0"/>
    <n v="0"/>
    <n v="0"/>
    <n v="0"/>
    <n v="0"/>
    <n v="0"/>
    <s v="MMR001CMP014"/>
    <x v="0"/>
    <x v="0"/>
    <s v="P4"/>
    <n v="1.204079125199656E-3"/>
    <s v="No"/>
  </r>
  <r>
    <n v="66.86666666666666"/>
    <d v="2011-11-03T00:00:00"/>
    <x v="0"/>
    <s v="KMSS"/>
    <s v="Kachin"/>
    <s v="Myitkyina"/>
    <s v="Shwe Zet Baptist Church"/>
    <m/>
    <m/>
    <m/>
    <n v="18"/>
    <n v="8"/>
    <n v="18"/>
    <n v="8"/>
    <n v="8"/>
    <n v="8"/>
    <n v="8"/>
    <m/>
    <m/>
    <m/>
    <m/>
    <m/>
    <m/>
    <m/>
    <n v="0"/>
    <n v="0"/>
    <n v="0"/>
    <n v="0"/>
    <n v="0"/>
    <n v="0"/>
    <n v="0"/>
    <n v="0"/>
    <n v="0"/>
    <n v="0"/>
    <n v="0"/>
    <n v="0"/>
    <n v="0"/>
    <n v="0"/>
    <n v="0"/>
    <n v="0"/>
    <n v="0"/>
    <n v="0"/>
    <s v="MMR001CMP009"/>
    <x v="0"/>
    <x v="0"/>
    <s v="P4"/>
    <n v="1.9643953345610803E-4"/>
    <s v="No"/>
  </r>
  <r>
    <n v="66.86666666666666"/>
    <d v="2011-11-03T00:00:00"/>
    <x v="0"/>
    <s v="KBC"/>
    <s v="Kachin"/>
    <s v="Myitkyina"/>
    <s v="Tat Kone Baptist Church"/>
    <m/>
    <m/>
    <m/>
    <n v="73"/>
    <n v="34"/>
    <n v="73"/>
    <n v="34"/>
    <n v="34"/>
    <n v="34"/>
    <n v="34"/>
    <m/>
    <m/>
    <m/>
    <m/>
    <m/>
    <m/>
    <m/>
    <n v="0"/>
    <n v="0"/>
    <n v="0"/>
    <n v="0"/>
    <n v="0"/>
    <n v="0"/>
    <n v="0"/>
    <n v="0"/>
    <n v="0"/>
    <n v="0"/>
    <n v="0"/>
    <n v="0"/>
    <n v="0"/>
    <n v="0"/>
    <n v="0"/>
    <n v="0"/>
    <n v="0"/>
    <n v="0"/>
    <s v="MMR001CMP001"/>
    <x v="0"/>
    <x v="0"/>
    <s v="P4"/>
    <n v="8.3548347462833277E-4"/>
    <s v="No"/>
  </r>
  <r>
    <n v="66.86666666666666"/>
    <d v="2011-11-03T00:00:00"/>
    <x v="0"/>
    <s v="KMSS"/>
    <s v="Kachin"/>
    <s v="Myitkyina"/>
    <s v="Tat Kone Emanuel Church"/>
    <m/>
    <m/>
    <m/>
    <n v="18"/>
    <n v="8"/>
    <n v="18"/>
    <n v="8"/>
    <n v="8"/>
    <n v="8"/>
    <n v="8"/>
    <m/>
    <m/>
    <m/>
    <m/>
    <m/>
    <m/>
    <m/>
    <n v="0"/>
    <n v="0"/>
    <n v="0"/>
    <n v="0"/>
    <n v="0"/>
    <n v="0"/>
    <n v="0"/>
    <n v="0"/>
    <n v="0"/>
    <n v="0"/>
    <n v="0"/>
    <n v="0"/>
    <n v="0"/>
    <n v="0"/>
    <n v="0"/>
    <n v="0"/>
    <n v="0"/>
    <n v="0"/>
    <s v="MMR001CMP004"/>
    <x v="0"/>
    <x v="0"/>
    <s v="P4"/>
    <n v="1.962901167926195E-4"/>
    <s v="No"/>
  </r>
  <r>
    <n v="66.833333333333329"/>
    <d v="2011-11-04T00:00:00"/>
    <x v="0"/>
    <s v="KBC"/>
    <s v="Kachin"/>
    <s v="Myitkyina"/>
    <s v="Jan Mai Kawng Baptist Church"/>
    <m/>
    <m/>
    <m/>
    <n v="208"/>
    <n v="102"/>
    <n v="208"/>
    <n v="102"/>
    <n v="102"/>
    <n v="102"/>
    <n v="102"/>
    <m/>
    <m/>
    <m/>
    <m/>
    <m/>
    <m/>
    <m/>
    <n v="0"/>
    <n v="0"/>
    <n v="0"/>
    <n v="0"/>
    <n v="0"/>
    <n v="0"/>
    <n v="0"/>
    <n v="0"/>
    <n v="0"/>
    <n v="0"/>
    <n v="0"/>
    <n v="0"/>
    <n v="0"/>
    <n v="0"/>
    <n v="0"/>
    <n v="0"/>
    <n v="0"/>
    <n v="0"/>
    <s v="MMR001CMP018"/>
    <x v="0"/>
    <x v="0"/>
    <s v="P4"/>
    <n v="2.5046040515653775E-3"/>
    <s v="No"/>
  </r>
  <r>
    <n v="66.833333333333329"/>
    <d v="2011-11-04T00:00:00"/>
    <x v="0"/>
    <s v="KBC"/>
    <s v="Kachin"/>
    <s v="Myitkyina"/>
    <s v="Myay Myint Baptist Church"/>
    <m/>
    <m/>
    <m/>
    <n v="10"/>
    <n v="6"/>
    <n v="10"/>
    <n v="6"/>
    <n v="6"/>
    <n v="6"/>
    <n v="6"/>
    <m/>
    <m/>
    <m/>
    <m/>
    <m/>
    <m/>
    <m/>
    <n v="0"/>
    <n v="0"/>
    <n v="0"/>
    <n v="0"/>
    <n v="0"/>
    <n v="0"/>
    <n v="0"/>
    <n v="0"/>
    <n v="0"/>
    <n v="0"/>
    <n v="0"/>
    <n v="0"/>
    <n v="0"/>
    <n v="0"/>
    <n v="0"/>
    <n v="0"/>
    <n v="0"/>
    <n v="0"/>
    <s v="MMR001CMP017"/>
    <x v="0"/>
    <x v="1"/>
    <s v="P4"/>
    <n v="1.4699757454002008E-4"/>
    <s v="No"/>
  </r>
  <r>
    <n v="66.5"/>
    <d v="2011-11-14T00:00:00"/>
    <x v="0"/>
    <s v="KBC"/>
    <s v="Kachin"/>
    <s v="Myitkyina"/>
    <s v="Kyun Pin Thar Baptist Church"/>
    <m/>
    <m/>
    <m/>
    <n v="47"/>
    <n v="28"/>
    <n v="47"/>
    <n v="28"/>
    <n v="28"/>
    <n v="28"/>
    <n v="28"/>
    <m/>
    <m/>
    <m/>
    <m/>
    <m/>
    <m/>
    <m/>
    <n v="0"/>
    <n v="0"/>
    <n v="0"/>
    <n v="0"/>
    <n v="0"/>
    <n v="0"/>
    <n v="0"/>
    <n v="0"/>
    <n v="0"/>
    <n v="0"/>
    <n v="0"/>
    <n v="0"/>
    <n v="0"/>
    <n v="0"/>
    <n v="0"/>
    <n v="0"/>
    <n v="0"/>
    <n v="0"/>
    <s v="MMR001CMP013"/>
    <x v="0"/>
    <x v="0"/>
    <s v="P4"/>
    <n v="6.8444596543547874E-4"/>
    <s v="No"/>
  </r>
  <r>
    <n v="66.5"/>
    <d v="2011-11-14T00:00:00"/>
    <x v="0"/>
    <s v="KBC"/>
    <s v="Kachin"/>
    <s v="Myitkyina"/>
    <s v="Le Kone Bethlehem Church"/>
    <m/>
    <m/>
    <m/>
    <n v="52"/>
    <n v="25"/>
    <n v="52"/>
    <n v="25"/>
    <n v="25"/>
    <n v="25"/>
    <n v="25"/>
    <m/>
    <m/>
    <m/>
    <m/>
    <m/>
    <m/>
    <m/>
    <n v="0"/>
    <n v="0"/>
    <n v="0"/>
    <n v="0"/>
    <n v="0"/>
    <n v="0"/>
    <n v="0"/>
    <n v="0"/>
    <n v="0"/>
    <n v="0"/>
    <n v="0"/>
    <n v="0"/>
    <n v="0"/>
    <n v="0"/>
    <n v="0"/>
    <n v="0"/>
    <n v="0"/>
    <n v="0"/>
    <s v="MMR001CMP015"/>
    <x v="0"/>
    <x v="0"/>
    <s v="P4"/>
    <n v="6.1571805039036529E-4"/>
    <s v="No"/>
  </r>
  <r>
    <n v="66.5"/>
    <d v="2011-11-14T00:00:00"/>
    <x v="0"/>
    <s v="KBC"/>
    <s v="Kachin"/>
    <s v="Myitkyina"/>
    <s v="Maliyang Baptist Church"/>
    <m/>
    <m/>
    <m/>
    <n v="57"/>
    <n v="30"/>
    <n v="57"/>
    <n v="30"/>
    <n v="30"/>
    <n v="30"/>
    <n v="30"/>
    <m/>
    <m/>
    <m/>
    <m/>
    <m/>
    <m/>
    <m/>
    <n v="0"/>
    <n v="0"/>
    <n v="0"/>
    <n v="0"/>
    <n v="0"/>
    <n v="0"/>
    <n v="0"/>
    <n v="0"/>
    <n v="0"/>
    <n v="0"/>
    <n v="0"/>
    <n v="0"/>
    <n v="0"/>
    <n v="0"/>
    <n v="0"/>
    <n v="0"/>
    <n v="0"/>
    <n v="0"/>
    <s v="MMR001CMP016"/>
    <x v="0"/>
    <x v="0"/>
    <s v="P4"/>
    <n v="7.3608793797232315E-4"/>
    <s v="No"/>
  </r>
  <r>
    <n v="66.466666666666669"/>
    <d v="2011-11-15T00:00:00"/>
    <x v="0"/>
    <s v="KBC"/>
    <s v="Kachin"/>
    <s v="Myitkyina"/>
    <s v="Tat Kone San Pya Baptist Church"/>
    <m/>
    <m/>
    <m/>
    <n v="30"/>
    <n v="17"/>
    <n v="30"/>
    <n v="17"/>
    <n v="17"/>
    <n v="17"/>
    <n v="17"/>
    <m/>
    <m/>
    <m/>
    <m/>
    <m/>
    <m/>
    <m/>
    <n v="0"/>
    <n v="0"/>
    <n v="0"/>
    <n v="0"/>
    <n v="0"/>
    <n v="0"/>
    <n v="0"/>
    <n v="0"/>
    <n v="0"/>
    <n v="0"/>
    <n v="0"/>
    <n v="0"/>
    <n v="0"/>
    <n v="0"/>
    <n v="0"/>
    <n v="0"/>
    <n v="0"/>
    <n v="0"/>
    <s v="MMR001CMP005"/>
    <x v="0"/>
    <x v="0"/>
    <s v="P4"/>
    <n v="4.1649312786339027E-4"/>
    <s v="No"/>
  </r>
  <r>
    <n v="66.433333333333337"/>
    <d v="2011-11-16T00:00:00"/>
    <x v="0"/>
    <s v="KBC"/>
    <s v="Kachin"/>
    <s v="Myitkyina"/>
    <s v="Njang Dung Baptist Church "/>
    <m/>
    <m/>
    <m/>
    <n v="92"/>
    <n v="53"/>
    <n v="92"/>
    <n v="53"/>
    <n v="53"/>
    <n v="53"/>
    <n v="53"/>
    <m/>
    <m/>
    <m/>
    <m/>
    <m/>
    <m/>
    <m/>
    <n v="0"/>
    <n v="0"/>
    <n v="0"/>
    <n v="0"/>
    <n v="0"/>
    <n v="0"/>
    <n v="0"/>
    <n v="0"/>
    <n v="0"/>
    <n v="0"/>
    <n v="0"/>
    <n v="0"/>
    <n v="0"/>
    <n v="0"/>
    <n v="0"/>
    <n v="0"/>
    <n v="0"/>
    <n v="0"/>
    <s v="MMR001CMP002"/>
    <x v="0"/>
    <x v="0"/>
    <s v="P4"/>
    <n v="1.3023712986853422E-3"/>
    <s v="No"/>
  </r>
  <r>
    <n v="66.433333333333337"/>
    <d v="2011-11-16T00:00:00"/>
    <x v="0"/>
    <s v="KBC"/>
    <s v="Kachin"/>
    <s v="Myitkyina"/>
    <s v="Shwe Zet Baptist Church"/>
    <m/>
    <m/>
    <m/>
    <n v="63"/>
    <n v="30"/>
    <n v="63"/>
    <n v="30"/>
    <n v="30"/>
    <n v="30"/>
    <n v="30"/>
    <m/>
    <m/>
    <m/>
    <m/>
    <m/>
    <m/>
    <m/>
    <n v="0"/>
    <n v="0"/>
    <n v="0"/>
    <n v="0"/>
    <n v="0"/>
    <n v="0"/>
    <n v="0"/>
    <n v="0"/>
    <n v="0"/>
    <n v="0"/>
    <n v="0"/>
    <n v="0"/>
    <n v="0"/>
    <n v="0"/>
    <n v="0"/>
    <n v="0"/>
    <n v="0"/>
    <n v="0"/>
    <s v="MMR001CMP009"/>
    <x v="0"/>
    <x v="0"/>
    <s v="P4"/>
    <n v="7.3664825046040514E-4"/>
    <s v="No"/>
  </r>
  <r>
    <n v="66.433333333333337"/>
    <d v="2011-11-16T00:00:00"/>
    <x v="0"/>
    <s v="KBC"/>
    <s v="Kachin"/>
    <s v="Myitkyina"/>
    <s v="Tat Kone Galile Baptist Church"/>
    <m/>
    <m/>
    <m/>
    <n v="53"/>
    <n v="31"/>
    <n v="53"/>
    <n v="31"/>
    <n v="31"/>
    <n v="31"/>
    <n v="31"/>
    <m/>
    <m/>
    <m/>
    <m/>
    <m/>
    <m/>
    <m/>
    <n v="0"/>
    <n v="0"/>
    <n v="0"/>
    <n v="0"/>
    <n v="0"/>
    <n v="0"/>
    <n v="0"/>
    <n v="0"/>
    <n v="0"/>
    <n v="0"/>
    <n v="0"/>
    <n v="0"/>
    <n v="0"/>
    <n v="0"/>
    <n v="0"/>
    <n v="0"/>
    <n v="0"/>
    <n v="0"/>
    <s v="MMR001CMP003"/>
    <x v="0"/>
    <x v="0"/>
    <s v="P4"/>
    <n v="7.6120319214241863E-4"/>
    <s v="No"/>
  </r>
  <r>
    <n v="66.36666666666666"/>
    <d v="2011-11-18T00:00:00"/>
    <x v="0"/>
    <s v="UNHCR"/>
    <s v="Kachin"/>
    <s v="Myitkyina"/>
    <s v="Wun Tho Buddhist Monastery"/>
    <m/>
    <m/>
    <m/>
    <n v="175"/>
    <n v="0"/>
    <n v="175"/>
    <n v="0"/>
    <n v="0"/>
    <m/>
    <m/>
    <m/>
    <m/>
    <m/>
    <m/>
    <m/>
    <m/>
    <m/>
    <n v="0"/>
    <n v="0"/>
    <n v="0"/>
    <n v="0"/>
    <n v="0"/>
    <n v="0"/>
    <n v="0"/>
    <n v="0"/>
    <n v="0"/>
    <n v="0"/>
    <n v="0"/>
    <n v="0"/>
    <n v="0"/>
    <n v="0"/>
    <n v="0"/>
    <n v="0"/>
    <n v="0"/>
    <n v="0"/>
    <s v="MMR001CMP022"/>
    <x v="0"/>
    <x v="0"/>
    <s v="P4"/>
    <n v="0"/>
    <s v="No"/>
  </r>
  <r>
    <n v="66.36666666666666"/>
    <d v="2011-11-18T00:00:00"/>
    <x v="0"/>
    <s v="UNHCR"/>
    <s v="Kachin"/>
    <s v="Myitkyina"/>
    <s v="Bomb Blast Victims"/>
    <m/>
    <m/>
    <m/>
    <n v="24"/>
    <n v="3"/>
    <n v="24"/>
    <n v="3"/>
    <n v="3"/>
    <n v="3"/>
    <n v="3"/>
    <m/>
    <m/>
    <m/>
    <m/>
    <m/>
    <m/>
    <m/>
    <n v="0"/>
    <n v="0"/>
    <n v="0"/>
    <n v="0"/>
    <n v="0"/>
    <n v="0"/>
    <n v="0"/>
    <n v="0"/>
    <n v="0"/>
    <n v="0"/>
    <n v="0"/>
    <n v="0"/>
    <n v="0"/>
    <n v="0"/>
    <n v="0"/>
    <n v="0"/>
    <n v="0"/>
    <n v="0"/>
    <s v=""/>
    <x v="1"/>
    <x v="2"/>
    <s v=""/>
    <s v=""/>
    <s v="No"/>
  </r>
  <r>
    <n v="65.833333333333329"/>
    <d v="2011-12-04T00:00:00"/>
    <x v="0"/>
    <s v="KBC"/>
    <s v="Kachin"/>
    <s v="Myitkyina"/>
    <s v="Shwe Zet Baptist Church"/>
    <m/>
    <m/>
    <m/>
    <n v="52"/>
    <n v="27"/>
    <n v="52"/>
    <n v="27"/>
    <n v="27"/>
    <n v="27"/>
    <n v="27"/>
    <m/>
    <m/>
    <m/>
    <m/>
    <m/>
    <m/>
    <m/>
    <n v="0"/>
    <n v="0"/>
    <n v="0"/>
    <n v="0"/>
    <n v="0"/>
    <n v="0"/>
    <n v="0"/>
    <n v="0"/>
    <n v="0"/>
    <n v="0"/>
    <n v="0"/>
    <n v="0"/>
    <n v="0"/>
    <n v="0"/>
    <n v="0"/>
    <n v="0"/>
    <n v="0"/>
    <n v="0"/>
    <s v="MMR001CMP009"/>
    <x v="0"/>
    <x v="0"/>
    <s v="P4"/>
    <n v="6.6298342541436467E-4"/>
    <s v="No"/>
  </r>
  <r>
    <n v="65.8"/>
    <d v="2011-12-05T00:00:00"/>
    <x v="0"/>
    <s v="KMSS"/>
    <s v="Kachin"/>
    <s v="Myitkyina"/>
    <s v="Jan Mai Kawng Baptist Church"/>
    <m/>
    <m/>
    <m/>
    <n v="80"/>
    <n v="45"/>
    <n v="80"/>
    <n v="45"/>
    <n v="45"/>
    <n v="45"/>
    <n v="45"/>
    <m/>
    <m/>
    <m/>
    <m/>
    <m/>
    <m/>
    <m/>
    <n v="0"/>
    <n v="0"/>
    <n v="0"/>
    <n v="0"/>
    <n v="0"/>
    <n v="0"/>
    <n v="0"/>
    <n v="0"/>
    <n v="0"/>
    <n v="0"/>
    <n v="0"/>
    <n v="0"/>
    <n v="0"/>
    <n v="0"/>
    <n v="0"/>
    <n v="0"/>
    <n v="0"/>
    <n v="0"/>
    <s v="MMR001CMP018"/>
    <x v="0"/>
    <x v="0"/>
    <s v="P4"/>
    <n v="1.1049723756906078E-3"/>
    <s v="No"/>
  </r>
  <r>
    <n v="65.666666666666671"/>
    <d v="2011-12-09T00:00:00"/>
    <x v="0"/>
    <s v="KBC"/>
    <s v="Kachin"/>
    <s v="Myitkyina"/>
    <s v="Le Kone Bethlehem Church"/>
    <m/>
    <m/>
    <m/>
    <n v="13"/>
    <n v="6"/>
    <n v="13"/>
    <n v="6"/>
    <n v="6"/>
    <n v="6"/>
    <n v="6"/>
    <m/>
    <m/>
    <m/>
    <m/>
    <m/>
    <m/>
    <m/>
    <n v="0"/>
    <n v="0"/>
    <n v="0"/>
    <n v="0"/>
    <n v="0"/>
    <n v="0"/>
    <n v="0"/>
    <n v="0"/>
    <n v="0"/>
    <n v="0"/>
    <n v="0"/>
    <n v="0"/>
    <n v="0"/>
    <n v="0"/>
    <n v="0"/>
    <n v="0"/>
    <n v="0"/>
    <n v="0"/>
    <s v="MMR001CMP015"/>
    <x v="0"/>
    <x v="0"/>
    <s v="P4"/>
    <n v="1.4777233209368765E-4"/>
    <s v="No"/>
  </r>
  <r>
    <n v="65.599999999999994"/>
    <d v="2011-12-11T00:00:00"/>
    <x v="0"/>
    <s v="KBC"/>
    <s v="Kachin"/>
    <s v="Myitkyina"/>
    <s v="Man Hkring Baptist Church"/>
    <m/>
    <m/>
    <m/>
    <n v="6"/>
    <n v="4"/>
    <n v="6"/>
    <n v="4"/>
    <n v="4"/>
    <n v="4"/>
    <n v="4"/>
    <m/>
    <m/>
    <m/>
    <m/>
    <m/>
    <m/>
    <m/>
    <n v="0"/>
    <n v="0"/>
    <n v="0"/>
    <n v="0"/>
    <n v="0"/>
    <n v="0"/>
    <n v="0"/>
    <n v="0"/>
    <n v="0"/>
    <n v="0"/>
    <n v="0"/>
    <n v="0"/>
    <n v="0"/>
    <n v="0"/>
    <n v="0"/>
    <n v="0"/>
    <n v="0"/>
    <n v="0"/>
    <s v="MMR001CMP008"/>
    <x v="0"/>
    <x v="0"/>
    <s v="P4"/>
    <n v="9.8219766728054015E-5"/>
    <s v="No"/>
  </r>
  <r>
    <n v="65.599999999999994"/>
    <d v="2011-12-11T00:00:00"/>
    <x v="0"/>
    <s v="KBC"/>
    <s v="Kachin"/>
    <s v="Myitkyina"/>
    <s v="Shatapru Sut Ngai Tawng"/>
    <m/>
    <m/>
    <m/>
    <n v="2"/>
    <n v="2"/>
    <n v="2"/>
    <n v="2"/>
    <n v="2"/>
    <n v="2"/>
    <n v="2"/>
    <m/>
    <m/>
    <m/>
    <m/>
    <m/>
    <m/>
    <m/>
    <n v="0"/>
    <n v="0"/>
    <n v="0"/>
    <n v="0"/>
    <n v="0"/>
    <n v="0"/>
    <n v="0"/>
    <n v="0"/>
    <n v="0"/>
    <n v="0"/>
    <n v="0"/>
    <n v="0"/>
    <n v="0"/>
    <n v="0"/>
    <n v="0"/>
    <n v="0"/>
    <n v="0"/>
    <n v="0"/>
    <s v="MMR001CMP006"/>
    <x v="0"/>
    <x v="0"/>
    <s v="P4"/>
    <n v="4.9072529198154875E-5"/>
    <s v="No"/>
  </r>
  <r>
    <n v="65.599999999999994"/>
    <d v="2011-12-11T00:00:00"/>
    <x v="0"/>
    <s v="KBC"/>
    <s v="Kachin"/>
    <s v="Myitkyina"/>
    <s v="Tat Kone San Pya Baptist Church"/>
    <m/>
    <m/>
    <m/>
    <n v="3"/>
    <n v="2"/>
    <n v="3"/>
    <n v="2"/>
    <n v="2"/>
    <n v="2"/>
    <n v="2"/>
    <m/>
    <m/>
    <m/>
    <m/>
    <m/>
    <m/>
    <m/>
    <n v="0"/>
    <n v="0"/>
    <n v="0"/>
    <n v="0"/>
    <n v="0"/>
    <n v="0"/>
    <n v="0"/>
    <n v="0"/>
    <n v="0"/>
    <n v="0"/>
    <n v="0"/>
    <n v="0"/>
    <n v="0"/>
    <n v="0"/>
    <n v="0"/>
    <n v="0"/>
    <n v="0"/>
    <n v="0"/>
    <s v="MMR001CMP005"/>
    <x v="0"/>
    <x v="0"/>
    <s v="P4"/>
    <n v="4.8999191513340027E-5"/>
    <s v="No"/>
  </r>
  <r>
    <n v="65.599999999999994"/>
    <d v="2011-12-11T00:00:00"/>
    <x v="0"/>
    <s v="Shan Community"/>
    <s v="Kachin"/>
    <s v="Myitkyina"/>
    <s v="Shan Ywar Monestary Camp"/>
    <m/>
    <m/>
    <m/>
    <n v="88"/>
    <n v="49"/>
    <n v="88"/>
    <n v="49"/>
    <n v="49"/>
    <n v="49"/>
    <n v="49"/>
    <m/>
    <m/>
    <m/>
    <m/>
    <m/>
    <m/>
    <m/>
    <n v="0"/>
    <n v="0"/>
    <n v="0"/>
    <n v="0"/>
    <n v="0"/>
    <n v="0"/>
    <n v="0"/>
    <n v="0"/>
    <n v="0"/>
    <n v="0"/>
    <n v="0"/>
    <n v="0"/>
    <n v="0"/>
    <n v="0"/>
    <n v="0"/>
    <n v="0"/>
    <n v="0"/>
    <n v="0"/>
    <s v=""/>
    <x v="1"/>
    <x v="2"/>
    <s v=""/>
    <s v=""/>
    <s v="No"/>
  </r>
  <r>
    <n v="65.533333333333331"/>
    <d v="2011-12-13T00:00:00"/>
    <x v="0"/>
    <s v="IRRC"/>
    <s v="Kachin"/>
    <s v="Momauk"/>
    <s v="Hpun Lum Yang "/>
    <m/>
    <m/>
    <m/>
    <n v="250"/>
    <n v="125"/>
    <n v="250"/>
    <n v="125"/>
    <n v="125"/>
    <n v="125"/>
    <n v="125"/>
    <m/>
    <m/>
    <m/>
    <m/>
    <m/>
    <m/>
    <m/>
    <n v="0"/>
    <n v="0"/>
    <n v="0"/>
    <n v="0"/>
    <n v="0"/>
    <n v="0"/>
    <n v="0"/>
    <n v="0"/>
    <n v="0"/>
    <n v="0"/>
    <n v="0"/>
    <n v="0"/>
    <n v="0"/>
    <n v="0"/>
    <n v="0"/>
    <n v="0"/>
    <n v="0"/>
    <n v="0"/>
    <s v="MMR001CMP122"/>
    <x v="0"/>
    <x v="0"/>
    <s v="P2"/>
    <n v="3.0716304214276936E-3"/>
    <s v="No"/>
  </r>
  <r>
    <n v="65.533333333333331"/>
    <d v="2011-12-13T00:00:00"/>
    <x v="0"/>
    <s v="IRRC"/>
    <s v="Kachin"/>
    <s v="Momauk"/>
    <s v="Je Yang Hka "/>
    <m/>
    <m/>
    <m/>
    <n v="250"/>
    <n v="125"/>
    <n v="250"/>
    <n v="125"/>
    <n v="125"/>
    <n v="125"/>
    <n v="125"/>
    <m/>
    <m/>
    <m/>
    <m/>
    <m/>
    <m/>
    <m/>
    <n v="0"/>
    <n v="0"/>
    <n v="0"/>
    <n v="0"/>
    <n v="0"/>
    <n v="0"/>
    <n v="0"/>
    <n v="0"/>
    <n v="0"/>
    <n v="0"/>
    <n v="0"/>
    <n v="0"/>
    <n v="0"/>
    <n v="0"/>
    <n v="0"/>
    <n v="0"/>
    <n v="0"/>
    <n v="0"/>
    <s v="MMR001CMP121"/>
    <x v="0"/>
    <x v="0"/>
    <s v="P2"/>
    <n v="3.0442512359660019E-3"/>
    <s v="No"/>
  </r>
  <r>
    <n v="65.533333333333331"/>
    <d v="2011-12-13T00:00:00"/>
    <x v="0"/>
    <s v="IRRC"/>
    <s v="Kachin"/>
    <s v="Waingmaw"/>
    <s v="Maga Yang "/>
    <m/>
    <m/>
    <m/>
    <n v="250"/>
    <n v="125"/>
    <n v="250"/>
    <n v="125"/>
    <n v="125"/>
    <n v="125"/>
    <n v="125"/>
    <m/>
    <m/>
    <m/>
    <m/>
    <m/>
    <m/>
    <m/>
    <n v="0"/>
    <n v="0"/>
    <n v="0"/>
    <n v="0"/>
    <n v="0"/>
    <n v="0"/>
    <n v="0"/>
    <n v="0"/>
    <n v="0"/>
    <n v="0"/>
    <n v="0"/>
    <n v="0"/>
    <n v="0"/>
    <n v="0"/>
    <n v="0"/>
    <n v="0"/>
    <n v="0"/>
    <n v="0"/>
    <s v="MMR001CMP119"/>
    <x v="0"/>
    <x v="0"/>
    <s v="P2"/>
    <n v="3.0716304214276936E-3"/>
    <s v="No"/>
  </r>
  <r>
    <n v="65.533333333333331"/>
    <d v="2011-12-13T00:00:00"/>
    <x v="0"/>
    <s v="IRRC"/>
    <s v="Kachin"/>
    <s v="Waingmaw"/>
    <s v="Zai Awng - Mung Ga Zup"/>
    <m/>
    <m/>
    <m/>
    <n v="250"/>
    <n v="125"/>
    <n v="250"/>
    <n v="125"/>
    <n v="125"/>
    <n v="125"/>
    <n v="125"/>
    <m/>
    <m/>
    <m/>
    <m/>
    <m/>
    <m/>
    <m/>
    <n v="0"/>
    <n v="0"/>
    <n v="0"/>
    <n v="0"/>
    <n v="0"/>
    <n v="0"/>
    <n v="0"/>
    <n v="0"/>
    <n v="0"/>
    <n v="0"/>
    <n v="0"/>
    <n v="0"/>
    <n v="0"/>
    <n v="0"/>
    <n v="0"/>
    <n v="0"/>
    <n v="0"/>
    <n v="0"/>
    <s v="MMR001CMP111"/>
    <x v="0"/>
    <x v="1"/>
    <s v="P2"/>
    <n v="3.0601253427340385E-3"/>
    <s v="No"/>
  </r>
  <r>
    <n v="65.233333333333334"/>
    <d v="2011-12-22T00:00:00"/>
    <x v="0"/>
    <s v="UNHCR"/>
    <s v="Kachin"/>
    <s v="Waingmaw"/>
    <s v="Qtr. 2 Lhaovo Baptist Church"/>
    <m/>
    <m/>
    <m/>
    <n v="0"/>
    <n v="0"/>
    <n v="0"/>
    <n v="0"/>
    <n v="4"/>
    <n v="4"/>
    <n v="4"/>
    <m/>
    <m/>
    <m/>
    <m/>
    <m/>
    <m/>
    <m/>
    <n v="0"/>
    <n v="0"/>
    <n v="0"/>
    <n v="0"/>
    <n v="0"/>
    <n v="0"/>
    <n v="0"/>
    <n v="0"/>
    <n v="0"/>
    <n v="0"/>
    <n v="0"/>
    <n v="0"/>
    <n v="0"/>
    <n v="0"/>
    <n v="0"/>
    <n v="0"/>
    <n v="0"/>
    <n v="0"/>
    <s v="MMR001CMP032"/>
    <x v="0"/>
    <x v="0"/>
    <s v="P4"/>
    <n v="0"/>
    <s v="No"/>
  </r>
  <r>
    <n v="65.099999999999994"/>
    <d v="2011-12-26T00:00:00"/>
    <x v="0"/>
    <s v="KBC"/>
    <s v="Kachin"/>
    <s v="Waingmaw"/>
    <s v="Qtr. 2 Myoma Baptist Church"/>
    <m/>
    <m/>
    <m/>
    <n v="54"/>
    <n v="33"/>
    <n v="54"/>
    <n v="33"/>
    <n v="33"/>
    <n v="33"/>
    <n v="33"/>
    <m/>
    <m/>
    <m/>
    <m/>
    <m/>
    <m/>
    <m/>
    <n v="0"/>
    <n v="0"/>
    <n v="0"/>
    <n v="0"/>
    <n v="0"/>
    <n v="0"/>
    <n v="0"/>
    <n v="0"/>
    <n v="0"/>
    <n v="0"/>
    <n v="0"/>
    <n v="0"/>
    <n v="0"/>
    <n v="0"/>
    <n v="0"/>
    <n v="0"/>
    <n v="0"/>
    <n v="0"/>
    <s v="MMR001CMP025"/>
    <x v="0"/>
    <x v="0"/>
    <s v="P4"/>
    <n v="8.1091043125691112E-4"/>
    <s v="No"/>
  </r>
  <r>
    <n v="65.033333333333331"/>
    <d v="2011-12-28T00:00:00"/>
    <x v="0"/>
    <s v="Shan Community"/>
    <s v="Kachin"/>
    <s v="Waingmaw"/>
    <s v="Hkat Cho "/>
    <m/>
    <m/>
    <m/>
    <n v="31"/>
    <n v="19"/>
    <n v="31"/>
    <n v="19"/>
    <n v="19"/>
    <n v="19"/>
    <n v="19"/>
    <m/>
    <m/>
    <m/>
    <m/>
    <m/>
    <m/>
    <m/>
    <n v="0"/>
    <n v="0"/>
    <n v="0"/>
    <n v="0"/>
    <n v="0"/>
    <n v="0"/>
    <n v="0"/>
    <n v="0"/>
    <n v="0"/>
    <n v="0"/>
    <n v="0"/>
    <n v="0"/>
    <n v="0"/>
    <n v="0"/>
    <n v="0"/>
    <n v="0"/>
    <n v="0"/>
    <n v="0"/>
    <s v="MMR001CMP028"/>
    <x v="0"/>
    <x v="0"/>
    <s v="P4"/>
    <n v="4.6688782405700946E-4"/>
    <s v="No"/>
  </r>
  <r>
    <n v="64.966666666666669"/>
    <d v="2011-12-30T00:00:00"/>
    <x v="0"/>
    <s v="KBC"/>
    <s v="Kachin"/>
    <s v="Myitkyina"/>
    <s v="Jan Mai Kawng Baptist Church"/>
    <m/>
    <m/>
    <m/>
    <n v="56"/>
    <n v="29"/>
    <n v="56"/>
    <n v="29"/>
    <n v="29"/>
    <n v="29"/>
    <n v="29"/>
    <m/>
    <m/>
    <m/>
    <m/>
    <m/>
    <m/>
    <m/>
    <n v="0"/>
    <n v="0"/>
    <n v="0"/>
    <n v="0"/>
    <n v="0"/>
    <n v="0"/>
    <n v="0"/>
    <n v="0"/>
    <n v="0"/>
    <n v="0"/>
    <n v="0"/>
    <n v="0"/>
    <n v="0"/>
    <n v="0"/>
    <n v="0"/>
    <n v="0"/>
    <n v="0"/>
    <n v="0"/>
    <s v="MMR001CMP018"/>
    <x v="0"/>
    <x v="0"/>
    <s v="P4"/>
    <n v="7.1209330877839165E-4"/>
    <s v="No"/>
  </r>
  <r>
    <n v="64.933333333333337"/>
    <d v="2011-12-31T00:00:00"/>
    <x v="0"/>
    <s v="KMSS"/>
    <s v="Kachin"/>
    <s v="Waingmaw"/>
    <s v="Maina Catholic Church (St. Joseph)"/>
    <m/>
    <m/>
    <m/>
    <n v="46"/>
    <n v="27"/>
    <n v="47"/>
    <n v="27"/>
    <n v="27"/>
    <n v="27"/>
    <n v="27"/>
    <m/>
    <m/>
    <m/>
    <m/>
    <m/>
    <m/>
    <m/>
    <n v="0"/>
    <n v="0"/>
    <n v="0"/>
    <n v="0"/>
    <n v="0"/>
    <n v="0"/>
    <n v="0"/>
    <n v="0"/>
    <n v="0"/>
    <n v="0"/>
    <n v="0"/>
    <n v="0"/>
    <n v="0"/>
    <n v="0"/>
    <n v="0"/>
    <n v="0"/>
    <n v="0"/>
    <n v="0"/>
    <s v="MMR001CMP029"/>
    <x v="0"/>
    <x v="0"/>
    <s v="P4"/>
    <n v="6.5176459228503839E-4"/>
    <s v="No"/>
  </r>
  <r>
    <n v="64.833333333333329"/>
    <d v="2012-01-03T00:00:00"/>
    <x v="0"/>
    <s v="KMSS"/>
    <s v="Kachin"/>
    <s v="Myitkyina"/>
    <s v="Tat Kone Emanuel Church"/>
    <m/>
    <m/>
    <m/>
    <n v="0"/>
    <n v="0"/>
    <n v="0"/>
    <n v="0"/>
    <n v="8"/>
    <n v="8"/>
    <n v="8"/>
    <m/>
    <m/>
    <m/>
    <m/>
    <m/>
    <m/>
    <m/>
    <n v="0"/>
    <n v="0"/>
    <n v="0"/>
    <n v="0"/>
    <n v="0"/>
    <n v="0"/>
    <n v="0"/>
    <n v="0"/>
    <n v="0"/>
    <n v="0"/>
    <n v="0"/>
    <n v="0"/>
    <n v="0"/>
    <n v="0"/>
    <n v="0"/>
    <n v="0"/>
    <n v="0"/>
    <n v="0"/>
    <s v="MMR001CMP004"/>
    <x v="0"/>
    <x v="0"/>
    <s v="P4"/>
    <n v="0"/>
    <s v="No"/>
  </r>
  <r>
    <n v="64.766666666666666"/>
    <d v="2012-01-05T00:00:00"/>
    <x v="0"/>
    <s v="KBC"/>
    <s v="Kachin"/>
    <s v="Waingmaw"/>
    <s v="Maina Lawang Baptist Church"/>
    <m/>
    <m/>
    <m/>
    <n v="52"/>
    <n v="29"/>
    <n v="52"/>
    <n v="29"/>
    <n v="29"/>
    <n v="29"/>
    <n v="29"/>
    <m/>
    <m/>
    <m/>
    <m/>
    <m/>
    <m/>
    <m/>
    <n v="0"/>
    <n v="0"/>
    <n v="0"/>
    <n v="0"/>
    <n v="0"/>
    <n v="0"/>
    <n v="0"/>
    <n v="0"/>
    <n v="0"/>
    <n v="0"/>
    <n v="0"/>
    <n v="0"/>
    <n v="0"/>
    <n v="0"/>
    <n v="0"/>
    <n v="0"/>
    <n v="0"/>
    <n v="0"/>
    <s v="MMR001CMP039"/>
    <x v="0"/>
    <x v="0"/>
    <s v="P4"/>
    <n v="7.0942805421008858E-4"/>
    <s v="No"/>
  </r>
  <r>
    <n v="64.733333333333334"/>
    <d v="2012-01-06T00:00:00"/>
    <x v="0"/>
    <s v="KMSS"/>
    <s v="Kachin"/>
    <s v="Myitkyina"/>
    <s v="Jan Mai Kawng Catholic Church"/>
    <m/>
    <m/>
    <m/>
    <n v="0"/>
    <n v="0"/>
    <n v="0"/>
    <n v="0"/>
    <n v="9"/>
    <n v="9"/>
    <n v="9"/>
    <m/>
    <m/>
    <m/>
    <m/>
    <m/>
    <m/>
    <m/>
    <n v="0"/>
    <n v="0"/>
    <n v="0"/>
    <n v="0"/>
    <n v="0"/>
    <n v="0"/>
    <n v="0"/>
    <n v="0"/>
    <n v="0"/>
    <n v="0"/>
    <n v="0"/>
    <n v="0"/>
    <n v="0"/>
    <n v="0"/>
    <n v="0"/>
    <n v="0"/>
    <n v="0"/>
    <n v="0"/>
    <s v="MMR001CMP019"/>
    <x v="0"/>
    <x v="0"/>
    <s v="P4"/>
    <n v="0"/>
    <s v="No"/>
  </r>
  <r>
    <n v="64.733333333333334"/>
    <d v="2012-01-06T00:00:00"/>
    <x v="0"/>
    <s v="UNHCR"/>
    <s v="Kachin"/>
    <s v="Waingmaw"/>
    <s v="Thargaya Lisu Baptist Church"/>
    <m/>
    <m/>
    <m/>
    <n v="29"/>
    <n v="0"/>
    <n v="29"/>
    <n v="15"/>
    <n v="15"/>
    <n v="15"/>
    <n v="15"/>
    <m/>
    <m/>
    <m/>
    <m/>
    <m/>
    <m/>
    <m/>
    <n v="0"/>
    <n v="0"/>
    <n v="0"/>
    <n v="0"/>
    <n v="0"/>
    <n v="0"/>
    <n v="0"/>
    <n v="0"/>
    <n v="0"/>
    <n v="0"/>
    <n v="0"/>
    <n v="0"/>
    <n v="0"/>
    <n v="0"/>
    <n v="0"/>
    <n v="0"/>
    <n v="0"/>
    <n v="0"/>
    <s v="MMR001CMP037"/>
    <x v="0"/>
    <x v="0"/>
    <s v="P4"/>
    <n v="3.6721504112808461E-4"/>
    <s v="No"/>
  </r>
  <r>
    <n v="64.733333333333334"/>
    <d v="2012-01-06T00:00:00"/>
    <x v="0"/>
    <s v="UNHCR"/>
    <s v="Kachin"/>
    <s v="Waingmaw"/>
    <s v="Thargaya Lisu Baptist Church"/>
    <m/>
    <m/>
    <m/>
    <n v="59"/>
    <n v="30"/>
    <n v="59"/>
    <n v="30"/>
    <n v="30"/>
    <n v="30"/>
    <n v="30"/>
    <m/>
    <m/>
    <m/>
    <m/>
    <m/>
    <m/>
    <m/>
    <n v="0"/>
    <n v="0"/>
    <n v="0"/>
    <n v="0"/>
    <n v="0"/>
    <n v="0"/>
    <n v="0"/>
    <n v="0"/>
    <n v="0"/>
    <n v="0"/>
    <n v="0"/>
    <n v="0"/>
    <n v="0"/>
    <n v="0"/>
    <n v="0"/>
    <n v="0"/>
    <n v="0"/>
    <n v="0"/>
    <s v="MMR001CMP037"/>
    <x v="0"/>
    <x v="0"/>
    <s v="P4"/>
    <n v="7.3443008225616922E-4"/>
    <s v="No"/>
  </r>
  <r>
    <n v="64.733333333333334"/>
    <d v="2012-01-06T00:00:00"/>
    <x v="0"/>
    <s v="UNHCR"/>
    <s v="Kachin"/>
    <s v="Waingmaw"/>
    <s v="Waingmaw AG Church"/>
    <m/>
    <m/>
    <m/>
    <n v="29"/>
    <n v="14"/>
    <n v="29"/>
    <n v="14"/>
    <n v="14"/>
    <n v="14"/>
    <n v="14"/>
    <m/>
    <m/>
    <m/>
    <m/>
    <m/>
    <m/>
    <m/>
    <n v="0"/>
    <n v="0"/>
    <n v="0"/>
    <n v="0"/>
    <n v="0"/>
    <n v="0"/>
    <n v="0"/>
    <n v="0"/>
    <n v="0"/>
    <n v="0"/>
    <n v="0"/>
    <n v="0"/>
    <n v="0"/>
    <n v="0"/>
    <n v="0"/>
    <n v="0"/>
    <n v="0"/>
    <n v="0"/>
    <s v="MMR001CMP038"/>
    <x v="0"/>
    <x v="0"/>
    <s v="P4"/>
    <n v="3.4273403838621232E-4"/>
    <s v="No"/>
  </r>
  <r>
    <n v="64.7"/>
    <d v="2012-01-07T00:00:00"/>
    <x v="0"/>
    <s v="KMSS"/>
    <s v="Kachin"/>
    <s v="Myitkyina"/>
    <s v="Jan Mai Kawng Baptist Church"/>
    <m/>
    <m/>
    <m/>
    <n v="32"/>
    <n v="16"/>
    <n v="32"/>
    <n v="16"/>
    <n v="16"/>
    <n v="16"/>
    <n v="16"/>
    <m/>
    <m/>
    <m/>
    <m/>
    <m/>
    <m/>
    <m/>
    <n v="0"/>
    <n v="0"/>
    <n v="0"/>
    <n v="0"/>
    <n v="0"/>
    <n v="0"/>
    <n v="0"/>
    <n v="0"/>
    <n v="0"/>
    <n v="0"/>
    <n v="0"/>
    <n v="0"/>
    <n v="0"/>
    <n v="0"/>
    <n v="0"/>
    <n v="0"/>
    <n v="0"/>
    <n v="0"/>
    <s v="MMR001CMP018"/>
    <x v="0"/>
    <x v="0"/>
    <s v="P4"/>
    <n v="3.9287906691221606E-4"/>
    <s v="No"/>
  </r>
  <r>
    <n v="64.7"/>
    <d v="2012-01-07T00:00:00"/>
    <x v="0"/>
    <s v="KMSS"/>
    <s v="Kachin"/>
    <s v="Waingmaw"/>
    <s v="Maina Catholic Church (St. Joseph)"/>
    <m/>
    <m/>
    <m/>
    <n v="50"/>
    <n v="25"/>
    <n v="50"/>
    <n v="25"/>
    <n v="27"/>
    <n v="27"/>
    <n v="27"/>
    <m/>
    <m/>
    <m/>
    <m/>
    <m/>
    <m/>
    <m/>
    <n v="0"/>
    <n v="0"/>
    <n v="0"/>
    <n v="0"/>
    <n v="0"/>
    <n v="0"/>
    <n v="0"/>
    <n v="0"/>
    <n v="0"/>
    <n v="0"/>
    <n v="0"/>
    <n v="0"/>
    <n v="0"/>
    <n v="0"/>
    <n v="0"/>
    <n v="0"/>
    <n v="0"/>
    <n v="0"/>
    <s v="MMR001CMP029"/>
    <x v="0"/>
    <x v="0"/>
    <s v="P4"/>
    <n v="6.0348573359725777E-4"/>
    <s v="No"/>
  </r>
  <r>
    <n v="64.566666666666663"/>
    <d v="2012-01-11T00:00:00"/>
    <x v="0"/>
    <s v="KBC"/>
    <s v="Kachin"/>
    <s v="Waingmaw"/>
    <s v="Shing Jai"/>
    <m/>
    <m/>
    <m/>
    <n v="536"/>
    <n v="268"/>
    <n v="536"/>
    <n v="268"/>
    <n v="268"/>
    <n v="268"/>
    <n v="268"/>
    <m/>
    <m/>
    <m/>
    <m/>
    <m/>
    <m/>
    <m/>
    <n v="0"/>
    <n v="0"/>
    <n v="0"/>
    <n v="0"/>
    <n v="0"/>
    <n v="0"/>
    <n v="0"/>
    <n v="0"/>
    <n v="0"/>
    <n v="0"/>
    <n v="0"/>
    <n v="0"/>
    <n v="0"/>
    <n v="0"/>
    <n v="0"/>
    <n v="0"/>
    <n v="0"/>
    <n v="0"/>
    <s v="MMR001CMP041"/>
    <x v="0"/>
    <x v="0"/>
    <s v="P1"/>
    <n v="6.5609087348217779E-3"/>
    <s v="No"/>
  </r>
  <r>
    <n v="64.5"/>
    <d v="2012-01-13T00:00:00"/>
    <x v="0"/>
    <s v="KBC"/>
    <s v="Kachin"/>
    <s v="Hpakant"/>
    <s v="5 Ward Baptist Church(lon Khin)"/>
    <m/>
    <m/>
    <m/>
    <n v="52"/>
    <n v="26"/>
    <n v="36"/>
    <n v="0"/>
    <n v="26"/>
    <n v="26"/>
    <n v="26"/>
    <m/>
    <m/>
    <m/>
    <m/>
    <m/>
    <m/>
    <m/>
    <n v="0"/>
    <n v="0"/>
    <n v="0"/>
    <n v="0"/>
    <n v="0"/>
    <n v="0"/>
    <n v="0"/>
    <n v="0"/>
    <n v="0"/>
    <n v="0"/>
    <n v="0"/>
    <n v="0"/>
    <n v="0"/>
    <n v="0"/>
    <n v="0"/>
    <n v="0"/>
    <n v="0"/>
    <n v="0"/>
    <s v="MMR001CMP179"/>
    <x v="0"/>
    <x v="1"/>
    <s v="P4"/>
    <n v="0"/>
    <s v="No"/>
  </r>
  <r>
    <n v="64.5"/>
    <d v="2012-01-13T00:00:00"/>
    <x v="0"/>
    <s v="KBC"/>
    <s v="Kachin"/>
    <s v="Hpakant"/>
    <s v="5 Ward Baptist Church(lon Khin)"/>
    <m/>
    <m/>
    <m/>
    <n v="120"/>
    <n v="60"/>
    <n v="60"/>
    <n v="0"/>
    <n v="60"/>
    <n v="60"/>
    <n v="60"/>
    <m/>
    <m/>
    <m/>
    <m/>
    <m/>
    <m/>
    <m/>
    <n v="0"/>
    <n v="0"/>
    <n v="0"/>
    <n v="0"/>
    <n v="0"/>
    <n v="0"/>
    <n v="0"/>
    <n v="0"/>
    <n v="0"/>
    <n v="0"/>
    <n v="0"/>
    <n v="0"/>
    <n v="0"/>
    <n v="0"/>
    <n v="0"/>
    <n v="0"/>
    <n v="0"/>
    <n v="0"/>
    <s v="MMR001CMP179"/>
    <x v="0"/>
    <x v="1"/>
    <s v="P4"/>
    <n v="0"/>
    <s v="No"/>
  </r>
  <r>
    <n v="64.5"/>
    <d v="2012-01-13T00:00:00"/>
    <x v="0"/>
    <s v="KBC"/>
    <s v="Kachin"/>
    <s v="Hpakant"/>
    <s v="5 Ward Baptist Church(lon Khin)"/>
    <m/>
    <m/>
    <m/>
    <n v="148"/>
    <n v="74"/>
    <n v="74"/>
    <n v="0"/>
    <n v="74"/>
    <n v="74"/>
    <n v="74"/>
    <m/>
    <m/>
    <m/>
    <m/>
    <m/>
    <m/>
    <m/>
    <n v="0"/>
    <n v="0"/>
    <n v="0"/>
    <n v="0"/>
    <n v="0"/>
    <n v="0"/>
    <n v="0"/>
    <n v="0"/>
    <n v="0"/>
    <n v="0"/>
    <n v="0"/>
    <n v="0"/>
    <n v="0"/>
    <n v="0"/>
    <n v="0"/>
    <n v="0"/>
    <n v="0"/>
    <n v="0"/>
    <s v="MMR001CMP179"/>
    <x v="0"/>
    <x v="1"/>
    <s v="P4"/>
    <n v="0"/>
    <s v="No"/>
  </r>
  <r>
    <n v="64.5"/>
    <d v="2012-01-13T00:00:00"/>
    <x v="0"/>
    <s v="KBC"/>
    <s v="Kachin"/>
    <s v="Hpakant"/>
    <s v="Baptist Church, Hmaw Si Sar(Lon Khin)"/>
    <m/>
    <m/>
    <m/>
    <n v="70"/>
    <n v="35"/>
    <n v="35"/>
    <n v="0"/>
    <n v="35"/>
    <n v="35"/>
    <n v="35"/>
    <m/>
    <m/>
    <m/>
    <m/>
    <m/>
    <m/>
    <m/>
    <n v="0"/>
    <n v="0"/>
    <n v="0"/>
    <n v="0"/>
    <n v="0"/>
    <n v="0"/>
    <n v="0"/>
    <n v="0"/>
    <n v="0"/>
    <n v="0"/>
    <n v="0"/>
    <n v="0"/>
    <n v="0"/>
    <n v="0"/>
    <n v="0"/>
    <n v="0"/>
    <n v="0"/>
    <n v="0"/>
    <s v="MMR001CMP169"/>
    <x v="0"/>
    <x v="0"/>
    <s v="P4"/>
    <n v="0"/>
    <s v="No"/>
  </r>
  <r>
    <n v="64.5"/>
    <d v="2012-01-13T00:00:00"/>
    <x v="0"/>
    <s v="KBC"/>
    <s v="Kachin"/>
    <s v="Hpakant"/>
    <s v="Hlaing Naung Baptist"/>
    <m/>
    <m/>
    <m/>
    <n v="10"/>
    <n v="5"/>
    <n v="5"/>
    <n v="0"/>
    <n v="5"/>
    <n v="5"/>
    <n v="5"/>
    <m/>
    <m/>
    <m/>
    <m/>
    <m/>
    <m/>
    <m/>
    <n v="0"/>
    <n v="0"/>
    <n v="0"/>
    <n v="0"/>
    <n v="0"/>
    <n v="0"/>
    <n v="0"/>
    <n v="0"/>
    <n v="0"/>
    <n v="0"/>
    <n v="0"/>
    <n v="0"/>
    <n v="0"/>
    <n v="0"/>
    <n v="0"/>
    <n v="0"/>
    <n v="0"/>
    <n v="0"/>
    <s v="MMR001CMP148"/>
    <x v="0"/>
    <x v="0"/>
    <s v="P4"/>
    <n v="0"/>
    <s v="No"/>
  </r>
  <r>
    <n v="64.5"/>
    <d v="2012-01-13T00:00:00"/>
    <x v="0"/>
    <s v="UNHCR"/>
    <s v="Kachin"/>
    <s v="Waingmaw"/>
    <s v="Maina Lawang Baptist Church"/>
    <m/>
    <m/>
    <m/>
    <n v="35"/>
    <n v="17"/>
    <n v="35"/>
    <n v="17"/>
    <n v="17"/>
    <n v="17"/>
    <n v="17"/>
    <m/>
    <m/>
    <m/>
    <m/>
    <m/>
    <m/>
    <m/>
    <n v="0"/>
    <n v="0"/>
    <n v="0"/>
    <n v="0"/>
    <n v="0"/>
    <n v="0"/>
    <n v="0"/>
    <n v="0"/>
    <n v="0"/>
    <n v="0"/>
    <n v="0"/>
    <n v="0"/>
    <n v="0"/>
    <n v="0"/>
    <n v="0"/>
    <n v="0"/>
    <n v="0"/>
    <n v="0"/>
    <s v="MMR001CMP039"/>
    <x v="0"/>
    <x v="0"/>
    <s v="P4"/>
    <n v="4.158716179852243E-4"/>
    <s v="No"/>
  </r>
  <r>
    <n v="64.5"/>
    <d v="2012-01-13T00:00:00"/>
    <x v="0"/>
    <s v="KBC"/>
    <s v="Kachin"/>
    <m/>
    <s v="Kat Hmaw Zut Baptist Church"/>
    <m/>
    <m/>
    <m/>
    <n v="76"/>
    <n v="38"/>
    <n v="38"/>
    <n v="0"/>
    <n v="38"/>
    <n v="38"/>
    <n v="38"/>
    <m/>
    <m/>
    <m/>
    <m/>
    <m/>
    <m/>
    <m/>
    <n v="0"/>
    <n v="0"/>
    <n v="0"/>
    <n v="0"/>
    <n v="0"/>
    <n v="0"/>
    <n v="0"/>
    <n v="0"/>
    <n v="0"/>
    <n v="0"/>
    <n v="0"/>
    <n v="0"/>
    <n v="0"/>
    <n v="0"/>
    <n v="0"/>
    <n v="0"/>
    <n v="0"/>
    <n v="0"/>
    <s v=""/>
    <x v="1"/>
    <x v="2"/>
    <s v=""/>
    <s v=""/>
    <s v="No"/>
  </r>
  <r>
    <n v="64.5"/>
    <d v="2012-01-13T00:00:00"/>
    <x v="0"/>
    <s v="KBC"/>
    <s v="Kachin"/>
    <m/>
    <s v="Le Pyin - Kar Gyi Winn"/>
    <m/>
    <m/>
    <m/>
    <n v="18"/>
    <n v="9"/>
    <n v="9"/>
    <n v="0"/>
    <n v="9"/>
    <n v="9"/>
    <n v="9"/>
    <m/>
    <m/>
    <m/>
    <m/>
    <m/>
    <m/>
    <m/>
    <n v="0"/>
    <n v="0"/>
    <n v="0"/>
    <n v="0"/>
    <n v="0"/>
    <n v="0"/>
    <n v="0"/>
    <n v="0"/>
    <n v="0"/>
    <n v="0"/>
    <n v="0"/>
    <n v="0"/>
    <n v="0"/>
    <n v="0"/>
    <n v="0"/>
    <n v="0"/>
    <n v="0"/>
    <n v="0"/>
    <s v=""/>
    <x v="1"/>
    <x v="2"/>
    <s v=""/>
    <s v=""/>
    <s v="No"/>
  </r>
  <r>
    <n v="64.5"/>
    <d v="2012-01-13T00:00:00"/>
    <x v="0"/>
    <s v="KBC"/>
    <s v="Kachin"/>
    <m/>
    <s v="Le Pyin Christian Church"/>
    <m/>
    <m/>
    <m/>
    <n v="10"/>
    <n v="5"/>
    <n v="5"/>
    <n v="0"/>
    <n v="5"/>
    <n v="5"/>
    <n v="5"/>
    <m/>
    <m/>
    <m/>
    <m/>
    <m/>
    <m/>
    <m/>
    <n v="0"/>
    <n v="0"/>
    <n v="0"/>
    <n v="0"/>
    <n v="0"/>
    <n v="0"/>
    <n v="0"/>
    <n v="0"/>
    <n v="0"/>
    <n v="0"/>
    <n v="0"/>
    <n v="0"/>
    <n v="0"/>
    <n v="0"/>
    <n v="0"/>
    <n v="0"/>
    <n v="0"/>
    <n v="0"/>
    <s v=""/>
    <x v="1"/>
    <x v="2"/>
    <s v=""/>
    <s v=""/>
    <s v="No"/>
  </r>
  <r>
    <n v="64.5"/>
    <d v="2012-01-13T00:00:00"/>
    <x v="0"/>
    <s v="KBC"/>
    <s v="Kachin"/>
    <s v="Hpakant"/>
    <s v="Maw Si Zar, Thiriyardanar Sein, Damma Compound, Lone Khin"/>
    <m/>
    <m/>
    <m/>
    <n v="224"/>
    <n v="112"/>
    <n v="112"/>
    <n v="0"/>
    <n v="112"/>
    <n v="112"/>
    <n v="112"/>
    <m/>
    <m/>
    <m/>
    <m/>
    <m/>
    <m/>
    <m/>
    <n v="0"/>
    <n v="0"/>
    <n v="0"/>
    <n v="0"/>
    <n v="0"/>
    <n v="0"/>
    <n v="0"/>
    <n v="0"/>
    <n v="0"/>
    <n v="0"/>
    <n v="0"/>
    <n v="0"/>
    <n v="0"/>
    <n v="0"/>
    <n v="0"/>
    <n v="0"/>
    <n v="0"/>
    <n v="0"/>
    <s v="MMR001CMP106"/>
    <x v="0"/>
    <x v="1"/>
    <s v=""/>
    <s v=""/>
    <s v="No"/>
  </r>
  <r>
    <n v="64.5"/>
    <d v="2012-01-13T00:00:00"/>
    <x v="0"/>
    <s v="KBC"/>
    <s v="Kachin"/>
    <s v="Hpakant"/>
    <s v="Maw Wan, Kachin Baptist Church"/>
    <m/>
    <m/>
    <m/>
    <n v="34"/>
    <n v="17"/>
    <n v="17"/>
    <n v="0"/>
    <n v="17"/>
    <n v="17"/>
    <n v="17"/>
    <m/>
    <m/>
    <m/>
    <m/>
    <m/>
    <m/>
    <m/>
    <n v="0"/>
    <n v="0"/>
    <n v="0"/>
    <n v="0"/>
    <n v="0"/>
    <n v="0"/>
    <n v="0"/>
    <n v="0"/>
    <n v="0"/>
    <n v="0"/>
    <n v="0"/>
    <n v="0"/>
    <n v="0"/>
    <n v="0"/>
    <n v="0"/>
    <n v="0"/>
    <n v="0"/>
    <n v="0"/>
    <s v="MMR001CMP085"/>
    <x v="0"/>
    <x v="1"/>
    <s v=""/>
    <s v=""/>
    <s v="No"/>
  </r>
  <r>
    <n v="64.5"/>
    <d v="2012-01-13T00:00:00"/>
    <x v="0"/>
    <s v="KBC"/>
    <s v="Kachin"/>
    <m/>
    <s v="Nant Yar Baptist Church"/>
    <m/>
    <m/>
    <m/>
    <n v="126"/>
    <n v="63"/>
    <n v="63"/>
    <n v="0"/>
    <n v="63"/>
    <n v="63"/>
    <n v="63"/>
    <m/>
    <m/>
    <m/>
    <m/>
    <m/>
    <m/>
    <m/>
    <n v="0"/>
    <n v="0"/>
    <n v="0"/>
    <n v="0"/>
    <n v="0"/>
    <n v="0"/>
    <n v="0"/>
    <n v="0"/>
    <n v="0"/>
    <n v="0"/>
    <n v="0"/>
    <n v="0"/>
    <n v="0"/>
    <n v="0"/>
    <n v="0"/>
    <n v="0"/>
    <n v="0"/>
    <n v="0"/>
    <s v=""/>
    <x v="1"/>
    <x v="2"/>
    <s v=""/>
    <s v=""/>
    <s v="No"/>
  </r>
  <r>
    <n v="64.5"/>
    <d v="2012-01-13T00:00:00"/>
    <x v="0"/>
    <s v="KBC"/>
    <s v="Kachin"/>
    <s v="Hpakant"/>
    <s v="Nga Pyaw Taw Baptist Nursery School "/>
    <m/>
    <m/>
    <m/>
    <n v="112"/>
    <n v="56"/>
    <n v="56"/>
    <n v="0"/>
    <n v="56"/>
    <n v="56"/>
    <n v="56"/>
    <m/>
    <m/>
    <m/>
    <m/>
    <m/>
    <m/>
    <m/>
    <n v="0"/>
    <n v="0"/>
    <n v="0"/>
    <n v="0"/>
    <n v="0"/>
    <n v="0"/>
    <n v="0"/>
    <n v="0"/>
    <n v="0"/>
    <n v="0"/>
    <n v="0"/>
    <n v="0"/>
    <n v="0"/>
    <n v="0"/>
    <n v="0"/>
    <n v="0"/>
    <n v="0"/>
    <n v="0"/>
    <s v="MMR001CMP082"/>
    <x v="0"/>
    <x v="1"/>
    <s v=""/>
    <n v="0"/>
    <s v="No"/>
  </r>
  <r>
    <n v="64.3"/>
    <d v="2012-01-19T00:00:00"/>
    <x v="0"/>
    <s v="KBC"/>
    <s v="Kachin"/>
    <s v="Myitkyina"/>
    <s v="Jan Mai Kawng Baptist Church"/>
    <m/>
    <m/>
    <m/>
    <n v="0"/>
    <n v="0"/>
    <n v="0"/>
    <n v="0"/>
    <n v="118"/>
    <n v="118"/>
    <n v="118"/>
    <m/>
    <m/>
    <m/>
    <m/>
    <m/>
    <m/>
    <m/>
    <n v="0"/>
    <n v="0"/>
    <n v="0"/>
    <n v="0"/>
    <n v="0"/>
    <n v="0"/>
    <n v="0"/>
    <n v="0"/>
    <n v="0"/>
    <n v="0"/>
    <n v="0"/>
    <n v="0"/>
    <n v="0"/>
    <n v="0"/>
    <n v="0"/>
    <n v="0"/>
    <n v="0"/>
    <n v="0"/>
    <s v="MMR001CMP018"/>
    <x v="0"/>
    <x v="0"/>
    <s v="P4"/>
    <n v="0"/>
    <s v="No"/>
  </r>
  <r>
    <n v="64.099999999999994"/>
    <d v="2012-01-25T00:00:00"/>
    <x v="1"/>
    <m/>
    <s v="Kachin"/>
    <s v="Bhamo"/>
    <s v="Lisu Boarding-House"/>
    <n v="94"/>
    <m/>
    <m/>
    <m/>
    <m/>
    <m/>
    <m/>
    <m/>
    <m/>
    <m/>
    <m/>
    <m/>
    <m/>
    <m/>
    <m/>
    <m/>
    <m/>
    <n v="0"/>
    <n v="0"/>
    <n v="0"/>
    <n v="0"/>
    <n v="0"/>
    <n v="0"/>
    <n v="0"/>
    <n v="0"/>
    <n v="0"/>
    <n v="0"/>
    <n v="0"/>
    <n v="0"/>
    <n v="0"/>
    <n v="0"/>
    <n v="0"/>
    <n v="0"/>
    <n v="0"/>
    <n v="0"/>
    <s v="MMR001CMP049"/>
    <x v="0"/>
    <x v="0"/>
    <s v="P4"/>
    <n v="0"/>
    <m/>
  </r>
  <r>
    <n v="63.9"/>
    <d v="2012-01-31T00:00:00"/>
    <x v="0"/>
    <s v="UNHCR"/>
    <s v="Kachin"/>
    <s v="Waingmaw"/>
    <s v="Qtr. 4 Monestry (Thargaya Thayett Taw)"/>
    <m/>
    <m/>
    <m/>
    <n v="0"/>
    <n v="0"/>
    <n v="0"/>
    <n v="0"/>
    <n v="61"/>
    <n v="61"/>
    <n v="61"/>
    <m/>
    <m/>
    <m/>
    <m/>
    <m/>
    <m/>
    <m/>
    <n v="0"/>
    <n v="0"/>
    <n v="0"/>
    <n v="0"/>
    <n v="0"/>
    <n v="0"/>
    <n v="0"/>
    <n v="0"/>
    <n v="0"/>
    <n v="0"/>
    <n v="0"/>
    <n v="0"/>
    <n v="0"/>
    <n v="0"/>
    <n v="0"/>
    <n v="0"/>
    <n v="0"/>
    <n v="0"/>
    <s v="MMR001CMP026"/>
    <x v="0"/>
    <x v="0"/>
    <s v="P4"/>
    <n v="0"/>
    <s v="No"/>
  </r>
  <r>
    <n v="63.833333333333336"/>
    <d v="2012-02-02T00:00:00"/>
    <x v="0"/>
    <s v="UNHCR"/>
    <s v="Kachin"/>
    <s v="Mansi"/>
    <s v="Mansi Baptist Church"/>
    <n v="718"/>
    <m/>
    <m/>
    <m/>
    <m/>
    <m/>
    <m/>
    <m/>
    <m/>
    <m/>
    <m/>
    <m/>
    <m/>
    <m/>
    <m/>
    <m/>
    <m/>
    <n v="0"/>
    <n v="0"/>
    <n v="0"/>
    <n v="0"/>
    <n v="0"/>
    <n v="0"/>
    <n v="0"/>
    <n v="0"/>
    <n v="0"/>
    <n v="0"/>
    <n v="0"/>
    <n v="0"/>
    <n v="0"/>
    <n v="0"/>
    <n v="0"/>
    <n v="0"/>
    <n v="0"/>
    <n v="0"/>
    <s v="MMR001CMP066"/>
    <x v="0"/>
    <x v="0"/>
    <s v="P4"/>
    <n v="0"/>
    <m/>
  </r>
  <r>
    <n v="63.833333333333336"/>
    <d v="2012-02-02T00:00:00"/>
    <x v="1"/>
    <s v="Solidarities"/>
    <s v="Kachin"/>
    <s v="Mansi"/>
    <s v="Mansi Baptist Church"/>
    <n v="718"/>
    <m/>
    <m/>
    <m/>
    <m/>
    <m/>
    <m/>
    <m/>
    <m/>
    <m/>
    <m/>
    <m/>
    <m/>
    <m/>
    <m/>
    <m/>
    <m/>
    <n v="0"/>
    <n v="0"/>
    <n v="0"/>
    <n v="0"/>
    <n v="0"/>
    <n v="0"/>
    <n v="0"/>
    <n v="0"/>
    <n v="0"/>
    <n v="0"/>
    <n v="0"/>
    <n v="0"/>
    <n v="0"/>
    <n v="0"/>
    <n v="0"/>
    <n v="0"/>
    <n v="0"/>
    <n v="0"/>
    <s v="MMR001CMP066"/>
    <x v="0"/>
    <x v="0"/>
    <s v="P4"/>
    <n v="0"/>
    <m/>
  </r>
  <r>
    <n v="63.7"/>
    <d v="2012-02-06T00:00:00"/>
    <x v="0"/>
    <s v="UNHCR"/>
    <s v="Kachin"/>
    <s v="Waingmaw"/>
    <s v="Qtr. 4 Monestry (Thargaya Thayett Taw)"/>
    <m/>
    <m/>
    <m/>
    <n v="0"/>
    <n v="0"/>
    <n v="0"/>
    <n v="0"/>
    <n v="13"/>
    <n v="13"/>
    <n v="13"/>
    <m/>
    <m/>
    <m/>
    <m/>
    <m/>
    <m/>
    <m/>
    <n v="0"/>
    <n v="0"/>
    <n v="0"/>
    <n v="0"/>
    <n v="0"/>
    <n v="0"/>
    <n v="0"/>
    <n v="0"/>
    <n v="0"/>
    <n v="0"/>
    <n v="0"/>
    <n v="0"/>
    <n v="0"/>
    <n v="0"/>
    <n v="0"/>
    <n v="0"/>
    <n v="0"/>
    <n v="0"/>
    <s v="MMR001CMP026"/>
    <x v="0"/>
    <x v="0"/>
    <s v="P4"/>
    <n v="0"/>
    <s v="No"/>
  </r>
  <r>
    <n v="63.666666666666664"/>
    <d v="2012-02-07T00:00:00"/>
    <x v="0"/>
    <s v="SC&amp;L Group"/>
    <s v="Kachin"/>
    <s v="Myitkyina"/>
    <s v="Maw Hpawng Hka Nan Baptist Church"/>
    <m/>
    <m/>
    <m/>
    <n v="38"/>
    <n v="18"/>
    <n v="38"/>
    <n v="18"/>
    <n v="18"/>
    <n v="18"/>
    <n v="18"/>
    <m/>
    <m/>
    <m/>
    <m/>
    <m/>
    <m/>
    <m/>
    <n v="0"/>
    <n v="0"/>
    <n v="0"/>
    <n v="0"/>
    <n v="0"/>
    <n v="0"/>
    <n v="0"/>
    <n v="0"/>
    <n v="0"/>
    <n v="0"/>
    <n v="0"/>
    <n v="0"/>
    <n v="0"/>
    <n v="0"/>
    <n v="0"/>
    <n v="0"/>
    <n v="0"/>
    <n v="0"/>
    <s v="MMR001CMP020"/>
    <x v="0"/>
    <x v="0"/>
    <s v="P4"/>
    <n v="4.4099272362006027E-4"/>
    <s v="No"/>
  </r>
  <r>
    <n v="63.666666666666664"/>
    <d v="2012-02-07T00:00:00"/>
    <x v="1"/>
    <s v="Solidarities"/>
    <s v="Kachin"/>
    <s v="Bhamo"/>
    <s v="Nant Hlaing Church"/>
    <n v="90"/>
    <m/>
    <m/>
    <m/>
    <m/>
    <m/>
    <m/>
    <m/>
    <m/>
    <m/>
    <m/>
    <m/>
    <m/>
    <m/>
    <m/>
    <m/>
    <m/>
    <n v="0"/>
    <n v="0"/>
    <n v="0"/>
    <n v="0"/>
    <n v="0"/>
    <n v="0"/>
    <n v="0"/>
    <n v="0"/>
    <n v="0"/>
    <n v="0"/>
    <n v="0"/>
    <n v="0"/>
    <n v="0"/>
    <n v="0"/>
    <n v="0"/>
    <n v="0"/>
    <n v="0"/>
    <n v="0"/>
    <s v="MMR001CMP054"/>
    <x v="0"/>
    <x v="0"/>
    <s v="P4"/>
    <n v="0"/>
    <m/>
  </r>
  <r>
    <n v="63.6"/>
    <d v="2012-02-09T00:00:00"/>
    <x v="1"/>
    <s v="Solidarities"/>
    <s v="Kachin"/>
    <s v="Momauk"/>
    <s v="Momauk Baptist Church"/>
    <n v="138"/>
    <m/>
    <m/>
    <m/>
    <m/>
    <m/>
    <m/>
    <m/>
    <m/>
    <m/>
    <m/>
    <m/>
    <m/>
    <m/>
    <m/>
    <m/>
    <m/>
    <n v="0"/>
    <n v="0"/>
    <n v="0"/>
    <n v="0"/>
    <n v="0"/>
    <n v="0"/>
    <n v="0"/>
    <n v="0"/>
    <n v="0"/>
    <n v="0"/>
    <n v="0"/>
    <n v="0"/>
    <n v="0"/>
    <n v="0"/>
    <n v="0"/>
    <n v="0"/>
    <n v="0"/>
    <n v="0"/>
    <s v="MMR001CMP056"/>
    <x v="0"/>
    <x v="0"/>
    <s v="P4"/>
    <n v="0"/>
    <m/>
  </r>
  <r>
    <n v="63.56666666666667"/>
    <d v="2012-02-10T00:00:00"/>
    <x v="1"/>
    <s v="Solidarities"/>
    <s v="Kachin"/>
    <s v="Momauk"/>
    <s v="Momauk Catholic Church (St. Patrick)"/>
    <n v="192"/>
    <m/>
    <m/>
    <m/>
    <m/>
    <m/>
    <m/>
    <m/>
    <m/>
    <m/>
    <m/>
    <m/>
    <m/>
    <m/>
    <m/>
    <m/>
    <m/>
    <n v="0"/>
    <n v="0"/>
    <n v="0"/>
    <n v="0"/>
    <n v="0"/>
    <n v="0"/>
    <n v="0"/>
    <n v="0"/>
    <n v="0"/>
    <n v="0"/>
    <n v="0"/>
    <n v="0"/>
    <n v="0"/>
    <n v="0"/>
    <n v="0"/>
    <n v="0"/>
    <n v="0"/>
    <n v="0"/>
    <s v="MMR001CMP057"/>
    <x v="0"/>
    <x v="1"/>
    <s v="P4"/>
    <n v="0"/>
    <m/>
  </r>
  <r>
    <n v="63.43333333333333"/>
    <d v="2012-02-14T00:00:00"/>
    <x v="1"/>
    <s v="Solidarities"/>
    <s v="Kachin"/>
    <s v="Shwegu"/>
    <s v="Host Families"/>
    <n v="429"/>
    <m/>
    <m/>
    <m/>
    <m/>
    <m/>
    <m/>
    <m/>
    <m/>
    <m/>
    <m/>
    <m/>
    <m/>
    <m/>
    <m/>
    <m/>
    <m/>
    <n v="0"/>
    <n v="0"/>
    <n v="0"/>
    <n v="0"/>
    <n v="0"/>
    <n v="0"/>
    <n v="0"/>
    <n v="0"/>
    <n v="0"/>
    <n v="0"/>
    <n v="0"/>
    <n v="0"/>
    <n v="0"/>
    <n v="0"/>
    <n v="0"/>
    <n v="0"/>
    <n v="0"/>
    <n v="0"/>
    <s v="MMR001CMP163"/>
    <x v="0"/>
    <x v="0"/>
    <s v="P4"/>
    <s v=""/>
    <m/>
  </r>
  <r>
    <n v="63.4"/>
    <d v="2012-02-15T00:00:00"/>
    <x v="1"/>
    <s v="Solidarities"/>
    <s v="Kachin"/>
    <s v="Shwegu"/>
    <s v="Host Families"/>
    <n v="1070"/>
    <m/>
    <m/>
    <m/>
    <m/>
    <m/>
    <m/>
    <m/>
    <m/>
    <m/>
    <m/>
    <m/>
    <m/>
    <m/>
    <m/>
    <m/>
    <m/>
    <n v="0"/>
    <n v="0"/>
    <n v="0"/>
    <n v="0"/>
    <n v="0"/>
    <n v="0"/>
    <n v="0"/>
    <n v="0"/>
    <n v="0"/>
    <n v="0"/>
    <n v="0"/>
    <n v="0"/>
    <n v="0"/>
    <n v="0"/>
    <n v="0"/>
    <n v="0"/>
    <n v="0"/>
    <n v="0"/>
    <s v="MMR001CMP163"/>
    <x v="0"/>
    <x v="0"/>
    <s v="P4"/>
    <s v=""/>
    <m/>
  </r>
  <r>
    <n v="63.4"/>
    <d v="2012-02-15T00:00:00"/>
    <x v="1"/>
    <s v="Solidarities"/>
    <s v="Kachin"/>
    <s v="Momauk"/>
    <s v="Man Bung Catholic compound"/>
    <n v="8"/>
    <m/>
    <m/>
    <m/>
    <m/>
    <m/>
    <m/>
    <m/>
    <m/>
    <m/>
    <m/>
    <m/>
    <m/>
    <m/>
    <m/>
    <m/>
    <m/>
    <n v="0"/>
    <n v="0"/>
    <n v="0"/>
    <n v="0"/>
    <n v="0"/>
    <n v="0"/>
    <n v="0"/>
    <n v="0"/>
    <n v="0"/>
    <n v="0"/>
    <n v="0"/>
    <n v="0"/>
    <n v="0"/>
    <n v="0"/>
    <n v="0"/>
    <n v="0"/>
    <n v="0"/>
    <n v="0"/>
    <s v="MMR001CMP062"/>
    <x v="0"/>
    <x v="0"/>
    <s v="P4"/>
    <n v="0"/>
    <m/>
  </r>
  <r>
    <n v="63.333333333333336"/>
    <d v="2012-02-17T00:00:00"/>
    <x v="1"/>
    <s v="Solidarities"/>
    <s v="Kachin"/>
    <s v="Bhamo"/>
    <s v="Htoi San Church"/>
    <n v="240"/>
    <m/>
    <m/>
    <m/>
    <m/>
    <m/>
    <m/>
    <m/>
    <m/>
    <m/>
    <m/>
    <m/>
    <m/>
    <m/>
    <m/>
    <m/>
    <m/>
    <n v="0"/>
    <n v="0"/>
    <n v="0"/>
    <n v="0"/>
    <n v="0"/>
    <n v="0"/>
    <n v="0"/>
    <n v="0"/>
    <n v="0"/>
    <n v="0"/>
    <n v="0"/>
    <n v="0"/>
    <n v="0"/>
    <n v="0"/>
    <n v="0"/>
    <n v="0"/>
    <n v="0"/>
    <n v="0"/>
    <s v="MMR001CMP052"/>
    <x v="0"/>
    <x v="0"/>
    <s v="P4"/>
    <n v="0"/>
    <m/>
  </r>
  <r>
    <n v="63.166666666666664"/>
    <d v="2012-02-22T00:00:00"/>
    <x v="1"/>
    <s v="Solidarities"/>
    <s v="Kachin"/>
    <s v="Bhamo"/>
    <s v="Chan Myae monastery"/>
    <n v="23"/>
    <m/>
    <m/>
    <m/>
    <m/>
    <m/>
    <m/>
    <m/>
    <m/>
    <m/>
    <m/>
    <m/>
    <m/>
    <m/>
    <m/>
    <m/>
    <m/>
    <n v="0"/>
    <n v="0"/>
    <n v="0"/>
    <n v="0"/>
    <n v="0"/>
    <n v="0"/>
    <n v="0"/>
    <n v="0"/>
    <n v="0"/>
    <n v="0"/>
    <n v="0"/>
    <n v="0"/>
    <n v="0"/>
    <n v="0"/>
    <n v="0"/>
    <n v="0"/>
    <n v="0"/>
    <n v="0"/>
    <s v=""/>
    <x v="1"/>
    <x v="2"/>
    <s v=""/>
    <s v=""/>
    <m/>
  </r>
  <r>
    <n v="63.166666666666664"/>
    <d v="2012-02-22T00:00:00"/>
    <x v="0"/>
    <s v="Shalom"/>
    <s v="Kachin"/>
    <s v="Momauk"/>
    <s v="Ni Thaw Ka Monestry"/>
    <n v="149"/>
    <m/>
    <m/>
    <m/>
    <m/>
    <m/>
    <m/>
    <m/>
    <m/>
    <m/>
    <m/>
    <m/>
    <m/>
    <m/>
    <m/>
    <m/>
    <m/>
    <n v="0"/>
    <n v="0"/>
    <n v="0"/>
    <n v="0"/>
    <n v="0"/>
    <n v="0"/>
    <n v="0"/>
    <n v="0"/>
    <n v="0"/>
    <n v="0"/>
    <n v="0"/>
    <n v="0"/>
    <n v="0"/>
    <n v="0"/>
    <n v="0"/>
    <n v="0"/>
    <n v="0"/>
    <n v="0"/>
    <s v="MMR001CMP059"/>
    <x v="0"/>
    <x v="1"/>
    <s v="P4"/>
    <n v="0"/>
    <m/>
  </r>
  <r>
    <n v="63.166666666666664"/>
    <d v="2012-02-22T00:00:00"/>
    <x v="1"/>
    <s v="Solidarities"/>
    <s v="Kachin"/>
    <s v="Momauk"/>
    <s v="Ni Thaw Ka Monestry"/>
    <n v="149"/>
    <m/>
    <m/>
    <m/>
    <m/>
    <m/>
    <m/>
    <m/>
    <m/>
    <m/>
    <m/>
    <m/>
    <m/>
    <m/>
    <m/>
    <m/>
    <m/>
    <n v="0"/>
    <n v="0"/>
    <n v="0"/>
    <n v="0"/>
    <n v="0"/>
    <n v="0"/>
    <n v="0"/>
    <n v="0"/>
    <n v="0"/>
    <n v="0"/>
    <n v="0"/>
    <n v="0"/>
    <n v="0"/>
    <n v="0"/>
    <n v="0"/>
    <n v="0"/>
    <n v="0"/>
    <n v="0"/>
    <s v="MMR001CMP059"/>
    <x v="0"/>
    <x v="1"/>
    <s v="P4"/>
    <n v="0"/>
    <m/>
  </r>
  <r>
    <n v="63.133333333333333"/>
    <d v="2012-02-23T00:00:00"/>
    <x v="1"/>
    <s v="Solidarities"/>
    <s v="Kachin"/>
    <s v="Momauk"/>
    <s v="Loi Je Baptist Church"/>
    <n v="172"/>
    <m/>
    <m/>
    <m/>
    <m/>
    <m/>
    <m/>
    <m/>
    <m/>
    <m/>
    <m/>
    <m/>
    <m/>
    <m/>
    <m/>
    <m/>
    <m/>
    <n v="0"/>
    <n v="0"/>
    <n v="0"/>
    <n v="0"/>
    <n v="0"/>
    <n v="0"/>
    <n v="0"/>
    <n v="0"/>
    <n v="0"/>
    <n v="0"/>
    <n v="0"/>
    <n v="0"/>
    <n v="0"/>
    <n v="0"/>
    <n v="0"/>
    <n v="0"/>
    <n v="0"/>
    <n v="0"/>
    <s v="MMR001CMP071"/>
    <x v="0"/>
    <x v="0"/>
    <s v="P3"/>
    <n v="0"/>
    <m/>
  </r>
  <r>
    <n v="63.133333333333333"/>
    <d v="2012-02-23T00:00:00"/>
    <x v="1"/>
    <s v="Solidarities"/>
    <s v="Kachin"/>
    <s v="Momauk"/>
    <s v="Loi Je Catholic Church"/>
    <n v="227"/>
    <m/>
    <m/>
    <m/>
    <m/>
    <m/>
    <m/>
    <m/>
    <m/>
    <m/>
    <m/>
    <m/>
    <m/>
    <m/>
    <m/>
    <m/>
    <m/>
    <n v="0"/>
    <n v="0"/>
    <n v="0"/>
    <n v="0"/>
    <n v="0"/>
    <n v="0"/>
    <n v="0"/>
    <n v="0"/>
    <n v="0"/>
    <n v="0"/>
    <n v="0"/>
    <n v="0"/>
    <n v="0"/>
    <n v="0"/>
    <n v="0"/>
    <n v="0"/>
    <n v="0"/>
    <n v="0"/>
    <s v="MMR001CMP069"/>
    <x v="0"/>
    <x v="0"/>
    <s v="P3"/>
    <n v="0"/>
    <m/>
  </r>
  <r>
    <n v="63.033333333333331"/>
    <d v="2012-02-26T00:00:00"/>
    <x v="0"/>
    <s v="UNHCR"/>
    <s v="Kachin"/>
    <s v="Myitkyina"/>
    <s v="Pamati Kayan"/>
    <m/>
    <m/>
    <m/>
    <n v="25"/>
    <n v="18"/>
    <n v="25"/>
    <n v="18"/>
    <n v="18"/>
    <n v="18"/>
    <n v="18"/>
    <m/>
    <m/>
    <m/>
    <m/>
    <m/>
    <m/>
    <m/>
    <n v="0"/>
    <n v="0"/>
    <n v="0"/>
    <n v="0"/>
    <n v="0"/>
    <n v="0"/>
    <n v="0"/>
    <n v="0"/>
    <n v="0"/>
    <n v="0"/>
    <n v="0"/>
    <n v="0"/>
    <n v="0"/>
    <n v="0"/>
    <n v="0"/>
    <n v="0"/>
    <n v="0"/>
    <n v="0"/>
    <s v=""/>
    <x v="1"/>
    <x v="2"/>
    <s v=""/>
    <s v=""/>
    <s v="No"/>
  </r>
  <r>
    <n v="63.033333333333331"/>
    <d v="2012-02-26T00:00:00"/>
    <x v="0"/>
    <s v="SC&amp;L Group"/>
    <s v="Kachin"/>
    <s v="Myitkyina"/>
    <s v="Pan Ma Tee"/>
    <m/>
    <m/>
    <m/>
    <n v="25"/>
    <n v="0"/>
    <n v="25"/>
    <n v="0"/>
    <n v="10"/>
    <n v="10"/>
    <n v="10"/>
    <m/>
    <m/>
    <m/>
    <m/>
    <m/>
    <m/>
    <m/>
    <n v="0"/>
    <n v="0"/>
    <n v="0"/>
    <n v="0"/>
    <n v="0"/>
    <n v="0"/>
    <n v="0"/>
    <n v="0"/>
    <n v="0"/>
    <n v="0"/>
    <n v="0"/>
    <n v="0"/>
    <n v="0"/>
    <n v="0"/>
    <n v="0"/>
    <n v="0"/>
    <n v="0"/>
    <n v="0"/>
    <s v=""/>
    <x v="1"/>
    <x v="2"/>
    <s v=""/>
    <s v=""/>
    <s v="No"/>
  </r>
  <r>
    <n v="63"/>
    <d v="2012-02-27T00:00:00"/>
    <x v="0"/>
    <s v="SC&amp;L Group"/>
    <s v="Kachin"/>
    <s v="Myitkyina"/>
    <s v="Wun Tho Buddhist Monastery"/>
    <m/>
    <m/>
    <m/>
    <n v="34"/>
    <n v="0"/>
    <n v="34"/>
    <n v="0"/>
    <n v="34"/>
    <n v="34"/>
    <n v="34"/>
    <m/>
    <m/>
    <m/>
    <m/>
    <m/>
    <m/>
    <m/>
    <n v="0"/>
    <n v="0"/>
    <n v="0"/>
    <n v="0"/>
    <n v="0"/>
    <n v="0"/>
    <n v="0"/>
    <n v="0"/>
    <n v="0"/>
    <n v="0"/>
    <n v="0"/>
    <n v="0"/>
    <n v="0"/>
    <n v="0"/>
    <n v="0"/>
    <n v="0"/>
    <n v="0"/>
    <n v="0"/>
    <s v="MMR001CMP022"/>
    <x v="0"/>
    <x v="0"/>
    <s v="P4"/>
    <n v="0"/>
    <s v="No"/>
  </r>
  <r>
    <n v="62.7"/>
    <d v="2012-03-07T00:00:00"/>
    <x v="0"/>
    <s v="UNHCR"/>
    <s v="Kachin"/>
    <s v="Waingmaw"/>
    <s v="Qtr. 2 Lhaovo Baptist Church"/>
    <m/>
    <m/>
    <m/>
    <n v="12"/>
    <n v="8"/>
    <n v="12"/>
    <n v="8"/>
    <n v="8"/>
    <n v="8"/>
    <n v="8"/>
    <m/>
    <m/>
    <m/>
    <m/>
    <m/>
    <m/>
    <m/>
    <n v="0"/>
    <n v="0"/>
    <n v="0"/>
    <n v="0"/>
    <n v="0"/>
    <n v="0"/>
    <n v="0"/>
    <n v="0"/>
    <n v="0"/>
    <n v="0"/>
    <n v="0"/>
    <n v="0"/>
    <n v="0"/>
    <n v="0"/>
    <n v="0"/>
    <n v="0"/>
    <n v="0"/>
    <n v="0"/>
    <s v="MMR001CMP032"/>
    <x v="0"/>
    <x v="0"/>
    <s v="P4"/>
    <n v="1.9643953345610803E-4"/>
    <s v="No"/>
  </r>
  <r>
    <n v="62.7"/>
    <d v="2012-03-07T00:00:00"/>
    <x v="0"/>
    <s v="UNHCR"/>
    <s v="Kachin"/>
    <s v="Waingmaw"/>
    <s v="Thargaya Lisu Baptist Church"/>
    <m/>
    <m/>
    <m/>
    <n v="38"/>
    <n v="18"/>
    <n v="38"/>
    <n v="17"/>
    <n v="18"/>
    <n v="18"/>
    <n v="18"/>
    <m/>
    <m/>
    <m/>
    <m/>
    <m/>
    <m/>
    <m/>
    <n v="0"/>
    <n v="0"/>
    <n v="0"/>
    <n v="0"/>
    <n v="0"/>
    <n v="0"/>
    <n v="0"/>
    <n v="0"/>
    <n v="0"/>
    <n v="0"/>
    <n v="0"/>
    <n v="0"/>
    <n v="0"/>
    <n v="0"/>
    <n v="0"/>
    <n v="0"/>
    <n v="0"/>
    <n v="0"/>
    <s v="MMR001CMP037"/>
    <x v="0"/>
    <x v="0"/>
    <s v="P4"/>
    <n v="4.1617704661182925E-4"/>
    <s v="No"/>
  </r>
  <r>
    <n v="62.6"/>
    <d v="2012-03-10T00:00:00"/>
    <x v="1"/>
    <m/>
    <s v="Kachin"/>
    <s v="Momauk"/>
    <s v="Tarli "/>
    <n v="36"/>
    <m/>
    <m/>
    <m/>
    <m/>
    <m/>
    <m/>
    <m/>
    <m/>
    <m/>
    <m/>
    <m/>
    <m/>
    <m/>
    <m/>
    <m/>
    <m/>
    <n v="0"/>
    <n v="0"/>
    <n v="0"/>
    <n v="0"/>
    <n v="0"/>
    <n v="0"/>
    <n v="0"/>
    <n v="0"/>
    <n v="0"/>
    <n v="0"/>
    <n v="0"/>
    <n v="0"/>
    <n v="0"/>
    <n v="0"/>
    <n v="0"/>
    <n v="0"/>
    <n v="0"/>
    <n v="0"/>
    <s v="MMR001CMP060"/>
    <x v="0"/>
    <x v="0"/>
    <s v="P4"/>
    <s v=""/>
    <m/>
  </r>
  <r>
    <n v="62.466666666666669"/>
    <d v="2012-03-14T00:00:00"/>
    <x v="1"/>
    <s v="Solidarities"/>
    <s v="Kachin"/>
    <s v="Bhamo"/>
    <s v="Robert Church"/>
    <n v="2188"/>
    <m/>
    <m/>
    <m/>
    <m/>
    <m/>
    <m/>
    <m/>
    <m/>
    <m/>
    <m/>
    <m/>
    <m/>
    <m/>
    <m/>
    <m/>
    <m/>
    <n v="0"/>
    <n v="0"/>
    <n v="0"/>
    <n v="0"/>
    <n v="0"/>
    <n v="0"/>
    <n v="0"/>
    <n v="0"/>
    <n v="0"/>
    <n v="0"/>
    <n v="0"/>
    <n v="0"/>
    <n v="0"/>
    <n v="0"/>
    <n v="0"/>
    <n v="0"/>
    <n v="0"/>
    <n v="0"/>
    <s v="MMR001CMP047"/>
    <x v="0"/>
    <x v="0"/>
    <s v="P4"/>
    <n v="0"/>
    <m/>
  </r>
  <r>
    <n v="62.4"/>
    <d v="2012-03-16T00:00:00"/>
    <x v="1"/>
    <s v="LDO"/>
    <s v="Kachin"/>
    <s v="Shwegu"/>
    <s v="Shwe Gu Baptist Church"/>
    <n v="94"/>
    <m/>
    <m/>
    <m/>
    <m/>
    <m/>
    <m/>
    <m/>
    <m/>
    <m/>
    <m/>
    <m/>
    <m/>
    <m/>
    <m/>
    <m/>
    <m/>
    <n v="0"/>
    <n v="0"/>
    <n v="0"/>
    <n v="0"/>
    <n v="0"/>
    <n v="0"/>
    <n v="0"/>
    <n v="0"/>
    <n v="0"/>
    <n v="0"/>
    <n v="0"/>
    <n v="0"/>
    <n v="0"/>
    <n v="0"/>
    <n v="0"/>
    <n v="0"/>
    <n v="0"/>
    <n v="0"/>
    <s v="MMR001CMP067"/>
    <x v="0"/>
    <x v="0"/>
    <s v="P4"/>
    <n v="0"/>
    <m/>
  </r>
  <r>
    <n v="62.4"/>
    <d v="2012-03-16T00:00:00"/>
    <x v="1"/>
    <s v="LDO"/>
    <s v="Kachin"/>
    <s v="Shwegu"/>
    <s v="Shwe Gu Catholic Church"/>
    <n v="49"/>
    <m/>
    <m/>
    <m/>
    <m/>
    <m/>
    <m/>
    <m/>
    <m/>
    <m/>
    <m/>
    <m/>
    <m/>
    <m/>
    <m/>
    <m/>
    <m/>
    <n v="0"/>
    <n v="0"/>
    <n v="0"/>
    <n v="0"/>
    <n v="0"/>
    <n v="0"/>
    <n v="0"/>
    <n v="0"/>
    <n v="0"/>
    <n v="0"/>
    <n v="0"/>
    <n v="0"/>
    <n v="0"/>
    <n v="0"/>
    <n v="0"/>
    <n v="0"/>
    <n v="0"/>
    <n v="0"/>
    <s v="MMR001CMP068"/>
    <x v="0"/>
    <x v="0"/>
    <s v="P4"/>
    <n v="0"/>
    <m/>
  </r>
  <r>
    <n v="62.333333333333336"/>
    <d v="2012-03-18T00:00:00"/>
    <x v="1"/>
    <s v="Solidarities"/>
    <s v="Kachin"/>
    <s v="Momauk"/>
    <s v="Khun Sint Village"/>
    <n v="850"/>
    <m/>
    <m/>
    <m/>
    <m/>
    <m/>
    <m/>
    <m/>
    <m/>
    <m/>
    <m/>
    <m/>
    <m/>
    <m/>
    <m/>
    <m/>
    <m/>
    <n v="0"/>
    <n v="0"/>
    <n v="0"/>
    <n v="0"/>
    <n v="0"/>
    <n v="0"/>
    <n v="0"/>
    <n v="0"/>
    <n v="0"/>
    <n v="0"/>
    <n v="0"/>
    <n v="0"/>
    <n v="0"/>
    <n v="0"/>
    <n v="0"/>
    <n v="0"/>
    <n v="0"/>
    <n v="0"/>
    <s v="MMR001CMP200"/>
    <x v="0"/>
    <x v="0"/>
    <s v="P4"/>
    <s v=""/>
    <m/>
  </r>
  <r>
    <n v="62.06666666666667"/>
    <d v="2012-03-26T00:00:00"/>
    <x v="0"/>
    <s v="UNHCR"/>
    <s v="Kachin"/>
    <s v="Waingmaw"/>
    <s v="Border Post 8"/>
    <m/>
    <m/>
    <m/>
    <n v="460"/>
    <n v="250"/>
    <n v="460"/>
    <n v="230"/>
    <n v="0"/>
    <m/>
    <m/>
    <m/>
    <m/>
    <m/>
    <m/>
    <m/>
    <m/>
    <m/>
    <n v="0"/>
    <n v="0"/>
    <n v="0"/>
    <n v="0"/>
    <n v="0"/>
    <n v="0"/>
    <n v="0"/>
    <n v="0"/>
    <n v="0"/>
    <n v="0"/>
    <n v="0"/>
    <n v="0"/>
    <n v="0"/>
    <n v="0"/>
    <n v="0"/>
    <n v="0"/>
    <n v="0"/>
    <n v="0"/>
    <s v="MMR001CMP113"/>
    <x v="0"/>
    <x v="0"/>
    <s v="P1"/>
    <n v="5.6306306306306304E-3"/>
    <s v="No"/>
  </r>
  <r>
    <n v="62.06666666666667"/>
    <d v="2012-03-26T00:00:00"/>
    <x v="0"/>
    <s v="UNHCR"/>
    <s v="Kachin"/>
    <s v="Momauk"/>
    <s v="Momauk Catholic Church (St. Patrick)"/>
    <m/>
    <m/>
    <m/>
    <n v="49"/>
    <n v="49"/>
    <n v="0"/>
    <n v="0"/>
    <n v="49"/>
    <n v="49"/>
    <n v="49"/>
    <m/>
    <m/>
    <m/>
    <m/>
    <m/>
    <m/>
    <m/>
    <n v="0"/>
    <n v="0"/>
    <n v="0"/>
    <n v="0"/>
    <n v="0"/>
    <n v="0"/>
    <n v="0"/>
    <n v="0"/>
    <n v="0"/>
    <n v="0"/>
    <n v="0"/>
    <n v="0"/>
    <n v="0"/>
    <n v="0"/>
    <n v="0"/>
    <n v="0"/>
    <n v="0"/>
    <n v="0"/>
    <s v="MMR001CMP057"/>
    <x v="0"/>
    <x v="1"/>
    <s v="P4"/>
    <n v="0"/>
    <s v="No"/>
  </r>
  <r>
    <n v="62.033333333333331"/>
    <d v="2012-03-27T00:00:00"/>
    <x v="0"/>
    <s v="UNHCR"/>
    <s v="Kachin"/>
    <s v="Bhamo"/>
    <s v="AD-2000 Tharthana Compound"/>
    <m/>
    <m/>
    <m/>
    <n v="560"/>
    <n v="280"/>
    <n v="560"/>
    <n v="280"/>
    <n v="280"/>
    <n v="280"/>
    <n v="280"/>
    <m/>
    <m/>
    <m/>
    <m/>
    <m/>
    <m/>
    <m/>
    <n v="0"/>
    <n v="0"/>
    <n v="0"/>
    <n v="0"/>
    <n v="0"/>
    <n v="0"/>
    <n v="0"/>
    <n v="0"/>
    <n v="0"/>
    <n v="0"/>
    <n v="0"/>
    <n v="0"/>
    <n v="0"/>
    <n v="0"/>
    <n v="0"/>
    <n v="0"/>
    <n v="0"/>
    <n v="0"/>
    <s v="MMR001CMP050"/>
    <x v="0"/>
    <x v="0"/>
    <s v="P4"/>
    <n v="6.8546807677242463E-3"/>
    <s v="No"/>
  </r>
  <r>
    <n v="62.033333333333331"/>
    <d v="2012-03-27T00:00:00"/>
    <x v="0"/>
    <s v="UNHCR"/>
    <s v="Kachin"/>
    <s v="Waingmaw"/>
    <s v="Border Post 8"/>
    <m/>
    <m/>
    <m/>
    <n v="460"/>
    <n v="228"/>
    <n v="460"/>
    <n v="228"/>
    <n v="228"/>
    <n v="228"/>
    <n v="228"/>
    <m/>
    <m/>
    <m/>
    <m/>
    <m/>
    <m/>
    <m/>
    <n v="0"/>
    <n v="0"/>
    <n v="0"/>
    <n v="0"/>
    <n v="0"/>
    <n v="0"/>
    <n v="0"/>
    <n v="0"/>
    <n v="0"/>
    <n v="0"/>
    <n v="0"/>
    <n v="0"/>
    <n v="0"/>
    <n v="0"/>
    <n v="0"/>
    <n v="0"/>
    <n v="0"/>
    <n v="0"/>
    <s v="MMR001CMP113"/>
    <x v="0"/>
    <x v="0"/>
    <s v="P1"/>
    <n v="5.5816686251468862E-3"/>
    <s v="No"/>
  </r>
  <r>
    <n v="62.033333333333331"/>
    <d v="2012-03-27T00:00:00"/>
    <x v="0"/>
    <s v="UNHCR"/>
    <s v="Kachin"/>
    <s v="Waingmaw"/>
    <s v="Post 6 Camp"/>
    <m/>
    <m/>
    <m/>
    <n v="0"/>
    <n v="40"/>
    <n v="0"/>
    <n v="0"/>
    <n v="0"/>
    <m/>
    <m/>
    <m/>
    <m/>
    <m/>
    <m/>
    <m/>
    <m/>
    <m/>
    <n v="0"/>
    <n v="0"/>
    <n v="0"/>
    <n v="0"/>
    <n v="0"/>
    <n v="0"/>
    <n v="0"/>
    <n v="0"/>
    <n v="0"/>
    <n v="0"/>
    <n v="0"/>
    <n v="0"/>
    <n v="0"/>
    <n v="0"/>
    <n v="0"/>
    <n v="0"/>
    <n v="0"/>
    <n v="0"/>
    <s v="MMR001CMP160"/>
    <x v="0"/>
    <x v="0"/>
    <s v="P1"/>
    <n v="0"/>
    <s v="No"/>
  </r>
  <r>
    <n v="62.033333333333331"/>
    <d v="2012-03-27T00:00:00"/>
    <x v="0"/>
    <s v="UNHCR"/>
    <s v="Kachin"/>
    <s v="Bhamo"/>
    <s v="Robert Church"/>
    <m/>
    <m/>
    <m/>
    <n v="1000"/>
    <n v="500"/>
    <n v="1000"/>
    <n v="500"/>
    <n v="500"/>
    <n v="500"/>
    <n v="500"/>
    <m/>
    <m/>
    <m/>
    <m/>
    <m/>
    <m/>
    <m/>
    <n v="0"/>
    <n v="0"/>
    <n v="0"/>
    <n v="0"/>
    <n v="0"/>
    <n v="0"/>
    <n v="0"/>
    <n v="0"/>
    <n v="0"/>
    <n v="0"/>
    <n v="0"/>
    <n v="0"/>
    <n v="0"/>
    <n v="0"/>
    <n v="0"/>
    <n v="0"/>
    <n v="0"/>
    <n v="0"/>
    <s v="MMR001CMP047"/>
    <x v="0"/>
    <x v="0"/>
    <s v="P4"/>
    <n v="1.2277470841006752E-2"/>
    <s v="No"/>
  </r>
  <r>
    <n v="62.033333333333331"/>
    <d v="2012-03-27T00:00:00"/>
    <x v="0"/>
    <s v="UNHCR"/>
    <s v="Kachin"/>
    <s v="Momauk"/>
    <s v="Mai Ja Yang Gat Pa "/>
    <m/>
    <m/>
    <m/>
    <n v="52"/>
    <n v="52"/>
    <n v="0"/>
    <n v="0"/>
    <n v="0"/>
    <m/>
    <m/>
    <m/>
    <m/>
    <m/>
    <m/>
    <m/>
    <m/>
    <m/>
    <n v="0"/>
    <n v="0"/>
    <n v="0"/>
    <n v="0"/>
    <n v="0"/>
    <n v="0"/>
    <n v="0"/>
    <n v="0"/>
    <n v="0"/>
    <n v="0"/>
    <n v="0"/>
    <n v="0"/>
    <n v="0"/>
    <n v="0"/>
    <n v="0"/>
    <n v="0"/>
    <n v="0"/>
    <n v="0"/>
    <s v=""/>
    <x v="1"/>
    <x v="2"/>
    <s v=""/>
    <s v=""/>
    <s v="No"/>
  </r>
  <r>
    <n v="62"/>
    <d v="2012-03-28T00:00:00"/>
    <x v="0"/>
    <s v="UNHCR"/>
    <s v="Kachin"/>
    <s v="Momauk"/>
    <s v="Mai Ja Yang Ung Lung "/>
    <m/>
    <m/>
    <m/>
    <n v="217"/>
    <n v="217"/>
    <n v="0"/>
    <n v="0"/>
    <n v="0"/>
    <m/>
    <m/>
    <m/>
    <m/>
    <m/>
    <m/>
    <m/>
    <m/>
    <m/>
    <n v="0"/>
    <n v="0"/>
    <n v="0"/>
    <n v="0"/>
    <n v="0"/>
    <n v="0"/>
    <n v="0"/>
    <n v="0"/>
    <n v="0"/>
    <n v="0"/>
    <n v="0"/>
    <n v="0"/>
    <n v="0"/>
    <n v="0"/>
    <n v="0"/>
    <n v="0"/>
    <n v="0"/>
    <n v="0"/>
    <s v=""/>
    <x v="1"/>
    <x v="2"/>
    <s v=""/>
    <s v=""/>
    <s v="No"/>
  </r>
  <r>
    <n v="61.966666666666669"/>
    <d v="2012-03-29T00:00:00"/>
    <x v="0"/>
    <s v="UNHCR"/>
    <s v="Kachin"/>
    <s v="Mansi"/>
    <s v="Bum Tsit Pa "/>
    <m/>
    <m/>
    <m/>
    <n v="66"/>
    <n v="66"/>
    <n v="0"/>
    <n v="0"/>
    <n v="0"/>
    <m/>
    <m/>
    <m/>
    <m/>
    <m/>
    <m/>
    <m/>
    <m/>
    <m/>
    <n v="0"/>
    <n v="0"/>
    <n v="0"/>
    <n v="0"/>
    <n v="0"/>
    <n v="0"/>
    <n v="0"/>
    <n v="0"/>
    <n v="0"/>
    <n v="0"/>
    <n v="0"/>
    <n v="0"/>
    <n v="0"/>
    <n v="0"/>
    <n v="0"/>
    <n v="0"/>
    <n v="0"/>
    <n v="0"/>
    <s v="MMR001CMP129"/>
    <x v="0"/>
    <x v="0"/>
    <s v="P2"/>
    <n v="0"/>
    <s v="No"/>
  </r>
  <r>
    <n v="61.966666666666669"/>
    <d v="2012-03-29T00:00:00"/>
    <x v="0"/>
    <s v="UNHCR"/>
    <s v="Kachin"/>
    <s v="Momauk"/>
    <s v="Pa Kahtawng "/>
    <m/>
    <m/>
    <m/>
    <n v="0"/>
    <n v="50"/>
    <n v="0"/>
    <n v="0"/>
    <n v="0"/>
    <m/>
    <m/>
    <m/>
    <m/>
    <m/>
    <m/>
    <m/>
    <m/>
    <m/>
    <n v="0"/>
    <n v="0"/>
    <n v="0"/>
    <n v="0"/>
    <n v="0"/>
    <n v="0"/>
    <n v="0"/>
    <n v="0"/>
    <n v="0"/>
    <n v="0"/>
    <n v="0"/>
    <n v="0"/>
    <n v="0"/>
    <n v="0"/>
    <n v="0"/>
    <n v="0"/>
    <n v="0"/>
    <n v="0"/>
    <s v="MMR001CMP126"/>
    <x v="0"/>
    <x v="0"/>
    <s v="P2"/>
    <n v="0"/>
    <s v="No"/>
  </r>
  <r>
    <n v="61.966666666666669"/>
    <d v="2012-03-29T00:00:00"/>
    <x v="0"/>
    <s v="UNHCR"/>
    <s v="Kachin"/>
    <s v="Momauk"/>
    <s v="Seng Ja "/>
    <m/>
    <m/>
    <m/>
    <n v="66"/>
    <n v="66"/>
    <n v="0"/>
    <n v="0"/>
    <n v="0"/>
    <m/>
    <m/>
    <m/>
    <m/>
    <m/>
    <m/>
    <m/>
    <m/>
    <m/>
    <n v="0"/>
    <n v="0"/>
    <n v="0"/>
    <n v="0"/>
    <n v="0"/>
    <n v="0"/>
    <n v="0"/>
    <n v="0"/>
    <n v="0"/>
    <n v="0"/>
    <n v="0"/>
    <n v="0"/>
    <n v="0"/>
    <n v="0"/>
    <n v="0"/>
    <n v="0"/>
    <n v="0"/>
    <n v="0"/>
    <s v="MMR001CMP073"/>
    <x v="0"/>
    <x v="0"/>
    <s v="P3"/>
    <n v="0"/>
    <s v="No"/>
  </r>
  <r>
    <n v="61.8"/>
    <d v="2012-04-03T00:00:00"/>
    <x v="0"/>
    <s v="UNHCR"/>
    <s v="Kachin"/>
    <s v="Mansi"/>
    <s v="Lana Zup Ja "/>
    <m/>
    <m/>
    <m/>
    <n v="510"/>
    <n v="0"/>
    <n v="510"/>
    <n v="255"/>
    <n v="255"/>
    <n v="255"/>
    <n v="255"/>
    <m/>
    <m/>
    <m/>
    <m/>
    <m/>
    <m/>
    <m/>
    <n v="0"/>
    <n v="0"/>
    <n v="0"/>
    <n v="0"/>
    <n v="0"/>
    <n v="0"/>
    <n v="0"/>
    <n v="0"/>
    <n v="0"/>
    <n v="0"/>
    <n v="0"/>
    <n v="0"/>
    <n v="0"/>
    <n v="0"/>
    <n v="0"/>
    <n v="0"/>
    <n v="0"/>
    <n v="0"/>
    <s v="MMR001CMP128"/>
    <x v="0"/>
    <x v="0"/>
    <s v="P2"/>
    <n v="6.2473969179508539E-3"/>
    <s v="No"/>
  </r>
  <r>
    <n v="61.766666666666666"/>
    <d v="2012-04-04T00:00:00"/>
    <x v="0"/>
    <s v="UNHCR"/>
    <s v="Kachin"/>
    <s v="Mansi"/>
    <s v="Bum Tsit Pa "/>
    <m/>
    <m/>
    <m/>
    <n v="216"/>
    <n v="108"/>
    <n v="216"/>
    <n v="108"/>
    <n v="108"/>
    <n v="108"/>
    <n v="108"/>
    <m/>
    <m/>
    <m/>
    <m/>
    <m/>
    <m/>
    <m/>
    <n v="0"/>
    <n v="0"/>
    <n v="0"/>
    <n v="0"/>
    <n v="0"/>
    <n v="0"/>
    <n v="0"/>
    <n v="0"/>
    <n v="0"/>
    <n v="0"/>
    <n v="0"/>
    <n v="0"/>
    <n v="0"/>
    <n v="0"/>
    <n v="0"/>
    <n v="0"/>
    <n v="0"/>
    <n v="0"/>
    <s v="MMR001CMP129"/>
    <x v="0"/>
    <x v="0"/>
    <s v="P2"/>
    <n v="2.6459563417203617E-3"/>
    <s v="No"/>
  </r>
  <r>
    <n v="61.733333333333334"/>
    <d v="2012-04-05T00:00:00"/>
    <x v="0"/>
    <s v="UNHCR"/>
    <s v="Kachin"/>
    <s v="Momauk"/>
    <s v="Momauk Catholic Church (St. Patrick)"/>
    <m/>
    <m/>
    <m/>
    <n v="0"/>
    <n v="50"/>
    <n v="0"/>
    <n v="0"/>
    <n v="0"/>
    <m/>
    <m/>
    <m/>
    <m/>
    <m/>
    <m/>
    <m/>
    <m/>
    <m/>
    <n v="0"/>
    <n v="0"/>
    <n v="0"/>
    <n v="0"/>
    <n v="0"/>
    <n v="0"/>
    <n v="0"/>
    <n v="0"/>
    <n v="0"/>
    <n v="0"/>
    <n v="0"/>
    <n v="0"/>
    <n v="0"/>
    <n v="0"/>
    <n v="0"/>
    <n v="0"/>
    <n v="0"/>
    <n v="0"/>
    <s v="MMR001CMP057"/>
    <x v="0"/>
    <x v="1"/>
    <s v="P4"/>
    <n v="0"/>
    <s v="No"/>
  </r>
  <r>
    <n v="61.633333333333333"/>
    <d v="2012-04-08T00:00:00"/>
    <x v="1"/>
    <m/>
    <s v="Kachin"/>
    <s v="Bhamo"/>
    <s v="AD-2000 Tharthana Compound"/>
    <n v="302"/>
    <m/>
    <m/>
    <m/>
    <m/>
    <m/>
    <m/>
    <m/>
    <m/>
    <m/>
    <m/>
    <m/>
    <m/>
    <m/>
    <m/>
    <m/>
    <m/>
    <n v="0"/>
    <n v="0"/>
    <n v="0"/>
    <n v="0"/>
    <n v="0"/>
    <n v="0"/>
    <n v="0"/>
    <n v="0"/>
    <n v="0"/>
    <n v="0"/>
    <n v="0"/>
    <n v="0"/>
    <n v="0"/>
    <n v="0"/>
    <n v="0"/>
    <n v="0"/>
    <n v="0"/>
    <n v="0"/>
    <s v="MMR001CMP050"/>
    <x v="0"/>
    <x v="0"/>
    <s v="P4"/>
    <n v="0"/>
    <m/>
  </r>
  <r>
    <n v="61.56666666666667"/>
    <d v="2012-04-10T00:00:00"/>
    <x v="0"/>
    <s v="KBSS"/>
    <s v="Kachin"/>
    <s v="Shwegu"/>
    <s v="Shwe Gu Baptist Church"/>
    <m/>
    <m/>
    <m/>
    <n v="46"/>
    <n v="27"/>
    <n v="46"/>
    <n v="27"/>
    <n v="27"/>
    <n v="27"/>
    <n v="27"/>
    <m/>
    <m/>
    <m/>
    <m/>
    <m/>
    <m/>
    <m/>
    <n v="0"/>
    <n v="0"/>
    <n v="0"/>
    <n v="0"/>
    <n v="0"/>
    <n v="0"/>
    <n v="0"/>
    <n v="0"/>
    <n v="0"/>
    <n v="0"/>
    <n v="0"/>
    <n v="0"/>
    <n v="0"/>
    <n v="0"/>
    <n v="0"/>
    <n v="0"/>
    <n v="0"/>
    <n v="0"/>
    <s v="MMR001CMP067"/>
    <x v="0"/>
    <x v="0"/>
    <s v="P4"/>
    <n v="6.6298342541436467E-4"/>
    <s v="No"/>
  </r>
  <r>
    <n v="61.56666666666667"/>
    <d v="2012-04-10T00:00:00"/>
    <x v="0"/>
    <s v="KBSS"/>
    <s v="Kachin"/>
    <s v="Shwegu"/>
    <s v="Shwe Gu Catholic Church"/>
    <m/>
    <m/>
    <m/>
    <n v="43"/>
    <n v="25"/>
    <n v="43"/>
    <n v="25"/>
    <n v="25"/>
    <n v="25"/>
    <n v="25"/>
    <m/>
    <m/>
    <m/>
    <m/>
    <m/>
    <m/>
    <m/>
    <n v="0"/>
    <n v="0"/>
    <n v="0"/>
    <n v="0"/>
    <n v="0"/>
    <n v="0"/>
    <n v="0"/>
    <n v="0"/>
    <n v="0"/>
    <n v="0"/>
    <n v="0"/>
    <n v="0"/>
    <n v="0"/>
    <n v="0"/>
    <n v="0"/>
    <n v="0"/>
    <n v="0"/>
    <n v="0"/>
    <s v="MMR001CMP068"/>
    <x v="0"/>
    <x v="0"/>
    <s v="P4"/>
    <n v="6.1387354205033758E-4"/>
    <s v="No"/>
  </r>
  <r>
    <n v="61.5"/>
    <d v="2012-04-12T00:00:00"/>
    <x v="0"/>
    <s v="UNHCR"/>
    <s v="Kachin"/>
    <s v="Waingmaw"/>
    <s v="Post 6 Camp"/>
    <m/>
    <m/>
    <m/>
    <n v="123"/>
    <n v="95"/>
    <n v="123"/>
    <n v="95"/>
    <n v="95"/>
    <n v="95"/>
    <n v="95"/>
    <m/>
    <m/>
    <m/>
    <m/>
    <m/>
    <m/>
    <m/>
    <n v="0"/>
    <n v="0"/>
    <n v="0"/>
    <n v="0"/>
    <n v="0"/>
    <n v="0"/>
    <n v="0"/>
    <n v="0"/>
    <n v="0"/>
    <n v="0"/>
    <n v="0"/>
    <n v="0"/>
    <n v="0"/>
    <n v="0"/>
    <n v="0"/>
    <n v="0"/>
    <n v="0"/>
    <n v="0"/>
    <s v="MMR001CMP160"/>
    <x v="0"/>
    <x v="0"/>
    <s v="P1"/>
    <n v="2.3256952604778693E-3"/>
    <s v="No"/>
  </r>
  <r>
    <n v="61.166666666666664"/>
    <d v="2012-04-22T00:00:00"/>
    <x v="0"/>
    <s v="UNHCR"/>
    <s v="Kachin"/>
    <s v="Momauk"/>
    <s v="Je Gau  (+ WaRaPa )"/>
    <m/>
    <m/>
    <m/>
    <n v="846"/>
    <n v="423"/>
    <n v="846"/>
    <n v="423"/>
    <n v="423"/>
    <n v="423"/>
    <n v="423"/>
    <m/>
    <m/>
    <m/>
    <m/>
    <m/>
    <m/>
    <m/>
    <n v="0"/>
    <n v="0"/>
    <n v="0"/>
    <n v="0"/>
    <n v="0"/>
    <n v="0"/>
    <n v="0"/>
    <n v="0"/>
    <n v="0"/>
    <n v="0"/>
    <n v="0"/>
    <n v="0"/>
    <n v="0"/>
    <n v="0"/>
    <n v="0"/>
    <n v="0"/>
    <n v="0"/>
    <n v="0"/>
    <s v=""/>
    <x v="1"/>
    <x v="2"/>
    <s v=""/>
    <s v=""/>
    <s v="No"/>
  </r>
  <r>
    <n v="61.06666666666667"/>
    <d v="2012-04-25T00:00:00"/>
    <x v="1"/>
    <m/>
    <s v="Kachin"/>
    <s v="Bhamo"/>
    <s v="AD-2000 Tharthana Compound"/>
    <n v="1173"/>
    <m/>
    <m/>
    <m/>
    <m/>
    <m/>
    <m/>
    <m/>
    <m/>
    <m/>
    <m/>
    <m/>
    <m/>
    <m/>
    <m/>
    <m/>
    <m/>
    <n v="0"/>
    <n v="0"/>
    <n v="0"/>
    <n v="0"/>
    <n v="0"/>
    <n v="0"/>
    <n v="0"/>
    <n v="0"/>
    <n v="0"/>
    <n v="0"/>
    <n v="0"/>
    <n v="0"/>
    <n v="0"/>
    <n v="0"/>
    <n v="0"/>
    <n v="0"/>
    <n v="0"/>
    <n v="0"/>
    <s v="MMR001CMP050"/>
    <x v="0"/>
    <x v="0"/>
    <s v="P4"/>
    <n v="0"/>
    <m/>
  </r>
  <r>
    <n v="61.06666666666667"/>
    <d v="2012-04-25T00:00:00"/>
    <x v="0"/>
    <s v="UNHCR"/>
    <s v="Kachin"/>
    <s v="Momauk"/>
    <s v="Dum Bung "/>
    <m/>
    <m/>
    <m/>
    <n v="198"/>
    <n v="99"/>
    <n v="198"/>
    <n v="99"/>
    <n v="99"/>
    <n v="99"/>
    <n v="99"/>
    <m/>
    <m/>
    <m/>
    <m/>
    <m/>
    <m/>
    <m/>
    <n v="0"/>
    <n v="0"/>
    <n v="0"/>
    <n v="0"/>
    <n v="0"/>
    <n v="0"/>
    <n v="0"/>
    <n v="0"/>
    <n v="0"/>
    <n v="0"/>
    <n v="0"/>
    <n v="0"/>
    <n v="0"/>
    <n v="0"/>
    <n v="0"/>
    <n v="0"/>
    <n v="0"/>
    <n v="0"/>
    <s v="MMR001CMP123"/>
    <x v="0"/>
    <x v="0"/>
    <s v="P2"/>
    <n v="2.429090195308666E-3"/>
    <s v="No"/>
  </r>
  <r>
    <n v="61.06666666666667"/>
    <d v="2012-04-25T00:00:00"/>
    <x v="0"/>
    <s v="UNHCR"/>
    <s v="Kachin"/>
    <s v="Myitkyina"/>
    <s v="Wun Tho Buddhist Monastery"/>
    <m/>
    <m/>
    <m/>
    <n v="39"/>
    <n v="19"/>
    <n v="78"/>
    <n v="19"/>
    <n v="0"/>
    <m/>
    <m/>
    <m/>
    <m/>
    <m/>
    <m/>
    <m/>
    <m/>
    <m/>
    <n v="0"/>
    <n v="0"/>
    <n v="0"/>
    <n v="0"/>
    <n v="0"/>
    <n v="0"/>
    <n v="0"/>
    <n v="0"/>
    <n v="0"/>
    <n v="0"/>
    <n v="0"/>
    <n v="0"/>
    <n v="0"/>
    <n v="0"/>
    <n v="0"/>
    <n v="0"/>
    <n v="0"/>
    <n v="0"/>
    <s v="MMR001CMP022"/>
    <x v="0"/>
    <x v="0"/>
    <s v="P4"/>
    <n v="4.6341463414634144E-4"/>
    <s v="No"/>
  </r>
  <r>
    <n v="60.866666666666667"/>
    <d v="2012-05-01T00:00:00"/>
    <x v="0"/>
    <s v="UNHCR"/>
    <s v="Kachin"/>
    <s v="Waingmaw"/>
    <s v="Qtr. 4 Monestry (Thargaya Thayett Taw)"/>
    <m/>
    <m/>
    <m/>
    <n v="52"/>
    <n v="0"/>
    <n v="52"/>
    <n v="0"/>
    <n v="24"/>
    <n v="24"/>
    <n v="24"/>
    <m/>
    <m/>
    <m/>
    <m/>
    <m/>
    <m/>
    <m/>
    <n v="0"/>
    <n v="0"/>
    <n v="0"/>
    <n v="0"/>
    <n v="0"/>
    <n v="0"/>
    <n v="0"/>
    <n v="0"/>
    <n v="0"/>
    <n v="0"/>
    <n v="0"/>
    <n v="0"/>
    <n v="0"/>
    <n v="0"/>
    <n v="0"/>
    <n v="0"/>
    <n v="0"/>
    <n v="0"/>
    <s v="MMR001CMP026"/>
    <x v="0"/>
    <x v="0"/>
    <s v="P4"/>
    <n v="0"/>
    <s v="No"/>
  </r>
  <r>
    <n v="60.8"/>
    <d v="2012-05-03T00:00:00"/>
    <x v="0"/>
    <s v="UNHCR"/>
    <s v="Kachin"/>
    <s v="Waingmaw"/>
    <s v="Maina AG Church"/>
    <m/>
    <m/>
    <m/>
    <n v="42"/>
    <n v="0"/>
    <n v="42"/>
    <n v="0"/>
    <n v="20"/>
    <n v="20"/>
    <n v="20"/>
    <m/>
    <m/>
    <m/>
    <m/>
    <m/>
    <m/>
    <m/>
    <n v="0"/>
    <n v="0"/>
    <n v="0"/>
    <n v="0"/>
    <n v="0"/>
    <n v="0"/>
    <n v="0"/>
    <n v="0"/>
    <n v="0"/>
    <n v="0"/>
    <n v="0"/>
    <n v="0"/>
    <n v="0"/>
    <n v="0"/>
    <n v="0"/>
    <n v="0"/>
    <n v="0"/>
    <n v="0"/>
    <s v="MMR001CMP031"/>
    <x v="0"/>
    <x v="0"/>
    <s v="P4"/>
    <n v="0"/>
    <s v="No"/>
  </r>
  <r>
    <n v="60.8"/>
    <d v="2012-05-03T00:00:00"/>
    <x v="0"/>
    <s v="UNHCR"/>
    <s v="Kachin"/>
    <s v="Waingmaw"/>
    <s v="Qtr. 3 Mu-yin  Baptist Church"/>
    <m/>
    <m/>
    <m/>
    <n v="12"/>
    <n v="0"/>
    <n v="12"/>
    <n v="6"/>
    <n v="6"/>
    <n v="6"/>
    <n v="6"/>
    <m/>
    <m/>
    <m/>
    <m/>
    <m/>
    <m/>
    <m/>
    <n v="0"/>
    <n v="0"/>
    <n v="0"/>
    <n v="0"/>
    <n v="0"/>
    <n v="0"/>
    <n v="0"/>
    <n v="0"/>
    <n v="0"/>
    <n v="0"/>
    <n v="0"/>
    <n v="0"/>
    <n v="0"/>
    <n v="0"/>
    <n v="0"/>
    <n v="0"/>
    <n v="0"/>
    <n v="0"/>
    <s v="MMR001CMP030"/>
    <x v="0"/>
    <x v="0"/>
    <s v="P4"/>
    <n v="1.474382602285293E-4"/>
    <s v="No"/>
  </r>
  <r>
    <n v="60.8"/>
    <d v="2012-05-03T00:00:00"/>
    <x v="0"/>
    <s v="UNHCR"/>
    <s v="Kachin"/>
    <s v="Waingmaw"/>
    <s v="Qtr. 4 Monestry (Thargaya Thayett Taw)"/>
    <m/>
    <m/>
    <m/>
    <n v="34"/>
    <n v="0"/>
    <n v="34"/>
    <n v="0"/>
    <n v="18"/>
    <n v="18"/>
    <n v="18"/>
    <m/>
    <m/>
    <m/>
    <m/>
    <m/>
    <m/>
    <m/>
    <n v="0"/>
    <n v="0"/>
    <n v="0"/>
    <n v="0"/>
    <n v="0"/>
    <n v="0"/>
    <n v="0"/>
    <n v="0"/>
    <n v="0"/>
    <n v="0"/>
    <n v="0"/>
    <n v="0"/>
    <n v="0"/>
    <n v="0"/>
    <n v="0"/>
    <n v="0"/>
    <n v="0"/>
    <n v="0"/>
    <s v="MMR001CMP026"/>
    <x v="0"/>
    <x v="0"/>
    <s v="P4"/>
    <n v="0"/>
    <s v="No"/>
  </r>
  <r>
    <n v="60.8"/>
    <d v="2012-05-03T00:00:00"/>
    <x v="0"/>
    <s v="UNHCR"/>
    <s v="Kachin"/>
    <s v="Myitkyina"/>
    <s v="Myay Myint Baptist Church"/>
    <m/>
    <m/>
    <m/>
    <n v="0"/>
    <n v="0"/>
    <n v="0"/>
    <n v="0"/>
    <n v="5"/>
    <n v="5"/>
    <n v="5"/>
    <m/>
    <m/>
    <m/>
    <m/>
    <m/>
    <m/>
    <m/>
    <n v="0"/>
    <n v="0"/>
    <n v="0"/>
    <n v="0"/>
    <n v="0"/>
    <n v="0"/>
    <n v="0"/>
    <n v="0"/>
    <n v="0"/>
    <n v="0"/>
    <n v="0"/>
    <n v="0"/>
    <n v="0"/>
    <n v="0"/>
    <n v="0"/>
    <n v="0"/>
    <n v="0"/>
    <n v="0"/>
    <s v="MMR001CMP017"/>
    <x v="0"/>
    <x v="1"/>
    <s v="P4"/>
    <n v="0"/>
    <s v="No"/>
  </r>
  <r>
    <n v="60.6"/>
    <d v="2012-05-09T00:00:00"/>
    <x v="0"/>
    <s v="UNHCR"/>
    <s v="Kachin"/>
    <s v="Waingmaw"/>
    <s v="Waingmaw Baptist Zonal Office"/>
    <m/>
    <m/>
    <m/>
    <n v="161"/>
    <n v="83"/>
    <n v="161"/>
    <n v="83"/>
    <n v="83"/>
    <n v="83"/>
    <n v="83"/>
    <m/>
    <m/>
    <m/>
    <m/>
    <m/>
    <m/>
    <m/>
    <n v="0"/>
    <n v="0"/>
    <n v="0"/>
    <n v="0"/>
    <n v="0"/>
    <n v="0"/>
    <n v="0"/>
    <n v="0"/>
    <n v="0"/>
    <n v="0"/>
    <n v="0"/>
    <n v="0"/>
    <n v="0"/>
    <n v="0"/>
    <n v="0"/>
    <n v="0"/>
    <n v="0"/>
    <n v="0"/>
    <s v="MMR001CMP036"/>
    <x v="0"/>
    <x v="1"/>
    <s v="P4"/>
    <n v="2.0319232275754014E-3"/>
    <s v="No"/>
  </r>
  <r>
    <n v="60.533333333333331"/>
    <d v="2012-05-11T00:00:00"/>
    <x v="0"/>
    <s v="UNHCR"/>
    <s v="Kachin"/>
    <s v="Waingmaw"/>
    <s v="Maina Catholic Church (St. Joseph)"/>
    <m/>
    <m/>
    <m/>
    <n v="57"/>
    <n v="29"/>
    <n v="57"/>
    <n v="29"/>
    <n v="29"/>
    <n v="29"/>
    <n v="29"/>
    <m/>
    <m/>
    <m/>
    <m/>
    <m/>
    <m/>
    <m/>
    <n v="0"/>
    <n v="0"/>
    <n v="0"/>
    <n v="0"/>
    <n v="0"/>
    <n v="0"/>
    <n v="0"/>
    <n v="0"/>
    <n v="0"/>
    <n v="0"/>
    <n v="0"/>
    <n v="0"/>
    <n v="0"/>
    <n v="0"/>
    <n v="0"/>
    <n v="0"/>
    <n v="0"/>
    <n v="0"/>
    <s v="MMR001CMP029"/>
    <x v="0"/>
    <x v="0"/>
    <s v="P4"/>
    <n v="7.00043450972819E-4"/>
    <s v="No"/>
  </r>
  <r>
    <n v="60.533333333333331"/>
    <d v="2012-05-11T00:00:00"/>
    <x v="0"/>
    <s v="UNHCR"/>
    <s v="Kachin"/>
    <s v="Waingmaw"/>
    <s v="Maina KBC (Bawng Ring)"/>
    <m/>
    <m/>
    <m/>
    <n v="50"/>
    <n v="25"/>
    <n v="50"/>
    <n v="24"/>
    <n v="13"/>
    <n v="13"/>
    <n v="13"/>
    <m/>
    <m/>
    <m/>
    <m/>
    <m/>
    <m/>
    <m/>
    <n v="0"/>
    <n v="0"/>
    <n v="0"/>
    <n v="0"/>
    <n v="0"/>
    <n v="0"/>
    <n v="0"/>
    <n v="0"/>
    <n v="0"/>
    <n v="0"/>
    <n v="0"/>
    <n v="0"/>
    <n v="0"/>
    <n v="0"/>
    <n v="0"/>
    <n v="0"/>
    <n v="0"/>
    <n v="0"/>
    <s v="MMR001CMP040"/>
    <x v="0"/>
    <x v="0"/>
    <s v="P4"/>
    <n v="5.8449623730547236E-4"/>
    <s v="No"/>
  </r>
  <r>
    <n v="60.533333333333331"/>
    <d v="2012-05-11T00:00:00"/>
    <x v="0"/>
    <s v="KBSS"/>
    <s v="Kachin"/>
    <s v="Shwegu"/>
    <s v="Shwe Gu Baptist Church"/>
    <m/>
    <m/>
    <m/>
    <n v="38"/>
    <n v="23"/>
    <n v="38"/>
    <n v="23"/>
    <n v="23"/>
    <n v="23"/>
    <n v="23"/>
    <m/>
    <m/>
    <m/>
    <m/>
    <m/>
    <m/>
    <m/>
    <n v="0"/>
    <n v="0"/>
    <n v="0"/>
    <n v="0"/>
    <n v="0"/>
    <n v="0"/>
    <n v="0"/>
    <n v="0"/>
    <n v="0"/>
    <n v="0"/>
    <n v="0"/>
    <n v="0"/>
    <n v="0"/>
    <n v="0"/>
    <n v="0"/>
    <n v="0"/>
    <n v="0"/>
    <n v="0"/>
    <s v="MMR001CMP067"/>
    <x v="0"/>
    <x v="0"/>
    <s v="P4"/>
    <n v="5.647636586863106E-4"/>
    <s v="No"/>
  </r>
  <r>
    <n v="60.533333333333331"/>
    <d v="2012-05-11T00:00:00"/>
    <x v="0"/>
    <s v="KBSS"/>
    <s v="Kachin"/>
    <s v="Shwegu"/>
    <s v="Shwe Gu Catholic Church"/>
    <m/>
    <m/>
    <m/>
    <n v="37"/>
    <n v="22"/>
    <n v="37"/>
    <n v="22"/>
    <n v="22"/>
    <n v="22"/>
    <n v="22"/>
    <m/>
    <m/>
    <m/>
    <m/>
    <m/>
    <m/>
    <m/>
    <n v="0"/>
    <n v="0"/>
    <n v="0"/>
    <n v="0"/>
    <n v="0"/>
    <n v="0"/>
    <n v="0"/>
    <n v="0"/>
    <n v="0"/>
    <n v="0"/>
    <n v="0"/>
    <n v="0"/>
    <n v="0"/>
    <n v="0"/>
    <n v="0"/>
    <n v="0"/>
    <n v="0"/>
    <n v="0"/>
    <s v="MMR001CMP068"/>
    <x v="0"/>
    <x v="0"/>
    <s v="P4"/>
    <n v="5.4020871700429711E-4"/>
    <s v="No"/>
  </r>
  <r>
    <n v="60.4"/>
    <d v="2012-05-15T00:00:00"/>
    <x v="0"/>
    <s v="KBSS"/>
    <s v="Kachin"/>
    <s v="Bhamo"/>
    <s v="AD-2000 Tharthana Compound"/>
    <m/>
    <m/>
    <m/>
    <n v="90"/>
    <n v="0"/>
    <n v="0"/>
    <n v="0"/>
    <n v="0"/>
    <m/>
    <m/>
    <m/>
    <m/>
    <m/>
    <m/>
    <m/>
    <m/>
    <m/>
    <n v="0"/>
    <n v="0"/>
    <n v="0"/>
    <n v="0"/>
    <n v="0"/>
    <n v="0"/>
    <n v="0"/>
    <n v="0"/>
    <n v="0"/>
    <n v="0"/>
    <n v="0"/>
    <n v="0"/>
    <n v="0"/>
    <n v="0"/>
    <n v="0"/>
    <n v="0"/>
    <n v="0"/>
    <n v="0"/>
    <s v="MMR001CMP050"/>
    <x v="0"/>
    <x v="0"/>
    <s v="P4"/>
    <n v="0"/>
    <s v="No"/>
  </r>
  <r>
    <n v="60.2"/>
    <d v="2012-05-21T00:00:00"/>
    <x v="0"/>
    <s v="UNHCR"/>
    <s v="Kachin"/>
    <s v="Bhamo"/>
    <s v="AD-2000 Tharthana Compound"/>
    <m/>
    <m/>
    <m/>
    <n v="0"/>
    <n v="15"/>
    <n v="0"/>
    <n v="0"/>
    <n v="0"/>
    <m/>
    <m/>
    <m/>
    <m/>
    <m/>
    <m/>
    <m/>
    <m/>
    <m/>
    <n v="0"/>
    <n v="0"/>
    <n v="0"/>
    <n v="0"/>
    <n v="0"/>
    <n v="0"/>
    <n v="0"/>
    <n v="0"/>
    <n v="0"/>
    <n v="0"/>
    <n v="0"/>
    <n v="0"/>
    <n v="0"/>
    <n v="0"/>
    <n v="0"/>
    <n v="0"/>
    <n v="0"/>
    <n v="0"/>
    <s v="MMR001CMP050"/>
    <x v="0"/>
    <x v="0"/>
    <s v="P4"/>
    <n v="0"/>
    <s v="No"/>
  </r>
  <r>
    <n v="60.133333333333333"/>
    <d v="2012-05-23T00:00:00"/>
    <x v="0"/>
    <s v="UNHCR"/>
    <s v="Kachin"/>
    <s v="Myitkyina"/>
    <s v="Jan Mai Kawng Baptist Church"/>
    <m/>
    <m/>
    <m/>
    <n v="22"/>
    <n v="15"/>
    <n v="22"/>
    <n v="15"/>
    <n v="15"/>
    <n v="15"/>
    <n v="15"/>
    <m/>
    <m/>
    <m/>
    <m/>
    <m/>
    <m/>
    <m/>
    <n v="0"/>
    <n v="0"/>
    <n v="0"/>
    <n v="0"/>
    <n v="0"/>
    <n v="0"/>
    <n v="0"/>
    <n v="0"/>
    <n v="0"/>
    <n v="0"/>
    <n v="0"/>
    <n v="0"/>
    <n v="0"/>
    <n v="0"/>
    <n v="0"/>
    <n v="0"/>
    <n v="0"/>
    <n v="0"/>
    <s v="MMR001CMP018"/>
    <x v="0"/>
    <x v="0"/>
    <s v="P4"/>
    <n v="3.6832412523020257E-4"/>
    <s v="No"/>
  </r>
  <r>
    <n v="60.133333333333333"/>
    <d v="2012-05-23T00:00:00"/>
    <x v="0"/>
    <s v="UNHCR"/>
    <s v="Kachin"/>
    <s v="Myitkyina"/>
    <s v="Nan Kway St. John Catholic Church"/>
    <m/>
    <m/>
    <m/>
    <n v="58"/>
    <n v="29"/>
    <n v="58"/>
    <n v="29"/>
    <n v="29"/>
    <n v="29"/>
    <n v="29"/>
    <m/>
    <m/>
    <m/>
    <m/>
    <m/>
    <m/>
    <m/>
    <n v="0"/>
    <n v="0"/>
    <n v="0"/>
    <n v="0"/>
    <n v="0"/>
    <n v="0"/>
    <n v="0"/>
    <n v="0"/>
    <n v="0"/>
    <n v="0"/>
    <n v="0"/>
    <n v="0"/>
    <n v="0"/>
    <n v="0"/>
    <n v="0"/>
    <n v="0"/>
    <n v="0"/>
    <n v="0"/>
    <s v="MMR001CMP024"/>
    <x v="0"/>
    <x v="0"/>
    <s v="P4"/>
    <n v="7.0889046420103156E-4"/>
    <s v="No"/>
  </r>
  <r>
    <n v="60.133333333333333"/>
    <d v="2012-05-23T00:00:00"/>
    <x v="0"/>
    <s v="UNHCR"/>
    <s v="Kachin"/>
    <s v="Myitkyina"/>
    <s v="Tat Kone Baptist Church"/>
    <m/>
    <m/>
    <m/>
    <n v="54"/>
    <n v="29"/>
    <n v="54"/>
    <n v="29"/>
    <n v="29"/>
    <n v="29"/>
    <n v="29"/>
    <m/>
    <m/>
    <m/>
    <m/>
    <m/>
    <m/>
    <m/>
    <n v="0"/>
    <n v="0"/>
    <n v="0"/>
    <n v="0"/>
    <n v="0"/>
    <n v="0"/>
    <n v="0"/>
    <n v="0"/>
    <n v="0"/>
    <n v="0"/>
    <n v="0"/>
    <n v="0"/>
    <n v="0"/>
    <n v="0"/>
    <n v="0"/>
    <n v="0"/>
    <n v="0"/>
    <n v="0"/>
    <s v="MMR001CMP001"/>
    <x v="0"/>
    <x v="0"/>
    <s v="P4"/>
    <n v="7.1261825777122498E-4"/>
    <s v="No"/>
  </r>
  <r>
    <n v="60.06666666666667"/>
    <d v="2012-05-25T00:00:00"/>
    <x v="0"/>
    <s v="UNHCR"/>
    <s v="Kachin"/>
    <s v="Myitkyina"/>
    <s v="Shwe Zet Baptist Church"/>
    <m/>
    <m/>
    <m/>
    <n v="0"/>
    <n v="25"/>
    <n v="0"/>
    <n v="0"/>
    <n v="0"/>
    <m/>
    <m/>
    <m/>
    <m/>
    <m/>
    <m/>
    <m/>
    <m/>
    <m/>
    <n v="0"/>
    <n v="0"/>
    <n v="0"/>
    <n v="0"/>
    <n v="0"/>
    <n v="0"/>
    <n v="0"/>
    <n v="0"/>
    <n v="0"/>
    <n v="0"/>
    <n v="0"/>
    <n v="0"/>
    <n v="0"/>
    <n v="0"/>
    <n v="0"/>
    <n v="0"/>
    <n v="0"/>
    <n v="0"/>
    <s v="MMR001CMP009"/>
    <x v="0"/>
    <x v="0"/>
    <s v="P4"/>
    <n v="0"/>
    <s v="No"/>
  </r>
  <r>
    <n v="60.033333333333331"/>
    <d v="2012-05-26T00:00:00"/>
    <x v="0"/>
    <s v="KBC"/>
    <s v="Kachin"/>
    <s v="Shwegu"/>
    <s v="Lawk Awng Mare D. (Sinbo Area)"/>
    <m/>
    <m/>
    <m/>
    <n v="200"/>
    <n v="200"/>
    <n v="0"/>
    <n v="0"/>
    <n v="0"/>
    <m/>
    <m/>
    <m/>
    <m/>
    <m/>
    <m/>
    <m/>
    <m/>
    <m/>
    <n v="0"/>
    <n v="0"/>
    <n v="0"/>
    <n v="0"/>
    <n v="0"/>
    <n v="0"/>
    <n v="0"/>
    <n v="0"/>
    <n v="0"/>
    <n v="0"/>
    <n v="0"/>
    <n v="0"/>
    <n v="0"/>
    <n v="0"/>
    <n v="0"/>
    <n v="0"/>
    <n v="0"/>
    <n v="0"/>
    <s v="MMR001CMP147"/>
    <x v="2"/>
    <x v="0"/>
    <s v="P4"/>
    <n v="0"/>
    <s v="No"/>
  </r>
  <r>
    <n v="59.966666666666669"/>
    <d v="2012-05-28T00:00:00"/>
    <x v="0"/>
    <s v="UNHCR"/>
    <s v="Kachin"/>
    <s v="Waingmaw"/>
    <s v="Qtr. 3 Mu-yin  Baptist Church"/>
    <m/>
    <m/>
    <m/>
    <n v="0"/>
    <n v="11"/>
    <n v="0"/>
    <n v="0"/>
    <n v="0"/>
    <m/>
    <m/>
    <m/>
    <m/>
    <m/>
    <m/>
    <m/>
    <m/>
    <m/>
    <n v="0"/>
    <n v="0"/>
    <n v="0"/>
    <n v="0"/>
    <n v="0"/>
    <n v="0"/>
    <n v="0"/>
    <n v="0"/>
    <n v="0"/>
    <n v="0"/>
    <n v="0"/>
    <n v="0"/>
    <n v="0"/>
    <n v="0"/>
    <n v="0"/>
    <n v="0"/>
    <n v="0"/>
    <n v="0"/>
    <s v="MMR001CMP030"/>
    <x v="0"/>
    <x v="0"/>
    <s v="P4"/>
    <n v="0"/>
    <s v="No"/>
  </r>
  <r>
    <n v="59.866666666666667"/>
    <d v="2012-05-31T00:00:00"/>
    <x v="0"/>
    <s v="KBC"/>
    <s v="Kachin"/>
    <s v="Bhamo"/>
    <s v="Robert Church"/>
    <m/>
    <m/>
    <m/>
    <n v="0"/>
    <n v="20"/>
    <n v="0"/>
    <n v="0"/>
    <n v="0"/>
    <m/>
    <m/>
    <m/>
    <m/>
    <m/>
    <m/>
    <m/>
    <m/>
    <m/>
    <n v="0"/>
    <n v="0"/>
    <n v="0"/>
    <n v="0"/>
    <n v="0"/>
    <n v="0"/>
    <n v="0"/>
    <n v="0"/>
    <n v="0"/>
    <n v="0"/>
    <n v="0"/>
    <n v="0"/>
    <n v="0"/>
    <n v="0"/>
    <n v="0"/>
    <n v="0"/>
    <n v="0"/>
    <n v="0"/>
    <s v="MMR001CMP047"/>
    <x v="0"/>
    <x v="0"/>
    <s v="P4"/>
    <n v="0"/>
    <s v="No"/>
  </r>
  <r>
    <n v="59.833333333333336"/>
    <d v="2012-06-01T00:00:00"/>
    <x v="0"/>
    <s v="UNHCR"/>
    <s v="Kachin"/>
    <s v="Myitkyina"/>
    <s v="Maw Hpawng Hka Nan Baptist Church"/>
    <m/>
    <m/>
    <m/>
    <n v="22"/>
    <n v="11"/>
    <n v="22"/>
    <n v="11"/>
    <n v="11"/>
    <n v="11"/>
    <n v="11"/>
    <m/>
    <m/>
    <m/>
    <m/>
    <m/>
    <m/>
    <m/>
    <n v="0"/>
    <n v="0"/>
    <n v="0"/>
    <n v="0"/>
    <n v="0"/>
    <n v="0"/>
    <n v="0"/>
    <n v="0"/>
    <n v="0"/>
    <n v="0"/>
    <n v="0"/>
    <n v="0"/>
    <n v="0"/>
    <n v="0"/>
    <n v="0"/>
    <n v="0"/>
    <n v="0"/>
    <n v="0"/>
    <s v="MMR001CMP020"/>
    <x v="0"/>
    <x v="0"/>
    <s v="P4"/>
    <n v="2.6949555332337016E-4"/>
    <s v="No"/>
  </r>
  <r>
    <n v="59.833333333333336"/>
    <d v="2012-06-01T00:00:00"/>
    <x v="0"/>
    <s v="UNHCR"/>
    <s v="Kachin"/>
    <s v="Myitkyina"/>
    <s v="Maw Hpawng Lhaovo Baptist Church"/>
    <m/>
    <m/>
    <m/>
    <n v="35"/>
    <n v="17"/>
    <n v="35"/>
    <n v="17"/>
    <n v="17"/>
    <n v="17"/>
    <n v="17"/>
    <m/>
    <m/>
    <m/>
    <m/>
    <m/>
    <m/>
    <m/>
    <n v="0"/>
    <n v="0"/>
    <n v="0"/>
    <n v="0"/>
    <n v="0"/>
    <n v="0"/>
    <n v="0"/>
    <n v="0"/>
    <n v="0"/>
    <n v="0"/>
    <n v="0"/>
    <n v="0"/>
    <n v="0"/>
    <n v="0"/>
    <n v="0"/>
    <n v="0"/>
    <n v="0"/>
    <n v="0"/>
    <s v="MMR001CMP021"/>
    <x v="0"/>
    <x v="0"/>
    <s v="P4"/>
    <n v="4.1649312786339027E-4"/>
    <s v="No"/>
  </r>
  <r>
    <n v="59.7"/>
    <d v="2012-06-05T00:00:00"/>
    <x v="0"/>
    <s v="UNHCR"/>
    <s v="Kachin"/>
    <s v="Momauk"/>
    <s v="Momauk Catholic Church (St. Patrick)"/>
    <m/>
    <m/>
    <m/>
    <n v="10"/>
    <n v="5"/>
    <n v="10"/>
    <n v="5"/>
    <n v="5"/>
    <n v="5"/>
    <n v="5"/>
    <m/>
    <m/>
    <m/>
    <m/>
    <m/>
    <m/>
    <m/>
    <n v="0"/>
    <n v="0"/>
    <n v="0"/>
    <n v="0"/>
    <n v="0"/>
    <n v="0"/>
    <n v="0"/>
    <n v="0"/>
    <n v="0"/>
    <n v="0"/>
    <n v="0"/>
    <n v="0"/>
    <n v="0"/>
    <n v="0"/>
    <n v="0"/>
    <n v="0"/>
    <n v="0"/>
    <n v="0"/>
    <s v="MMR001CMP057"/>
    <x v="0"/>
    <x v="1"/>
    <s v="P4"/>
    <n v="1.2268132299538719E-4"/>
    <s v="No"/>
  </r>
  <r>
    <n v="59.666666666666664"/>
    <d v="2012-06-06T00:00:00"/>
    <x v="0"/>
    <s v="UNHCR "/>
    <s v="Kachin"/>
    <s v="Momauk"/>
    <s v="Hpun Lum Yang "/>
    <m/>
    <m/>
    <m/>
    <n v="0"/>
    <n v="200"/>
    <n v="0"/>
    <n v="0"/>
    <n v="0"/>
    <m/>
    <m/>
    <m/>
    <m/>
    <m/>
    <m/>
    <m/>
    <m/>
    <m/>
    <n v="0"/>
    <n v="0"/>
    <n v="0"/>
    <n v="0"/>
    <n v="0"/>
    <n v="0"/>
    <n v="0"/>
    <n v="0"/>
    <n v="0"/>
    <n v="0"/>
    <n v="0"/>
    <n v="0"/>
    <n v="0"/>
    <n v="0"/>
    <n v="0"/>
    <n v="0"/>
    <n v="0"/>
    <n v="0"/>
    <s v="MMR001CMP122"/>
    <x v="0"/>
    <x v="0"/>
    <s v="P2"/>
    <n v="0"/>
    <s v="No"/>
  </r>
  <r>
    <n v="59.666666666666664"/>
    <d v="2012-06-06T00:00:00"/>
    <x v="0"/>
    <s v="UNHCR"/>
    <s v="Kachin"/>
    <s v="Momauk"/>
    <s v="Pa Kahtawng "/>
    <m/>
    <m/>
    <m/>
    <n v="144"/>
    <n v="76"/>
    <n v="143"/>
    <n v="76"/>
    <n v="78"/>
    <n v="78"/>
    <n v="78"/>
    <m/>
    <m/>
    <m/>
    <m/>
    <m/>
    <m/>
    <m/>
    <n v="0"/>
    <n v="0"/>
    <n v="0"/>
    <n v="0"/>
    <n v="0"/>
    <n v="0"/>
    <n v="0"/>
    <n v="0"/>
    <n v="0"/>
    <n v="0"/>
    <n v="0"/>
    <n v="0"/>
    <n v="0"/>
    <n v="0"/>
    <n v="0"/>
    <n v="0"/>
    <n v="0"/>
    <n v="0"/>
    <s v="MMR001CMP126"/>
    <x v="0"/>
    <x v="0"/>
    <s v="P2"/>
    <n v="1.8536585365853658E-3"/>
    <s v="No"/>
  </r>
  <r>
    <n v="59.6"/>
    <d v="2012-06-08T00:00:00"/>
    <x v="1"/>
    <s v="Solidarities"/>
    <s v="Kachin"/>
    <s v="Bhamo"/>
    <s v="Htoi San Church"/>
    <n v="22"/>
    <m/>
    <m/>
    <m/>
    <m/>
    <m/>
    <m/>
    <m/>
    <m/>
    <m/>
    <m/>
    <m/>
    <m/>
    <m/>
    <m/>
    <m/>
    <m/>
    <n v="0"/>
    <n v="0"/>
    <n v="0"/>
    <n v="0"/>
    <n v="0"/>
    <n v="0"/>
    <n v="0"/>
    <n v="0"/>
    <n v="0"/>
    <n v="0"/>
    <n v="0"/>
    <n v="0"/>
    <n v="0"/>
    <n v="0"/>
    <n v="0"/>
    <n v="0"/>
    <n v="0"/>
    <n v="0"/>
    <s v="MMR001CMP052"/>
    <x v="0"/>
    <x v="0"/>
    <s v="P4"/>
    <n v="0"/>
    <m/>
  </r>
  <r>
    <n v="59.6"/>
    <d v="2012-06-08T00:00:00"/>
    <x v="1"/>
    <s v="Solidarities"/>
    <s v="Kachin"/>
    <s v="Bhamo"/>
    <s v="Nant Hlaing Church"/>
    <n v="21"/>
    <m/>
    <m/>
    <m/>
    <m/>
    <m/>
    <m/>
    <m/>
    <m/>
    <m/>
    <m/>
    <m/>
    <m/>
    <m/>
    <m/>
    <m/>
    <m/>
    <n v="0"/>
    <n v="0"/>
    <n v="0"/>
    <n v="0"/>
    <n v="0"/>
    <n v="0"/>
    <n v="0"/>
    <n v="0"/>
    <n v="0"/>
    <n v="0"/>
    <n v="0"/>
    <n v="0"/>
    <n v="0"/>
    <n v="0"/>
    <n v="0"/>
    <n v="0"/>
    <n v="0"/>
    <n v="0"/>
    <s v="MMR001CMP054"/>
    <x v="0"/>
    <x v="0"/>
    <s v="P4"/>
    <n v="0"/>
    <m/>
  </r>
  <r>
    <n v="59.6"/>
    <d v="2012-06-08T00:00:00"/>
    <x v="0"/>
    <s v="UNHCR"/>
    <s v="Kachin"/>
    <s v="Bhamo"/>
    <s v="Nant Hlaing Church"/>
    <m/>
    <m/>
    <m/>
    <n v="12"/>
    <n v="6"/>
    <n v="12"/>
    <n v="6"/>
    <n v="6"/>
    <n v="6"/>
    <n v="6"/>
    <m/>
    <m/>
    <m/>
    <m/>
    <m/>
    <m/>
    <m/>
    <n v="0"/>
    <n v="0"/>
    <n v="0"/>
    <n v="0"/>
    <n v="0"/>
    <n v="0"/>
    <n v="0"/>
    <n v="0"/>
    <n v="0"/>
    <n v="0"/>
    <n v="0"/>
    <n v="0"/>
    <n v="0"/>
    <n v="0"/>
    <n v="0"/>
    <n v="0"/>
    <n v="0"/>
    <n v="0"/>
    <s v="MMR001CMP054"/>
    <x v="0"/>
    <x v="0"/>
    <s v="P4"/>
    <n v="1.4688601645123384E-4"/>
    <s v="No"/>
  </r>
  <r>
    <n v="59.533333333333331"/>
    <d v="2012-06-10T00:00:00"/>
    <x v="0"/>
    <s v="UNHCR"/>
    <s v="Kachin"/>
    <s v="Chipwi"/>
    <s v="Lhaovao Baptist Church (LBC)"/>
    <m/>
    <m/>
    <m/>
    <n v="200"/>
    <n v="100"/>
    <n v="150"/>
    <n v="100"/>
    <n v="100"/>
    <n v="100"/>
    <n v="100"/>
    <m/>
    <m/>
    <m/>
    <m/>
    <m/>
    <m/>
    <m/>
    <n v="0"/>
    <n v="0"/>
    <n v="0"/>
    <n v="0"/>
    <n v="0"/>
    <n v="0"/>
    <n v="0"/>
    <n v="0"/>
    <n v="0"/>
    <n v="0"/>
    <n v="0"/>
    <n v="0"/>
    <n v="0"/>
    <n v="0"/>
    <n v="0"/>
    <n v="0"/>
    <n v="0"/>
    <n v="0"/>
    <s v="MMR001CMP195"/>
    <x v="0"/>
    <x v="0"/>
    <s v="P1"/>
    <n v="2.4425989252564728E-3"/>
    <s v="No"/>
  </r>
  <r>
    <n v="59.233333333333334"/>
    <d v="2012-06-19T00:00:00"/>
    <x v="0"/>
    <s v="UNHCR"/>
    <s v="Kachin"/>
    <s v="Waingmaw"/>
    <s v="Maina KBC (Bawng Ring)"/>
    <m/>
    <m/>
    <m/>
    <n v="32"/>
    <n v="17"/>
    <n v="32"/>
    <n v="17"/>
    <n v="17"/>
    <n v="17"/>
    <n v="17"/>
    <m/>
    <m/>
    <m/>
    <m/>
    <m/>
    <m/>
    <m/>
    <n v="0"/>
    <n v="0"/>
    <n v="0"/>
    <n v="0"/>
    <n v="0"/>
    <n v="0"/>
    <n v="0"/>
    <n v="0"/>
    <n v="0"/>
    <n v="0"/>
    <n v="0"/>
    <n v="0"/>
    <n v="0"/>
    <n v="0"/>
    <n v="0"/>
    <n v="0"/>
    <n v="0"/>
    <n v="0"/>
    <s v="MMR001CMP040"/>
    <x v="0"/>
    <x v="0"/>
    <s v="P4"/>
    <n v="4.1401816809137626E-4"/>
    <s v="No"/>
  </r>
  <r>
    <n v="59.233333333333334"/>
    <d v="2012-06-19T00:00:00"/>
    <x v="0"/>
    <s v="UNHCR"/>
    <s v="Kachin"/>
    <s v="Waingmaw"/>
    <s v="Thargaya Lisu Baptist Church"/>
    <m/>
    <m/>
    <m/>
    <n v="31"/>
    <n v="15"/>
    <n v="31"/>
    <n v="15"/>
    <n v="15"/>
    <n v="15"/>
    <n v="15"/>
    <m/>
    <m/>
    <m/>
    <m/>
    <m/>
    <m/>
    <m/>
    <n v="0"/>
    <n v="0"/>
    <n v="0"/>
    <n v="0"/>
    <n v="0"/>
    <n v="0"/>
    <n v="0"/>
    <n v="0"/>
    <n v="0"/>
    <n v="0"/>
    <n v="0"/>
    <n v="0"/>
    <n v="0"/>
    <n v="0"/>
    <n v="0"/>
    <n v="0"/>
    <n v="0"/>
    <n v="0"/>
    <s v="MMR001CMP037"/>
    <x v="0"/>
    <x v="0"/>
    <s v="P4"/>
    <n v="3.6721504112808461E-4"/>
    <s v="No"/>
  </r>
  <r>
    <n v="59.233333333333334"/>
    <d v="2012-06-19T00:00:00"/>
    <x v="0"/>
    <s v="UNHCR"/>
    <s v="Kachin"/>
    <s v="Waingmaw"/>
    <s v="Waingmaw AG Church"/>
    <m/>
    <m/>
    <m/>
    <n v="28"/>
    <n v="15"/>
    <n v="28"/>
    <n v="15"/>
    <n v="15"/>
    <n v="15"/>
    <n v="15"/>
    <m/>
    <m/>
    <m/>
    <m/>
    <m/>
    <m/>
    <m/>
    <n v="0"/>
    <n v="0"/>
    <n v="0"/>
    <n v="0"/>
    <n v="0"/>
    <n v="0"/>
    <n v="0"/>
    <n v="0"/>
    <n v="0"/>
    <n v="0"/>
    <n v="0"/>
    <n v="0"/>
    <n v="0"/>
    <n v="0"/>
    <n v="0"/>
    <n v="0"/>
    <n v="0"/>
    <n v="0"/>
    <s v="MMR001CMP038"/>
    <x v="0"/>
    <x v="0"/>
    <s v="P4"/>
    <n v="3.6721504112808461E-4"/>
    <s v="No"/>
  </r>
  <r>
    <n v="59.2"/>
    <d v="2012-06-20T00:00:00"/>
    <x v="0"/>
    <s v="UNHCR"/>
    <s v="Kachin"/>
    <s v="Waingmaw"/>
    <s v="Waingmaw Baptist Zonal Office"/>
    <m/>
    <m/>
    <m/>
    <n v="141"/>
    <n v="81"/>
    <n v="148"/>
    <n v="84"/>
    <n v="78"/>
    <n v="78"/>
    <n v="78"/>
    <m/>
    <m/>
    <m/>
    <m/>
    <m/>
    <m/>
    <m/>
    <n v="0"/>
    <n v="0"/>
    <n v="0"/>
    <n v="0"/>
    <n v="0"/>
    <n v="0"/>
    <n v="0"/>
    <n v="0"/>
    <n v="0"/>
    <n v="0"/>
    <n v="0"/>
    <n v="0"/>
    <n v="0"/>
    <n v="0"/>
    <n v="0"/>
    <n v="0"/>
    <n v="0"/>
    <n v="0"/>
    <s v="MMR001CMP036"/>
    <x v="0"/>
    <x v="1"/>
    <s v="P4"/>
    <n v="2.0564042303172739E-3"/>
    <s v="No"/>
  </r>
  <r>
    <n v="59.133333333333333"/>
    <d v="2012-06-22T00:00:00"/>
    <x v="0"/>
    <s v="UNHCR"/>
    <s v="Kachin"/>
    <s v="Momauk"/>
    <s v="Nhkawng Pa "/>
    <m/>
    <m/>
    <m/>
    <n v="140"/>
    <n v="70"/>
    <n v="140"/>
    <n v="70"/>
    <n v="70"/>
    <n v="70"/>
    <n v="70"/>
    <m/>
    <m/>
    <m/>
    <m/>
    <m/>
    <m/>
    <m/>
    <n v="0"/>
    <n v="0"/>
    <n v="0"/>
    <n v="0"/>
    <n v="0"/>
    <n v="0"/>
    <n v="0"/>
    <n v="0"/>
    <n v="0"/>
    <n v="0"/>
    <n v="0"/>
    <n v="0"/>
    <n v="0"/>
    <n v="0"/>
    <n v="0"/>
    <n v="0"/>
    <n v="0"/>
    <n v="0"/>
    <s v="MMR001CMP131"/>
    <x v="0"/>
    <x v="0"/>
    <s v="P1"/>
    <n v="1.7073170731707317E-3"/>
    <s v="No"/>
  </r>
  <r>
    <n v="59.1"/>
    <d v="2012-06-23T00:00:00"/>
    <x v="0"/>
    <s v="UNHCR"/>
    <s v="Kachin"/>
    <s v="Momauk"/>
    <s v="Dum Bung "/>
    <m/>
    <m/>
    <m/>
    <n v="24"/>
    <n v="13"/>
    <n v="24"/>
    <n v="13"/>
    <n v="13"/>
    <n v="13"/>
    <n v="13"/>
    <m/>
    <m/>
    <m/>
    <m/>
    <m/>
    <m/>
    <m/>
    <n v="0"/>
    <n v="0"/>
    <n v="0"/>
    <n v="0"/>
    <n v="0"/>
    <n v="0"/>
    <n v="0"/>
    <n v="0"/>
    <n v="0"/>
    <n v="0"/>
    <n v="0"/>
    <n v="0"/>
    <n v="0"/>
    <n v="0"/>
    <n v="0"/>
    <n v="0"/>
    <n v="0"/>
    <n v="0"/>
    <s v="MMR001CMP123"/>
    <x v="0"/>
    <x v="0"/>
    <s v="P2"/>
    <n v="3.1897143978800666E-4"/>
    <s v="No"/>
  </r>
  <r>
    <n v="59.033333333333331"/>
    <d v="2012-06-25T00:00:00"/>
    <x v="0"/>
    <s v="UNHCR"/>
    <s v="Kachin"/>
    <s v="Momauk"/>
    <s v="Momauk Baptist Church"/>
    <m/>
    <m/>
    <m/>
    <n v="290"/>
    <n v="145"/>
    <n v="290"/>
    <n v="145"/>
    <n v="145"/>
    <n v="145"/>
    <n v="145"/>
    <m/>
    <m/>
    <m/>
    <m/>
    <m/>
    <m/>
    <m/>
    <n v="0"/>
    <n v="0"/>
    <n v="0"/>
    <n v="0"/>
    <n v="0"/>
    <n v="0"/>
    <n v="0"/>
    <n v="0"/>
    <n v="0"/>
    <n v="0"/>
    <n v="0"/>
    <n v="0"/>
    <n v="0"/>
    <n v="0"/>
    <n v="0"/>
    <n v="0"/>
    <n v="0"/>
    <n v="0"/>
    <s v="MMR001CMP056"/>
    <x v="0"/>
    <x v="0"/>
    <s v="P4"/>
    <n v="3.5630912888561248E-3"/>
    <s v="No"/>
  </r>
  <r>
    <n v="58.7"/>
    <d v="2012-07-05T00:00:00"/>
    <x v="0"/>
    <s v="UNHCR"/>
    <s v="Kachin"/>
    <s v="Bhamo"/>
    <s v="Ta Gun Taing Monastery (Shwe Kyi Na)"/>
    <m/>
    <m/>
    <m/>
    <n v="36"/>
    <n v="14"/>
    <n v="36"/>
    <n v="14"/>
    <n v="14"/>
    <n v="14"/>
    <n v="14"/>
    <m/>
    <m/>
    <m/>
    <m/>
    <m/>
    <m/>
    <m/>
    <n v="0"/>
    <n v="0"/>
    <n v="0"/>
    <n v="0"/>
    <n v="0"/>
    <n v="0"/>
    <n v="0"/>
    <n v="0"/>
    <n v="0"/>
    <n v="0"/>
    <n v="0"/>
    <n v="0"/>
    <n v="0"/>
    <n v="0"/>
    <n v="0"/>
    <n v="0"/>
    <n v="0"/>
    <n v="0"/>
    <s v="MMR001CMP055"/>
    <x v="0"/>
    <x v="0"/>
    <s v="P4"/>
    <n v="3.4121374603948332E-4"/>
    <s v="No"/>
  </r>
  <r>
    <n v="58.666666666666664"/>
    <d v="2012-07-06T00:00:00"/>
    <x v="0"/>
    <s v="UNHCR"/>
    <s v="Kachin"/>
    <s v="Waingmaw"/>
    <s v="Waingmaw AG Church"/>
    <m/>
    <m/>
    <m/>
    <n v="17"/>
    <n v="17"/>
    <n v="17"/>
    <n v="17"/>
    <n v="17"/>
    <n v="17"/>
    <n v="17"/>
    <m/>
    <m/>
    <m/>
    <m/>
    <m/>
    <m/>
    <m/>
    <n v="0"/>
    <n v="0"/>
    <n v="0"/>
    <n v="0"/>
    <n v="0"/>
    <n v="0"/>
    <n v="0"/>
    <n v="0"/>
    <n v="0"/>
    <n v="0"/>
    <n v="0"/>
    <n v="0"/>
    <n v="0"/>
    <n v="0"/>
    <n v="0"/>
    <n v="0"/>
    <n v="0"/>
    <n v="0"/>
    <s v="MMR001CMP038"/>
    <x v="0"/>
    <x v="0"/>
    <s v="P4"/>
    <n v="4.1617704661182925E-4"/>
    <s v="No"/>
  </r>
  <r>
    <n v="58.6"/>
    <d v="2012-07-08T00:00:00"/>
    <x v="1"/>
    <s v="Solidarities"/>
    <s v="Kachin"/>
    <s v="Momauk"/>
    <s v="Momauk Baptist Church"/>
    <n v="64"/>
    <m/>
    <m/>
    <m/>
    <m/>
    <m/>
    <m/>
    <m/>
    <m/>
    <m/>
    <m/>
    <m/>
    <m/>
    <m/>
    <m/>
    <m/>
    <m/>
    <n v="0"/>
    <n v="0"/>
    <n v="0"/>
    <n v="0"/>
    <n v="0"/>
    <n v="0"/>
    <n v="0"/>
    <n v="0"/>
    <n v="0"/>
    <n v="0"/>
    <n v="0"/>
    <n v="0"/>
    <n v="0"/>
    <n v="0"/>
    <n v="0"/>
    <n v="0"/>
    <n v="0"/>
    <n v="0"/>
    <s v="MMR001CMP056"/>
    <x v="0"/>
    <x v="0"/>
    <s v="P4"/>
    <n v="0"/>
    <m/>
  </r>
  <r>
    <n v="58.6"/>
    <d v="2012-07-08T00:00:00"/>
    <x v="1"/>
    <s v="Solidarities"/>
    <s v="Kachin"/>
    <s v="Bhamo"/>
    <s v="Chan Myae monastery"/>
    <n v="3"/>
    <m/>
    <m/>
    <m/>
    <m/>
    <m/>
    <m/>
    <m/>
    <m/>
    <m/>
    <m/>
    <m/>
    <m/>
    <m/>
    <m/>
    <m/>
    <m/>
    <n v="0"/>
    <n v="0"/>
    <n v="0"/>
    <n v="0"/>
    <n v="0"/>
    <n v="0"/>
    <n v="0"/>
    <n v="0"/>
    <n v="0"/>
    <n v="0"/>
    <n v="0"/>
    <n v="0"/>
    <n v="0"/>
    <n v="0"/>
    <n v="0"/>
    <n v="0"/>
    <n v="0"/>
    <n v="0"/>
    <s v=""/>
    <x v="1"/>
    <x v="2"/>
    <s v=""/>
    <s v=""/>
    <m/>
  </r>
  <r>
    <n v="58.6"/>
    <d v="2012-07-08T00:00:00"/>
    <x v="0"/>
    <s v="Shalom"/>
    <s v="Kachin"/>
    <s v="Momauk"/>
    <s v="Ni Thaw Ka Monestry"/>
    <n v="16"/>
    <m/>
    <m/>
    <m/>
    <m/>
    <m/>
    <m/>
    <m/>
    <m/>
    <m/>
    <m/>
    <m/>
    <m/>
    <m/>
    <m/>
    <m/>
    <m/>
    <n v="0"/>
    <n v="0"/>
    <n v="0"/>
    <n v="0"/>
    <n v="0"/>
    <n v="0"/>
    <n v="0"/>
    <n v="0"/>
    <n v="0"/>
    <n v="0"/>
    <n v="0"/>
    <n v="0"/>
    <n v="0"/>
    <n v="0"/>
    <n v="0"/>
    <n v="0"/>
    <n v="0"/>
    <n v="0"/>
    <s v="MMR001CMP059"/>
    <x v="0"/>
    <x v="1"/>
    <s v="P4"/>
    <n v="0"/>
    <m/>
  </r>
  <r>
    <n v="58.6"/>
    <d v="2012-07-08T00:00:00"/>
    <x v="1"/>
    <s v="Solidarities"/>
    <s v="Kachin"/>
    <s v="Momauk"/>
    <s v="Ni Thaw Ka Monestry"/>
    <n v="16"/>
    <m/>
    <m/>
    <m/>
    <m/>
    <m/>
    <m/>
    <m/>
    <m/>
    <m/>
    <m/>
    <m/>
    <m/>
    <m/>
    <m/>
    <m/>
    <m/>
    <n v="0"/>
    <n v="0"/>
    <n v="0"/>
    <n v="0"/>
    <n v="0"/>
    <n v="0"/>
    <n v="0"/>
    <n v="0"/>
    <n v="0"/>
    <n v="0"/>
    <n v="0"/>
    <n v="0"/>
    <n v="0"/>
    <n v="0"/>
    <n v="0"/>
    <n v="0"/>
    <n v="0"/>
    <n v="0"/>
    <s v="MMR001CMP059"/>
    <x v="0"/>
    <x v="1"/>
    <s v="P4"/>
    <n v="0"/>
    <m/>
  </r>
  <r>
    <n v="58.56666666666667"/>
    <d v="2012-07-09T00:00:00"/>
    <x v="0"/>
    <s v="UNHCR"/>
    <s v="Kachin"/>
    <s v="Waingmaw"/>
    <s v="Qtr. 2 Lhaovo Baptist Church"/>
    <m/>
    <m/>
    <m/>
    <n v="77"/>
    <n v="34"/>
    <n v="77"/>
    <n v="35"/>
    <n v="52"/>
    <n v="52"/>
    <n v="52"/>
    <m/>
    <m/>
    <m/>
    <m/>
    <m/>
    <m/>
    <m/>
    <n v="0"/>
    <n v="0"/>
    <n v="0"/>
    <n v="0"/>
    <n v="0"/>
    <n v="0"/>
    <n v="0"/>
    <n v="0"/>
    <n v="0"/>
    <n v="0"/>
    <n v="0"/>
    <n v="0"/>
    <n v="0"/>
    <n v="0"/>
    <n v="0"/>
    <n v="0"/>
    <n v="0"/>
    <n v="0"/>
    <s v="MMR001CMP032"/>
    <x v="0"/>
    <x v="0"/>
    <s v="P4"/>
    <n v="8.594229588704727E-4"/>
    <s v="No"/>
  </r>
  <r>
    <n v="58.533333333333331"/>
    <d v="2012-07-10T00:00:00"/>
    <x v="0"/>
    <s v="KMSS"/>
    <s v="Kachin"/>
    <s v="Waingmaw"/>
    <s v="Maga Yang "/>
    <m/>
    <m/>
    <m/>
    <n v="0"/>
    <n v="599"/>
    <n v="675"/>
    <n v="599"/>
    <n v="0"/>
    <m/>
    <m/>
    <m/>
    <m/>
    <m/>
    <m/>
    <m/>
    <m/>
    <m/>
    <n v="0"/>
    <n v="0"/>
    <n v="0"/>
    <n v="0"/>
    <n v="0"/>
    <n v="0"/>
    <n v="0"/>
    <n v="0"/>
    <n v="0"/>
    <n v="0"/>
    <n v="0"/>
    <n v="0"/>
    <n v="0"/>
    <n v="0"/>
    <n v="0"/>
    <n v="0"/>
    <n v="0"/>
    <n v="0"/>
    <s v="MMR001CMP119"/>
    <x v="0"/>
    <x v="0"/>
    <s v="P2"/>
    <n v="1.4719252979481508E-2"/>
    <s v="No"/>
  </r>
  <r>
    <n v="58.43333333333333"/>
    <d v="2012-07-13T00:00:00"/>
    <x v="0"/>
    <s v="UNHCR"/>
    <s v="Kachin"/>
    <s v="Waingmaw"/>
    <s v="Hkat Cho "/>
    <m/>
    <m/>
    <m/>
    <n v="9"/>
    <n v="9"/>
    <n v="9"/>
    <n v="9"/>
    <n v="9"/>
    <n v="9"/>
    <n v="9"/>
    <m/>
    <m/>
    <m/>
    <m/>
    <m/>
    <m/>
    <m/>
    <n v="0"/>
    <n v="0"/>
    <n v="0"/>
    <n v="0"/>
    <n v="0"/>
    <n v="0"/>
    <n v="0"/>
    <n v="0"/>
    <n v="0"/>
    <n v="0"/>
    <n v="0"/>
    <n v="0"/>
    <n v="0"/>
    <n v="0"/>
    <n v="0"/>
    <n v="0"/>
    <n v="0"/>
    <n v="0"/>
    <s v="MMR001CMP028"/>
    <x v="0"/>
    <x v="0"/>
    <s v="P4"/>
    <n v="2.2115739034279396E-4"/>
    <s v="No"/>
  </r>
  <r>
    <n v="58.43333333333333"/>
    <d v="2012-07-13T00:00:00"/>
    <x v="0"/>
    <s v="UNHCR"/>
    <s v="Kachin"/>
    <s v="Waingmaw"/>
    <s v="Maina Lawang Baptist Church"/>
    <m/>
    <m/>
    <m/>
    <n v="6"/>
    <n v="6"/>
    <n v="6"/>
    <n v="6"/>
    <n v="6"/>
    <n v="6"/>
    <n v="6"/>
    <m/>
    <m/>
    <m/>
    <m/>
    <m/>
    <m/>
    <m/>
    <n v="0"/>
    <n v="0"/>
    <n v="0"/>
    <n v="0"/>
    <n v="0"/>
    <n v="0"/>
    <n v="0"/>
    <n v="0"/>
    <n v="0"/>
    <n v="0"/>
    <n v="0"/>
    <n v="0"/>
    <n v="0"/>
    <n v="0"/>
    <n v="0"/>
    <n v="0"/>
    <n v="0"/>
    <n v="0"/>
    <s v="MMR001CMP039"/>
    <x v="0"/>
    <x v="0"/>
    <s v="P4"/>
    <n v="1.4677821811243211E-4"/>
    <s v="No"/>
  </r>
  <r>
    <n v="58.43333333333333"/>
    <d v="2012-07-13T00:00:00"/>
    <x v="0"/>
    <s v="UNHCR"/>
    <s v="Kachin"/>
    <s v="Waingmaw"/>
    <s v="Qtr. 2 Lhaovo Baptist Church"/>
    <m/>
    <m/>
    <m/>
    <n v="13"/>
    <n v="13"/>
    <n v="13"/>
    <n v="13"/>
    <n v="13"/>
    <n v="13"/>
    <n v="13"/>
    <m/>
    <m/>
    <m/>
    <m/>
    <m/>
    <m/>
    <m/>
    <n v="0"/>
    <n v="0"/>
    <n v="0"/>
    <n v="0"/>
    <n v="0"/>
    <n v="0"/>
    <n v="0"/>
    <n v="0"/>
    <n v="0"/>
    <n v="0"/>
    <n v="0"/>
    <n v="0"/>
    <n v="0"/>
    <n v="0"/>
    <n v="0"/>
    <n v="0"/>
    <n v="0"/>
    <n v="0"/>
    <s v="MMR001CMP032"/>
    <x v="0"/>
    <x v="0"/>
    <s v="P4"/>
    <n v="3.1921424186617559E-4"/>
    <s v="No"/>
  </r>
  <r>
    <n v="58.43333333333333"/>
    <d v="2012-07-13T00:00:00"/>
    <x v="0"/>
    <s v="UNHCR"/>
    <s v="Kachin"/>
    <s v="Waingmaw"/>
    <s v="Qtr. 4 Monestry (Thargaya Thayett Taw)"/>
    <m/>
    <m/>
    <m/>
    <n v="3"/>
    <n v="3"/>
    <n v="3"/>
    <n v="3"/>
    <n v="3"/>
    <n v="3"/>
    <n v="3"/>
    <m/>
    <m/>
    <m/>
    <m/>
    <m/>
    <m/>
    <m/>
    <n v="0"/>
    <n v="0"/>
    <n v="0"/>
    <n v="0"/>
    <n v="0"/>
    <n v="0"/>
    <n v="0"/>
    <n v="0"/>
    <n v="0"/>
    <n v="0"/>
    <n v="0"/>
    <n v="0"/>
    <n v="0"/>
    <n v="0"/>
    <n v="0"/>
    <n v="0"/>
    <n v="0"/>
    <n v="0"/>
    <s v="MMR001CMP026"/>
    <x v="0"/>
    <x v="0"/>
    <s v="P4"/>
    <n v="7.3277967757694182E-5"/>
    <s v="No"/>
  </r>
  <r>
    <n v="58.43333333333333"/>
    <d v="2012-07-13T00:00:00"/>
    <x v="0"/>
    <s v="UNHCR"/>
    <s v="Kachin"/>
    <s v="Waingmaw"/>
    <s v="Thargaya Lisu Baptist Church"/>
    <m/>
    <m/>
    <m/>
    <n v="8"/>
    <n v="8"/>
    <n v="8"/>
    <n v="8"/>
    <n v="8"/>
    <n v="8"/>
    <n v="8"/>
    <m/>
    <m/>
    <m/>
    <m/>
    <m/>
    <m/>
    <m/>
    <n v="0"/>
    <n v="0"/>
    <n v="0"/>
    <n v="0"/>
    <n v="0"/>
    <n v="0"/>
    <n v="0"/>
    <n v="0"/>
    <n v="0"/>
    <n v="0"/>
    <n v="0"/>
    <n v="0"/>
    <n v="0"/>
    <n v="0"/>
    <n v="0"/>
    <n v="0"/>
    <n v="0"/>
    <n v="0"/>
    <s v="MMR001CMP037"/>
    <x v="0"/>
    <x v="0"/>
    <s v="P4"/>
    <n v="1.9584802193497845E-4"/>
    <s v="No"/>
  </r>
  <r>
    <n v="58.43333333333333"/>
    <d v="2012-07-13T00:00:00"/>
    <x v="0"/>
    <s v="UNHCR"/>
    <s v="Kachin"/>
    <s v="Waingmaw"/>
    <s v="Waingmaw Baptist Zonal Office"/>
    <m/>
    <m/>
    <m/>
    <n v="2"/>
    <n v="2"/>
    <n v="2"/>
    <n v="2"/>
    <n v="2"/>
    <n v="2"/>
    <n v="2"/>
    <m/>
    <m/>
    <m/>
    <m/>
    <m/>
    <m/>
    <m/>
    <n v="0"/>
    <n v="0"/>
    <n v="0"/>
    <n v="0"/>
    <n v="0"/>
    <n v="0"/>
    <n v="0"/>
    <n v="0"/>
    <n v="0"/>
    <n v="0"/>
    <n v="0"/>
    <n v="0"/>
    <n v="0"/>
    <n v="0"/>
    <n v="0"/>
    <n v="0"/>
    <n v="0"/>
    <n v="0"/>
    <s v="MMR001CMP036"/>
    <x v="0"/>
    <x v="1"/>
    <s v="P4"/>
    <n v="4.8962005483744613E-5"/>
    <s v="No"/>
  </r>
  <r>
    <n v="58.333333333333336"/>
    <d v="2012-07-16T00:00:00"/>
    <x v="0"/>
    <s v="UNHCR"/>
    <s v="Kachin"/>
    <s v="Myitkyina"/>
    <s v="Kyun Pin Thar Baptist Church"/>
    <m/>
    <m/>
    <m/>
    <n v="33"/>
    <n v="33"/>
    <n v="33"/>
    <n v="33"/>
    <n v="33"/>
    <n v="33"/>
    <n v="33"/>
    <m/>
    <m/>
    <m/>
    <m/>
    <m/>
    <m/>
    <m/>
    <n v="0"/>
    <n v="0"/>
    <n v="0"/>
    <n v="0"/>
    <n v="0"/>
    <n v="0"/>
    <n v="0"/>
    <n v="0"/>
    <n v="0"/>
    <n v="0"/>
    <n v="0"/>
    <n v="0"/>
    <n v="0"/>
    <n v="0"/>
    <n v="0"/>
    <n v="0"/>
    <n v="0"/>
    <n v="0"/>
    <s v="MMR001CMP013"/>
    <x v="0"/>
    <x v="0"/>
    <s v="P4"/>
    <n v="8.0666845926324286E-4"/>
    <s v="No"/>
  </r>
  <r>
    <n v="58.333333333333336"/>
    <d v="2012-07-16T00:00:00"/>
    <x v="0"/>
    <s v="UNHCR"/>
    <s v="Kachin"/>
    <s v="Myitkyina"/>
    <s v="Le Kone Bethlehem Church"/>
    <m/>
    <m/>
    <m/>
    <n v="6"/>
    <n v="6"/>
    <n v="6"/>
    <n v="6"/>
    <n v="6"/>
    <n v="6"/>
    <n v="6"/>
    <m/>
    <m/>
    <m/>
    <m/>
    <m/>
    <m/>
    <m/>
    <n v="0"/>
    <n v="0"/>
    <n v="0"/>
    <n v="0"/>
    <n v="0"/>
    <n v="0"/>
    <n v="0"/>
    <n v="0"/>
    <n v="0"/>
    <n v="0"/>
    <n v="0"/>
    <n v="0"/>
    <n v="0"/>
    <n v="0"/>
    <n v="0"/>
    <n v="0"/>
    <n v="0"/>
    <n v="0"/>
    <s v="MMR001CMP015"/>
    <x v="0"/>
    <x v="0"/>
    <s v="P4"/>
    <n v="1.4777233209368765E-4"/>
    <s v="No"/>
  </r>
  <r>
    <n v="58.333333333333336"/>
    <d v="2012-07-16T00:00:00"/>
    <x v="0"/>
    <s v="UNHCR"/>
    <s v="Kachin"/>
    <s v="Myitkyina"/>
    <s v="Le Kone Bethlehem Church"/>
    <m/>
    <m/>
    <m/>
    <n v="13"/>
    <n v="13"/>
    <n v="13"/>
    <n v="13"/>
    <n v="13"/>
    <n v="13"/>
    <n v="13"/>
    <m/>
    <m/>
    <m/>
    <m/>
    <m/>
    <m/>
    <m/>
    <n v="0"/>
    <n v="0"/>
    <n v="0"/>
    <n v="0"/>
    <n v="0"/>
    <n v="0"/>
    <n v="0"/>
    <n v="0"/>
    <n v="0"/>
    <n v="0"/>
    <n v="0"/>
    <n v="0"/>
    <n v="0"/>
    <n v="0"/>
    <n v="0"/>
    <n v="0"/>
    <n v="0"/>
    <n v="0"/>
    <s v="MMR001CMP015"/>
    <x v="0"/>
    <x v="0"/>
    <s v="P4"/>
    <n v="3.2017338620298993E-4"/>
    <s v="No"/>
  </r>
  <r>
    <n v="58.333333333333336"/>
    <d v="2012-07-16T00:00:00"/>
    <x v="0"/>
    <s v="UNHCR"/>
    <s v="Kachin"/>
    <s v="Myitkyina"/>
    <s v="Le Kone Ziun Baptist Church "/>
    <m/>
    <m/>
    <m/>
    <n v="50"/>
    <n v="50"/>
    <n v="50"/>
    <n v="50"/>
    <n v="50"/>
    <n v="50"/>
    <n v="50"/>
    <m/>
    <m/>
    <m/>
    <m/>
    <m/>
    <m/>
    <m/>
    <n v="0"/>
    <n v="0"/>
    <n v="0"/>
    <n v="0"/>
    <n v="0"/>
    <n v="0"/>
    <n v="0"/>
    <n v="0"/>
    <n v="0"/>
    <n v="0"/>
    <n v="0"/>
    <n v="0"/>
    <n v="0"/>
    <n v="0"/>
    <n v="0"/>
    <n v="0"/>
    <n v="0"/>
    <n v="0"/>
    <s v="MMR001CMP014"/>
    <x v="0"/>
    <x v="0"/>
    <s v="P4"/>
    <n v="1.2286521685710775E-3"/>
    <s v="No"/>
  </r>
  <r>
    <n v="58.333333333333336"/>
    <d v="2012-07-16T00:00:00"/>
    <x v="0"/>
    <s v="UNHCR"/>
    <s v="Kachin"/>
    <s v="Myitkyina"/>
    <s v="Maliyang Baptist Church"/>
    <m/>
    <m/>
    <m/>
    <n v="3"/>
    <n v="3"/>
    <n v="3"/>
    <n v="3"/>
    <n v="3"/>
    <n v="3"/>
    <n v="3"/>
    <m/>
    <m/>
    <m/>
    <m/>
    <m/>
    <m/>
    <m/>
    <n v="0"/>
    <n v="0"/>
    <n v="0"/>
    <n v="0"/>
    <n v="0"/>
    <n v="0"/>
    <n v="0"/>
    <n v="0"/>
    <n v="0"/>
    <n v="0"/>
    <n v="0"/>
    <n v="0"/>
    <n v="0"/>
    <n v="0"/>
    <n v="0"/>
    <n v="0"/>
    <n v="0"/>
    <n v="0"/>
    <s v="MMR001CMP016"/>
    <x v="0"/>
    <x v="0"/>
    <s v="P4"/>
    <n v="7.3608793797232309E-5"/>
    <s v="No"/>
  </r>
  <r>
    <n v="58.333333333333336"/>
    <d v="2012-07-16T00:00:00"/>
    <x v="0"/>
    <s v="UNHCR"/>
    <s v="Kachin"/>
    <s v="Myitkyina"/>
    <s v="Njang Dung Baptist Church "/>
    <m/>
    <m/>
    <m/>
    <n v="25"/>
    <n v="25"/>
    <n v="25"/>
    <n v="25"/>
    <n v="25"/>
    <n v="25"/>
    <n v="25"/>
    <m/>
    <m/>
    <m/>
    <m/>
    <m/>
    <m/>
    <m/>
    <n v="0"/>
    <n v="0"/>
    <n v="0"/>
    <n v="0"/>
    <n v="0"/>
    <n v="0"/>
    <n v="0"/>
    <n v="0"/>
    <n v="0"/>
    <n v="0"/>
    <n v="0"/>
    <n v="0"/>
    <n v="0"/>
    <n v="0"/>
    <n v="0"/>
    <n v="0"/>
    <n v="0"/>
    <n v="0"/>
    <s v="MMR001CMP002"/>
    <x v="0"/>
    <x v="0"/>
    <s v="P4"/>
    <n v="6.1432608428553873E-4"/>
    <s v="No"/>
  </r>
  <r>
    <n v="58.3"/>
    <d v="2012-07-17T00:00:00"/>
    <x v="0"/>
    <s v="UNHCR"/>
    <s v="Kachin"/>
    <s v="Waingmaw"/>
    <s v="Border Post 8"/>
    <m/>
    <m/>
    <m/>
    <n v="19"/>
    <n v="19"/>
    <n v="19"/>
    <n v="19"/>
    <n v="19"/>
    <n v="19"/>
    <n v="19"/>
    <m/>
    <m/>
    <m/>
    <m/>
    <m/>
    <m/>
    <m/>
    <n v="0"/>
    <n v="0"/>
    <n v="0"/>
    <n v="0"/>
    <n v="0"/>
    <n v="0"/>
    <n v="0"/>
    <n v="0"/>
    <n v="0"/>
    <n v="0"/>
    <n v="0"/>
    <n v="0"/>
    <n v="0"/>
    <n v="0"/>
    <n v="0"/>
    <n v="0"/>
    <n v="0"/>
    <n v="0"/>
    <s v="MMR001CMP113"/>
    <x v="0"/>
    <x v="0"/>
    <s v="P1"/>
    <n v="4.6513905209557383E-4"/>
    <s v="No"/>
  </r>
  <r>
    <n v="58.3"/>
    <d v="2012-07-17T00:00:00"/>
    <x v="0"/>
    <s v="UNHCR"/>
    <s v="Kachin"/>
    <s v="Myitkyina"/>
    <s v="Du Kahtawng Qtr. 14"/>
    <m/>
    <m/>
    <m/>
    <n v="5"/>
    <n v="5"/>
    <n v="5"/>
    <n v="5"/>
    <n v="5"/>
    <n v="5"/>
    <n v="5"/>
    <m/>
    <m/>
    <m/>
    <m/>
    <m/>
    <m/>
    <m/>
    <n v="0"/>
    <n v="0"/>
    <n v="0"/>
    <n v="0"/>
    <n v="0"/>
    <n v="0"/>
    <n v="0"/>
    <n v="0"/>
    <n v="0"/>
    <n v="0"/>
    <n v="0"/>
    <n v="0"/>
    <n v="0"/>
    <n v="0"/>
    <n v="0"/>
    <n v="0"/>
    <n v="0"/>
    <n v="0"/>
    <s v="MMR001CMP012"/>
    <x v="0"/>
    <x v="0"/>
    <s v="P4"/>
    <n v="1.2286521685710776E-4"/>
    <s v="No"/>
  </r>
  <r>
    <n v="58.3"/>
    <d v="2012-07-17T00:00:00"/>
    <x v="0"/>
    <s v="UNHCR"/>
    <s v="Kachin"/>
    <s v="Myitkyina"/>
    <s v="Du Kahtawng Qtr. 4"/>
    <m/>
    <m/>
    <m/>
    <n v="6"/>
    <n v="6"/>
    <n v="6"/>
    <n v="6"/>
    <n v="6"/>
    <n v="6"/>
    <n v="6"/>
    <m/>
    <m/>
    <m/>
    <m/>
    <m/>
    <m/>
    <m/>
    <n v="0"/>
    <n v="0"/>
    <n v="0"/>
    <n v="0"/>
    <n v="0"/>
    <n v="0"/>
    <n v="0"/>
    <n v="0"/>
    <n v="0"/>
    <n v="0"/>
    <n v="0"/>
    <n v="0"/>
    <n v="0"/>
    <n v="0"/>
    <n v="0"/>
    <n v="0"/>
    <n v="0"/>
    <n v="0"/>
    <s v="MMR001CMP010"/>
    <x v="0"/>
    <x v="0"/>
    <s v="P4"/>
    <n v="1.474382602285293E-4"/>
    <s v="No"/>
  </r>
  <r>
    <n v="58.3"/>
    <d v="2012-07-17T00:00:00"/>
    <x v="0"/>
    <s v="UNHCR"/>
    <s v="Kachin"/>
    <s v="Myitkyina"/>
    <s v="Du Kahtawng Qtr. 5"/>
    <m/>
    <m/>
    <m/>
    <n v="6"/>
    <n v="6"/>
    <n v="6"/>
    <n v="6"/>
    <n v="6"/>
    <n v="6"/>
    <n v="6"/>
    <m/>
    <m/>
    <m/>
    <m/>
    <m/>
    <m/>
    <m/>
    <n v="0"/>
    <n v="0"/>
    <n v="0"/>
    <n v="0"/>
    <n v="0"/>
    <n v="0"/>
    <n v="0"/>
    <n v="0"/>
    <n v="0"/>
    <n v="0"/>
    <n v="0"/>
    <n v="0"/>
    <n v="0"/>
    <n v="0"/>
    <n v="0"/>
    <n v="0"/>
    <n v="0"/>
    <n v="0"/>
    <s v="MMR001CMP011"/>
    <x v="0"/>
    <x v="0"/>
    <s v="P4"/>
    <n v="1.474382602285293E-4"/>
    <s v="No"/>
  </r>
  <r>
    <n v="58.3"/>
    <d v="2012-07-17T00:00:00"/>
    <x v="0"/>
    <s v="UNHCR"/>
    <s v="Kachin"/>
    <s v="Momauk"/>
    <s v="Dum Bung "/>
    <m/>
    <m/>
    <m/>
    <n v="380"/>
    <n v="156"/>
    <n v="380"/>
    <n v="156"/>
    <n v="156"/>
    <n v="156"/>
    <n v="156"/>
    <m/>
    <m/>
    <m/>
    <m/>
    <m/>
    <m/>
    <m/>
    <n v="0"/>
    <n v="0"/>
    <n v="0"/>
    <n v="0"/>
    <n v="0"/>
    <n v="0"/>
    <n v="0"/>
    <n v="0"/>
    <n v="0"/>
    <n v="0"/>
    <n v="0"/>
    <n v="0"/>
    <n v="0"/>
    <n v="0"/>
    <n v="0"/>
    <n v="0"/>
    <n v="0"/>
    <n v="0"/>
    <s v="MMR001CMP123"/>
    <x v="0"/>
    <x v="0"/>
    <s v="P2"/>
    <n v="3.8276572774560802E-3"/>
    <s v="No"/>
  </r>
  <r>
    <n v="58.3"/>
    <d v="2012-07-17T00:00:00"/>
    <x v="0"/>
    <s v="UNHCR"/>
    <s v="Kachin"/>
    <s v="Momauk"/>
    <s v="Hpun Lum Yang "/>
    <m/>
    <m/>
    <m/>
    <n v="0"/>
    <n v="0"/>
    <n v="0"/>
    <n v="0"/>
    <n v="0"/>
    <m/>
    <m/>
    <m/>
    <m/>
    <m/>
    <m/>
    <m/>
    <m/>
    <m/>
    <n v="0"/>
    <n v="0"/>
    <n v="0"/>
    <n v="0"/>
    <n v="0"/>
    <n v="0"/>
    <n v="0"/>
    <n v="0"/>
    <n v="0"/>
    <n v="0"/>
    <n v="0"/>
    <n v="0"/>
    <n v="0"/>
    <n v="0"/>
    <n v="0"/>
    <n v="0"/>
    <n v="0"/>
    <n v="0"/>
    <s v="MMR001CMP122"/>
    <x v="0"/>
    <x v="0"/>
    <s v="P2"/>
    <n v="0"/>
    <s v="No"/>
  </r>
  <r>
    <n v="58.3"/>
    <d v="2012-07-17T00:00:00"/>
    <x v="0"/>
    <s v="UNHCR"/>
    <s v="Kachin"/>
    <s v="Myitkyina"/>
    <s v="Jan Mai Kawng Baptist Church"/>
    <m/>
    <m/>
    <m/>
    <n v="21"/>
    <n v="21"/>
    <n v="21"/>
    <n v="21"/>
    <n v="21"/>
    <n v="21"/>
    <n v="21"/>
    <m/>
    <m/>
    <m/>
    <m/>
    <m/>
    <m/>
    <m/>
    <n v="0"/>
    <n v="0"/>
    <n v="0"/>
    <n v="0"/>
    <n v="0"/>
    <n v="0"/>
    <n v="0"/>
    <n v="0"/>
    <n v="0"/>
    <n v="0"/>
    <n v="0"/>
    <n v="0"/>
    <n v="0"/>
    <n v="0"/>
    <n v="0"/>
    <n v="0"/>
    <n v="0"/>
    <n v="0"/>
    <s v="MMR001CMP018"/>
    <x v="0"/>
    <x v="0"/>
    <s v="P4"/>
    <n v="5.1565377532228362E-4"/>
    <s v="No"/>
  </r>
  <r>
    <n v="58.3"/>
    <d v="2012-07-17T00:00:00"/>
    <x v="0"/>
    <s v="UNHCR"/>
    <s v="Kachin"/>
    <s v="Momauk"/>
    <s v="Loi Je Lisu Camp"/>
    <m/>
    <m/>
    <m/>
    <n v="0"/>
    <n v="0"/>
    <n v="0"/>
    <n v="0"/>
    <n v="0"/>
    <m/>
    <m/>
    <m/>
    <m/>
    <m/>
    <m/>
    <m/>
    <m/>
    <m/>
    <n v="0"/>
    <n v="0"/>
    <n v="0"/>
    <n v="0"/>
    <n v="0"/>
    <n v="0"/>
    <n v="0"/>
    <n v="0"/>
    <n v="0"/>
    <n v="0"/>
    <n v="0"/>
    <n v="0"/>
    <n v="0"/>
    <n v="0"/>
    <n v="0"/>
    <n v="0"/>
    <n v="0"/>
    <n v="0"/>
    <s v="MMR001CMP070"/>
    <x v="0"/>
    <x v="0"/>
    <s v="P3"/>
    <n v="0"/>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ansi"/>
    <s v="Man Wing Baptist Church"/>
    <m/>
    <m/>
    <m/>
    <n v="0"/>
    <n v="0"/>
    <n v="0"/>
    <n v="0"/>
    <n v="0"/>
    <m/>
    <m/>
    <m/>
    <m/>
    <m/>
    <m/>
    <m/>
    <m/>
    <m/>
    <n v="0"/>
    <n v="0"/>
    <n v="0"/>
    <n v="0"/>
    <n v="0"/>
    <n v="0"/>
    <n v="0"/>
    <n v="0"/>
    <n v="0"/>
    <n v="0"/>
    <n v="0"/>
    <n v="0"/>
    <n v="0"/>
    <n v="0"/>
    <n v="0"/>
    <n v="0"/>
    <n v="0"/>
    <n v="0"/>
    <s v="MMR001CMP133"/>
    <x v="0"/>
    <x v="0"/>
    <s v="P4"/>
    <n v="0"/>
    <s v="No"/>
  </r>
  <r>
    <n v="58.3"/>
    <d v="2012-07-17T00:00:00"/>
    <x v="0"/>
    <s v="UNHCR"/>
    <s v="Kachin"/>
    <s v="Myitkyina"/>
    <s v="Maw Hpawng Hka Nan Baptist Church"/>
    <m/>
    <m/>
    <m/>
    <n v="0"/>
    <n v="0"/>
    <n v="0"/>
    <n v="0"/>
    <n v="0"/>
    <m/>
    <m/>
    <m/>
    <m/>
    <m/>
    <m/>
    <m/>
    <m/>
    <m/>
    <n v="0"/>
    <n v="0"/>
    <n v="0"/>
    <n v="0"/>
    <n v="0"/>
    <n v="0"/>
    <n v="0"/>
    <n v="0"/>
    <n v="0"/>
    <n v="0"/>
    <n v="0"/>
    <n v="0"/>
    <n v="0"/>
    <n v="0"/>
    <n v="0"/>
    <n v="0"/>
    <n v="0"/>
    <n v="0"/>
    <s v="MMR001CMP020"/>
    <x v="0"/>
    <x v="0"/>
    <s v="P4"/>
    <n v="0"/>
    <s v="No"/>
  </r>
  <r>
    <n v="58.3"/>
    <d v="2012-07-17T00:00:00"/>
    <x v="0"/>
    <s v="UNHCR"/>
    <s v="Kachin"/>
    <s v="Myitkyina"/>
    <s v="Maw Hpawng Hka Nan Baptist Church"/>
    <m/>
    <m/>
    <m/>
    <n v="19"/>
    <n v="19"/>
    <n v="19"/>
    <n v="19"/>
    <n v="19"/>
    <n v="19"/>
    <n v="19"/>
    <m/>
    <m/>
    <m/>
    <m/>
    <m/>
    <m/>
    <m/>
    <n v="0"/>
    <n v="0"/>
    <n v="0"/>
    <n v="0"/>
    <n v="0"/>
    <n v="0"/>
    <n v="0"/>
    <n v="0"/>
    <n v="0"/>
    <n v="0"/>
    <n v="0"/>
    <n v="0"/>
    <n v="0"/>
    <n v="0"/>
    <n v="0"/>
    <n v="0"/>
    <n v="0"/>
    <n v="0"/>
    <s v="MMR001CMP020"/>
    <x v="0"/>
    <x v="0"/>
    <s v="P4"/>
    <n v="4.6549231937673027E-4"/>
    <s v="No"/>
  </r>
  <r>
    <n v="58.3"/>
    <d v="2012-07-17T00:00:00"/>
    <x v="0"/>
    <s v="UNHCR"/>
    <s v="Kachin"/>
    <s v="Myitkyina"/>
    <s v="Nan Kway St. John Catholic Church"/>
    <m/>
    <m/>
    <m/>
    <n v="6"/>
    <n v="6"/>
    <n v="6"/>
    <n v="6"/>
    <n v="6"/>
    <n v="6"/>
    <n v="6"/>
    <m/>
    <m/>
    <m/>
    <m/>
    <m/>
    <m/>
    <m/>
    <n v="0"/>
    <n v="0"/>
    <n v="0"/>
    <n v="0"/>
    <n v="0"/>
    <n v="0"/>
    <n v="0"/>
    <n v="0"/>
    <n v="0"/>
    <n v="0"/>
    <n v="0"/>
    <n v="0"/>
    <n v="0"/>
    <n v="0"/>
    <n v="0"/>
    <n v="0"/>
    <n v="0"/>
    <n v="0"/>
    <s v="MMR001CMP024"/>
    <x v="0"/>
    <x v="0"/>
    <s v="P4"/>
    <n v="1.4666699259331686E-4"/>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yitkyina"/>
    <s v="Shatapru Thida Aye Baptist Church"/>
    <m/>
    <m/>
    <m/>
    <n v="3"/>
    <n v="3"/>
    <n v="3"/>
    <n v="3"/>
    <n v="3"/>
    <n v="3"/>
    <n v="3"/>
    <m/>
    <m/>
    <m/>
    <m/>
    <m/>
    <m/>
    <m/>
    <n v="0"/>
    <n v="0"/>
    <n v="0"/>
    <n v="0"/>
    <n v="0"/>
    <n v="0"/>
    <n v="0"/>
    <n v="0"/>
    <n v="0"/>
    <n v="0"/>
    <n v="0"/>
    <n v="0"/>
    <n v="0"/>
    <n v="0"/>
    <n v="0"/>
    <n v="0"/>
    <n v="0"/>
    <n v="0"/>
    <s v="MMR001CMP007"/>
    <x v="0"/>
    <x v="0"/>
    <s v="P4"/>
    <n v="7.333349629665843E-5"/>
    <s v="No"/>
  </r>
  <r>
    <n v="58.3"/>
    <d v="2012-07-17T00:00:00"/>
    <x v="0"/>
    <s v="UNHCR"/>
    <s v="Kachin"/>
    <s v="Myitkyina"/>
    <s v="Tat Kone Galile Baptist Church"/>
    <m/>
    <m/>
    <m/>
    <n v="7"/>
    <n v="7"/>
    <n v="7"/>
    <n v="7"/>
    <n v="7"/>
    <n v="7"/>
    <n v="7"/>
    <m/>
    <m/>
    <m/>
    <m/>
    <m/>
    <m/>
    <m/>
    <n v="0"/>
    <n v="0"/>
    <n v="0"/>
    <n v="0"/>
    <n v="0"/>
    <n v="0"/>
    <n v="0"/>
    <n v="0"/>
    <n v="0"/>
    <n v="0"/>
    <n v="0"/>
    <n v="0"/>
    <n v="0"/>
    <n v="0"/>
    <n v="0"/>
    <n v="0"/>
    <n v="0"/>
    <n v="0"/>
    <s v="MMR001CMP003"/>
    <x v="0"/>
    <x v="0"/>
    <s v="P4"/>
    <n v="1.7188459177409454E-4"/>
    <s v="No"/>
  </r>
  <r>
    <n v="58.3"/>
    <d v="2012-07-17T00:00:00"/>
    <x v="0"/>
    <s v="UNHCR"/>
    <s v="Kachin"/>
    <s v="Mansi"/>
    <s v="Lung Kawk  ( Hka Hkye Zup)"/>
    <m/>
    <m/>
    <m/>
    <n v="0"/>
    <n v="0"/>
    <n v="0"/>
    <n v="0"/>
    <n v="0"/>
    <m/>
    <m/>
    <m/>
    <m/>
    <m/>
    <m/>
    <m/>
    <m/>
    <m/>
    <n v="0"/>
    <n v="0"/>
    <n v="0"/>
    <n v="0"/>
    <n v="0"/>
    <n v="0"/>
    <n v="0"/>
    <n v="0"/>
    <n v="0"/>
    <n v="0"/>
    <n v="0"/>
    <n v="0"/>
    <n v="0"/>
    <n v="0"/>
    <n v="0"/>
    <n v="0"/>
    <n v="0"/>
    <n v="0"/>
    <s v="MMR001CMP135"/>
    <x v="0"/>
    <x v="1"/>
    <s v="P2"/>
    <n v="0"/>
    <s v="No"/>
  </r>
  <r>
    <n v="58.3"/>
    <d v="2012-07-17T00:00:00"/>
    <x v="0"/>
    <s v="UNHCR"/>
    <s v="Kachin"/>
    <s v="Waingmaw"/>
    <s v="Moke Lwe Village - Hkar Shi"/>
    <m/>
    <m/>
    <m/>
    <n v="0"/>
    <n v="0"/>
    <n v="0"/>
    <n v="0"/>
    <n v="0"/>
    <m/>
    <m/>
    <m/>
    <m/>
    <m/>
    <m/>
    <m/>
    <m/>
    <m/>
    <n v="0"/>
    <n v="0"/>
    <n v="0"/>
    <n v="0"/>
    <n v="0"/>
    <n v="0"/>
    <n v="0"/>
    <n v="0"/>
    <n v="0"/>
    <n v="0"/>
    <n v="0"/>
    <n v="0"/>
    <n v="0"/>
    <n v="0"/>
    <n v="0"/>
    <n v="0"/>
    <n v="0"/>
    <n v="0"/>
    <s v="MMR001CMP035"/>
    <x v="0"/>
    <x v="1"/>
    <s v=""/>
    <s v=""/>
    <s v="No"/>
  </r>
  <r>
    <n v="58.266666666666666"/>
    <d v="2012-07-18T00:00:00"/>
    <x v="1"/>
    <s v="LDO"/>
    <s v="Kachin"/>
    <s v="Momauk"/>
    <s v="Dum Bung "/>
    <n v="33"/>
    <m/>
    <m/>
    <m/>
    <m/>
    <m/>
    <m/>
    <m/>
    <m/>
    <m/>
    <m/>
    <m/>
    <m/>
    <m/>
    <m/>
    <m/>
    <m/>
    <n v="0"/>
    <n v="0"/>
    <n v="0"/>
    <n v="0"/>
    <n v="0"/>
    <n v="0"/>
    <n v="0"/>
    <n v="0"/>
    <n v="0"/>
    <n v="0"/>
    <n v="0"/>
    <n v="0"/>
    <n v="0"/>
    <n v="0"/>
    <n v="0"/>
    <n v="0"/>
    <n v="0"/>
    <n v="0"/>
    <s v="MMR001CMP123"/>
    <x v="0"/>
    <x v="0"/>
    <s v="P2"/>
    <n v="0"/>
    <m/>
  </r>
  <r>
    <n v="58.266666666666666"/>
    <d v="2012-07-18T00:00:00"/>
    <x v="0"/>
    <s v="UNHCR"/>
    <s v="Kachin"/>
    <s v="Mansi"/>
    <s v="Mung Ding Pa  (Boarder)"/>
    <m/>
    <m/>
    <m/>
    <n v="170"/>
    <n v="16"/>
    <n v="170"/>
    <n v="85"/>
    <n v="85"/>
    <n v="85"/>
    <n v="85"/>
    <m/>
    <m/>
    <m/>
    <m/>
    <m/>
    <m/>
    <m/>
    <n v="0"/>
    <n v="0"/>
    <n v="0"/>
    <n v="0"/>
    <n v="0"/>
    <n v="0"/>
    <n v="0"/>
    <n v="0"/>
    <n v="0"/>
    <n v="0"/>
    <n v="0"/>
    <n v="0"/>
    <n v="0"/>
    <n v="0"/>
    <n v="0"/>
    <n v="0"/>
    <n v="0"/>
    <n v="0"/>
    <s v="MMR001CMP203"/>
    <x v="0"/>
    <x v="1"/>
    <s v=""/>
    <n v="2.0685794942931542E-3"/>
    <s v="No"/>
  </r>
  <r>
    <n v="58.266666666666666"/>
    <d v="2012-07-18T00:00:00"/>
    <x v="0"/>
    <s v="UNHCR"/>
    <s v="Kachin"/>
    <s v="Mansi"/>
    <s v="Nam Lim Pa - Scattered IDPs in forest"/>
    <m/>
    <m/>
    <m/>
    <n v="206"/>
    <n v="78"/>
    <n v="206"/>
    <n v="103"/>
    <n v="103"/>
    <n v="103"/>
    <n v="103"/>
    <m/>
    <m/>
    <m/>
    <m/>
    <m/>
    <m/>
    <m/>
    <n v="0"/>
    <n v="0"/>
    <n v="0"/>
    <n v="0"/>
    <n v="0"/>
    <n v="0"/>
    <n v="0"/>
    <n v="0"/>
    <n v="0"/>
    <n v="0"/>
    <n v="0"/>
    <n v="0"/>
    <n v="0"/>
    <n v="0"/>
    <n v="0"/>
    <n v="0"/>
    <n v="0"/>
    <n v="0"/>
    <s v="MMR001CMP137"/>
    <x v="0"/>
    <x v="1"/>
    <s v=""/>
    <s v=""/>
    <s v="No"/>
  </r>
  <r>
    <n v="58.233333333333334"/>
    <d v="2012-07-19T00:00:00"/>
    <x v="0"/>
    <s v="UNHCR"/>
    <s v="Kachin"/>
    <s v="Myitkyina"/>
    <s v="Kyun Pin Thar Baptist Church"/>
    <m/>
    <m/>
    <m/>
    <n v="6"/>
    <n v="4"/>
    <n v="6"/>
    <n v="4"/>
    <n v="4"/>
    <n v="4"/>
    <n v="4"/>
    <m/>
    <m/>
    <m/>
    <m/>
    <m/>
    <m/>
    <m/>
    <n v="0"/>
    <n v="0"/>
    <n v="0"/>
    <n v="0"/>
    <n v="0"/>
    <n v="0"/>
    <n v="0"/>
    <n v="0"/>
    <n v="0"/>
    <n v="0"/>
    <n v="0"/>
    <n v="0"/>
    <n v="0"/>
    <n v="0"/>
    <n v="0"/>
    <n v="0"/>
    <n v="0"/>
    <n v="0"/>
    <s v="MMR001CMP013"/>
    <x v="0"/>
    <x v="0"/>
    <s v="P4"/>
    <n v="9.7777995062211254E-5"/>
    <s v="No"/>
  </r>
  <r>
    <n v="58.233333333333334"/>
    <d v="2012-07-19T00:00:00"/>
    <x v="0"/>
    <s v="UNHCR"/>
    <s v="Kachin"/>
    <s v="Myitkyina"/>
    <s v="Tat Kone COC Baptist - Tat Kone Htoi San"/>
    <m/>
    <m/>
    <m/>
    <n v="3"/>
    <n v="2"/>
    <n v="3"/>
    <n v="2"/>
    <n v="2"/>
    <n v="2"/>
    <n v="2"/>
    <m/>
    <m/>
    <m/>
    <m/>
    <m/>
    <m/>
    <m/>
    <n v="0"/>
    <n v="0"/>
    <n v="0"/>
    <n v="0"/>
    <n v="0"/>
    <n v="0"/>
    <n v="0"/>
    <n v="0"/>
    <n v="0"/>
    <n v="0"/>
    <n v="0"/>
    <n v="0"/>
    <n v="0"/>
    <n v="0"/>
    <n v="0"/>
    <n v="0"/>
    <n v="0"/>
    <n v="0"/>
    <s v="MMR001CMP023"/>
    <x v="0"/>
    <x v="0"/>
    <s v="P4"/>
    <n v="4.8780487804878051E-5"/>
    <s v="No"/>
  </r>
  <r>
    <n v="58.233333333333334"/>
    <d v="2012-07-19T00:00:00"/>
    <x v="0"/>
    <s v="UNHCR"/>
    <s v="Kachin"/>
    <s v="Myitkyina"/>
    <s v="Wun Tho Buddhist Monastery"/>
    <m/>
    <m/>
    <m/>
    <n v="9"/>
    <n v="5"/>
    <n v="9"/>
    <n v="5"/>
    <n v="5"/>
    <n v="5"/>
    <n v="5"/>
    <m/>
    <m/>
    <m/>
    <m/>
    <m/>
    <m/>
    <m/>
    <n v="0"/>
    <n v="0"/>
    <n v="0"/>
    <n v="0"/>
    <n v="0"/>
    <n v="0"/>
    <n v="0"/>
    <n v="0"/>
    <n v="0"/>
    <n v="0"/>
    <n v="0"/>
    <n v="0"/>
    <n v="0"/>
    <n v="0"/>
    <n v="0"/>
    <n v="0"/>
    <n v="0"/>
    <n v="0"/>
    <s v="MMR001CMP022"/>
    <x v="0"/>
    <x v="0"/>
    <s v="P4"/>
    <n v="1.2195121951219512E-4"/>
    <s v="No"/>
  </r>
  <r>
    <n v="58.1"/>
    <d v="2012-07-23T00:00:00"/>
    <x v="0"/>
    <s v="UNHCR"/>
    <s v="Kachin"/>
    <s v="Myitkyina"/>
    <s v="Jan Mai Kawng Catholic Church"/>
    <m/>
    <m/>
    <m/>
    <n v="19"/>
    <n v="10"/>
    <n v="19"/>
    <n v="10"/>
    <n v="11"/>
    <n v="11"/>
    <n v="11"/>
    <m/>
    <m/>
    <m/>
    <m/>
    <m/>
    <m/>
    <m/>
    <n v="0"/>
    <n v="0"/>
    <n v="0"/>
    <n v="0"/>
    <n v="0"/>
    <n v="0"/>
    <n v="0"/>
    <n v="0"/>
    <n v="0"/>
    <n v="0"/>
    <n v="0"/>
    <n v="0"/>
    <n v="0"/>
    <n v="0"/>
    <n v="0"/>
    <n v="0"/>
    <n v="0"/>
    <n v="0"/>
    <s v="MMR001CMP019"/>
    <x v="0"/>
    <x v="0"/>
    <s v="P4"/>
    <n v="2.4554941682013506E-4"/>
    <s v="No"/>
  </r>
  <r>
    <n v="58.1"/>
    <d v="2012-07-23T00:00:00"/>
    <x v="0"/>
    <s v="UNHCR"/>
    <s v="Kachin"/>
    <s v="Myitkyina"/>
    <s v="Maliyang Baptist Church"/>
    <m/>
    <m/>
    <m/>
    <n v="72"/>
    <n v="39"/>
    <n v="72"/>
    <n v="39"/>
    <n v="39"/>
    <n v="39"/>
    <n v="39"/>
    <m/>
    <m/>
    <m/>
    <m/>
    <m/>
    <m/>
    <m/>
    <n v="0"/>
    <n v="0"/>
    <n v="0"/>
    <n v="0"/>
    <n v="0"/>
    <n v="0"/>
    <n v="0"/>
    <n v="0"/>
    <n v="0"/>
    <n v="0"/>
    <n v="0"/>
    <n v="0"/>
    <n v="0"/>
    <n v="0"/>
    <n v="0"/>
    <n v="0"/>
    <n v="0"/>
    <n v="0"/>
    <s v="MMR001CMP016"/>
    <x v="0"/>
    <x v="0"/>
    <s v="P4"/>
    <n v="9.5691431936402005E-4"/>
    <s v="No"/>
  </r>
  <r>
    <n v="58.1"/>
    <d v="2012-07-23T00:00:00"/>
    <x v="0"/>
    <s v="UNHCR"/>
    <s v="Kachin"/>
    <s v="Myitkyina"/>
    <s v="Shatapru Thida Aye Baptist Church"/>
    <m/>
    <m/>
    <m/>
    <n v="30"/>
    <n v="12"/>
    <n v="30"/>
    <n v="12"/>
    <n v="14"/>
    <n v="14"/>
    <n v="14"/>
    <m/>
    <m/>
    <m/>
    <m/>
    <m/>
    <m/>
    <m/>
    <n v="0"/>
    <n v="0"/>
    <n v="0"/>
    <n v="0"/>
    <n v="0"/>
    <n v="0"/>
    <n v="0"/>
    <n v="0"/>
    <n v="0"/>
    <n v="0"/>
    <n v="0"/>
    <n v="0"/>
    <n v="0"/>
    <n v="0"/>
    <n v="0"/>
    <n v="0"/>
    <n v="0"/>
    <n v="0"/>
    <s v="MMR001CMP007"/>
    <x v="0"/>
    <x v="0"/>
    <s v="P4"/>
    <n v="2.9333398518663372E-4"/>
    <s v="No"/>
  </r>
  <r>
    <n v="58.1"/>
    <d v="2012-07-23T00:00:00"/>
    <x v="0"/>
    <s v="UNHCR"/>
    <s v="Kachin"/>
    <s v="Myitkyina"/>
    <s v="Tat Kone San Pya Baptist Church"/>
    <m/>
    <m/>
    <m/>
    <n v="24"/>
    <n v="8"/>
    <n v="24"/>
    <n v="8"/>
    <n v="13"/>
    <n v="13"/>
    <n v="13"/>
    <m/>
    <m/>
    <m/>
    <m/>
    <m/>
    <m/>
    <m/>
    <n v="0"/>
    <n v="0"/>
    <n v="0"/>
    <n v="0"/>
    <n v="0"/>
    <n v="0"/>
    <n v="0"/>
    <n v="0"/>
    <n v="0"/>
    <n v="0"/>
    <n v="0"/>
    <n v="0"/>
    <n v="0"/>
    <n v="0"/>
    <n v="0"/>
    <n v="0"/>
    <n v="0"/>
    <n v="0"/>
    <s v="MMR001CMP005"/>
    <x v="0"/>
    <x v="0"/>
    <s v="P4"/>
    <n v="1.9599676605336011E-4"/>
    <s v="No"/>
  </r>
  <r>
    <n v="58"/>
    <d v="2012-07-26T00:00:00"/>
    <x v="0"/>
    <s v="UNHCR"/>
    <s v="Kachin"/>
    <s v="Mogaung"/>
    <s v="Mang Hawng Baptist Church"/>
    <m/>
    <m/>
    <m/>
    <n v="31"/>
    <n v="15"/>
    <n v="31"/>
    <n v="15"/>
    <n v="16"/>
    <n v="16"/>
    <n v="16"/>
    <m/>
    <m/>
    <m/>
    <m/>
    <m/>
    <m/>
    <m/>
    <n v="0"/>
    <n v="0"/>
    <n v="0"/>
    <n v="0"/>
    <n v="0"/>
    <n v="0"/>
    <n v="0"/>
    <n v="0"/>
    <n v="0"/>
    <n v="0"/>
    <n v="0"/>
    <n v="0"/>
    <n v="0"/>
    <n v="0"/>
    <n v="0"/>
    <n v="0"/>
    <n v="0"/>
    <n v="0"/>
    <s v="MMR001CMP077"/>
    <x v="0"/>
    <x v="0"/>
    <s v="P4"/>
    <n v="3.6558615647087499E-4"/>
    <s v="No"/>
  </r>
  <r>
    <n v="58"/>
    <d v="2012-07-26T00:00:00"/>
    <x v="0"/>
    <s v="UNHCR"/>
    <s v="Kachin"/>
    <s v="Mogaung"/>
    <s v="Nat Gyi Kone Baptist Church "/>
    <m/>
    <m/>
    <m/>
    <n v="21"/>
    <n v="17"/>
    <n v="21"/>
    <n v="17"/>
    <n v="17"/>
    <n v="17"/>
    <n v="17"/>
    <m/>
    <m/>
    <m/>
    <m/>
    <m/>
    <m/>
    <m/>
    <n v="0"/>
    <n v="0"/>
    <n v="0"/>
    <n v="0"/>
    <n v="0"/>
    <n v="0"/>
    <n v="0"/>
    <n v="0"/>
    <n v="0"/>
    <n v="0"/>
    <n v="0"/>
    <n v="0"/>
    <n v="0"/>
    <n v="0"/>
    <n v="0"/>
    <n v="0"/>
    <n v="0"/>
    <n v="0"/>
    <s v="MMR001CMP079"/>
    <x v="0"/>
    <x v="0"/>
    <s v="P4"/>
    <n v="4.1494788742707902E-4"/>
    <s v="No"/>
  </r>
  <r>
    <n v="57.966666666666669"/>
    <d v="2012-07-27T00:00:00"/>
    <x v="0"/>
    <s v="UNHCR"/>
    <s v="Kachin"/>
    <s v="Mogaung"/>
    <s v="Kyun Taw Baptist Church "/>
    <m/>
    <m/>
    <m/>
    <n v="35"/>
    <n v="14"/>
    <n v="35"/>
    <n v="14"/>
    <n v="14"/>
    <n v="14"/>
    <n v="14"/>
    <m/>
    <m/>
    <m/>
    <m/>
    <m/>
    <m/>
    <m/>
    <n v="0"/>
    <n v="0"/>
    <n v="0"/>
    <n v="0"/>
    <n v="0"/>
    <n v="0"/>
    <n v="0"/>
    <n v="0"/>
    <n v="0"/>
    <n v="0"/>
    <n v="0"/>
    <n v="0"/>
    <n v="0"/>
    <n v="0"/>
    <n v="0"/>
    <n v="0"/>
    <n v="0"/>
    <n v="0"/>
    <s v="MMR001CMP078"/>
    <x v="0"/>
    <x v="0"/>
    <s v="P4"/>
    <n v="3.4121374603948332E-4"/>
    <s v="No"/>
  </r>
  <r>
    <n v="57.966666666666669"/>
    <d v="2012-07-27T00:00:00"/>
    <x v="0"/>
    <s v="UNHCR"/>
    <s v="Kachin"/>
    <s v="Mohnyin"/>
    <s v="St. Patrick Catholic Church "/>
    <m/>
    <m/>
    <m/>
    <n v="0"/>
    <n v="8"/>
    <n v="0"/>
    <n v="8"/>
    <n v="8"/>
    <n v="8"/>
    <n v="8"/>
    <m/>
    <m/>
    <m/>
    <m/>
    <m/>
    <m/>
    <m/>
    <n v="0"/>
    <n v="0"/>
    <n v="0"/>
    <n v="0"/>
    <n v="0"/>
    <n v="0"/>
    <n v="0"/>
    <n v="0"/>
    <n v="0"/>
    <n v="0"/>
    <n v="0"/>
    <n v="0"/>
    <n v="0"/>
    <n v="0"/>
    <n v="0"/>
    <n v="0"/>
    <n v="0"/>
    <n v="0"/>
    <s v="MMR001CMP080"/>
    <x v="0"/>
    <x v="0"/>
    <s v="P4"/>
    <n v="1.9483207910182411E-4"/>
    <s v="No"/>
  </r>
  <r>
    <n v="57.6"/>
    <d v="2012-08-07T00:00:00"/>
    <x v="0"/>
    <s v="UNHCR "/>
    <s v="Kachin"/>
    <s v="Mansi"/>
    <s v="Mansi Baptist Church"/>
    <m/>
    <m/>
    <m/>
    <n v="0"/>
    <n v="73"/>
    <n v="0"/>
    <n v="73"/>
    <n v="73"/>
    <n v="73"/>
    <n v="73"/>
    <m/>
    <m/>
    <m/>
    <m/>
    <m/>
    <m/>
    <m/>
    <n v="0"/>
    <n v="0"/>
    <n v="0"/>
    <n v="0"/>
    <n v="0"/>
    <n v="0"/>
    <n v="0"/>
    <n v="0"/>
    <n v="0"/>
    <n v="0"/>
    <n v="0"/>
    <n v="0"/>
    <n v="0"/>
    <n v="0"/>
    <n v="0"/>
    <n v="0"/>
    <n v="0"/>
    <n v="0"/>
    <s v="MMR001CMP066"/>
    <x v="0"/>
    <x v="0"/>
    <s v="P4"/>
    <n v="1.7556939801342023E-3"/>
    <s v="No"/>
  </r>
  <r>
    <n v="57.533333333333331"/>
    <d v="2012-08-09T00:00:00"/>
    <x v="0"/>
    <s v="UNHCR"/>
    <s v="Kachin"/>
    <s v="Myitkyina"/>
    <s v="Jan Mai Kawng Baptist Church"/>
    <m/>
    <m/>
    <m/>
    <n v="7"/>
    <n v="3"/>
    <n v="7"/>
    <n v="3"/>
    <n v="3"/>
    <n v="3"/>
    <n v="3"/>
    <m/>
    <m/>
    <m/>
    <m/>
    <m/>
    <m/>
    <m/>
    <n v="0"/>
    <n v="0"/>
    <n v="0"/>
    <n v="0"/>
    <n v="0"/>
    <n v="0"/>
    <n v="0"/>
    <n v="0"/>
    <n v="0"/>
    <n v="0"/>
    <n v="0"/>
    <n v="0"/>
    <n v="0"/>
    <n v="0"/>
    <n v="0"/>
    <n v="0"/>
    <n v="0"/>
    <n v="0"/>
    <s v="MMR001CMP018"/>
    <x v="0"/>
    <x v="0"/>
    <s v="P4"/>
    <n v="7.3664825046040511E-5"/>
    <s v="No"/>
  </r>
  <r>
    <n v="57.533333333333331"/>
    <d v="2012-08-09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7.533333333333331"/>
    <d v="2012-08-09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7.533333333333331"/>
    <d v="2012-08-09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7.533333333333331"/>
    <d v="2012-08-09T00:00:00"/>
    <x v="0"/>
    <s v="UNHCR"/>
    <s v="Kachin"/>
    <s v="Myitkyina"/>
    <s v="Nan Kway St. John Catholic Church"/>
    <m/>
    <m/>
    <m/>
    <n v="42"/>
    <n v="20"/>
    <n v="42"/>
    <n v="20"/>
    <n v="20"/>
    <n v="20"/>
    <n v="20"/>
    <m/>
    <m/>
    <m/>
    <m/>
    <m/>
    <m/>
    <m/>
    <n v="0"/>
    <n v="0"/>
    <n v="0"/>
    <n v="0"/>
    <n v="0"/>
    <n v="0"/>
    <n v="0"/>
    <n v="0"/>
    <n v="0"/>
    <n v="0"/>
    <n v="0"/>
    <n v="0"/>
    <n v="0"/>
    <n v="0"/>
    <n v="0"/>
    <n v="0"/>
    <n v="0"/>
    <n v="0"/>
    <s v="MMR001CMP024"/>
    <x v="0"/>
    <x v="0"/>
    <s v="P4"/>
    <n v="4.8888997531105626E-4"/>
    <s v="No"/>
  </r>
  <r>
    <n v="57.533333333333331"/>
    <d v="2012-08-09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7.4"/>
    <d v="2012-08-13T00:00:00"/>
    <x v="0"/>
    <s v="UNHCR "/>
    <s v="Kachin"/>
    <s v="Bhamo"/>
    <s v="Robert Church"/>
    <m/>
    <m/>
    <m/>
    <n v="310"/>
    <n v="151"/>
    <n v="310"/>
    <n v="151"/>
    <n v="151"/>
    <n v="151"/>
    <n v="151"/>
    <m/>
    <m/>
    <m/>
    <m/>
    <m/>
    <m/>
    <m/>
    <n v="0"/>
    <n v="0"/>
    <n v="0"/>
    <n v="0"/>
    <n v="0"/>
    <n v="0"/>
    <n v="0"/>
    <n v="0"/>
    <n v="0"/>
    <n v="0"/>
    <n v="0"/>
    <n v="0"/>
    <n v="0"/>
    <n v="0"/>
    <n v="0"/>
    <n v="0"/>
    <n v="0"/>
    <n v="0"/>
    <s v="MMR001CMP047"/>
    <x v="0"/>
    <x v="0"/>
    <s v="P4"/>
    <n v="3.7077961939840391E-3"/>
    <s v="No"/>
  </r>
  <r>
    <n v="57.333333333333336"/>
    <d v="2012-08-15T00:00:00"/>
    <x v="1"/>
    <s v="Solidarities"/>
    <s v="Kachin"/>
    <s v="Momauk"/>
    <s v="Loi Je Catholic Church"/>
    <n v="73"/>
    <m/>
    <m/>
    <m/>
    <m/>
    <m/>
    <m/>
    <m/>
    <m/>
    <m/>
    <m/>
    <m/>
    <m/>
    <m/>
    <m/>
    <m/>
    <m/>
    <n v="0"/>
    <n v="0"/>
    <n v="0"/>
    <n v="0"/>
    <n v="0"/>
    <n v="0"/>
    <n v="0"/>
    <n v="0"/>
    <n v="0"/>
    <n v="0"/>
    <n v="0"/>
    <n v="0"/>
    <n v="0"/>
    <n v="0"/>
    <n v="0"/>
    <n v="0"/>
    <n v="0"/>
    <n v="0"/>
    <s v="MMR001CMP069"/>
    <x v="0"/>
    <x v="0"/>
    <s v="P3"/>
    <n v="0"/>
    <m/>
  </r>
  <r>
    <n v="56.93333333333333"/>
    <d v="2012-08-27T00:00:00"/>
    <x v="0"/>
    <s v="UNHCR"/>
    <s v="Kachin"/>
    <s v="Myitkyina"/>
    <s v="Jan Mai Kawng Baptist Church"/>
    <m/>
    <m/>
    <m/>
    <n v="7"/>
    <n v="4"/>
    <n v="7"/>
    <n v="3"/>
    <n v="3"/>
    <n v="3"/>
    <n v="3"/>
    <m/>
    <m/>
    <m/>
    <m/>
    <m/>
    <m/>
    <m/>
    <n v="0"/>
    <n v="0"/>
    <n v="0"/>
    <n v="0"/>
    <n v="0"/>
    <n v="0"/>
    <n v="0"/>
    <n v="0"/>
    <n v="0"/>
    <n v="0"/>
    <n v="0"/>
    <n v="0"/>
    <n v="0"/>
    <n v="0"/>
    <n v="0"/>
    <n v="0"/>
    <n v="0"/>
    <n v="0"/>
    <s v="MMR001CMP018"/>
    <x v="0"/>
    <x v="0"/>
    <s v="P4"/>
    <n v="7.3664825046040511E-5"/>
    <s v="No"/>
  </r>
  <r>
    <n v="56.93333333333333"/>
    <d v="2012-08-27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6.93333333333333"/>
    <d v="2012-08-27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6.93333333333333"/>
    <d v="2012-08-27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6.93333333333333"/>
    <d v="2012-08-27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6.866666666666667"/>
    <d v="2012-08-29T00:00:00"/>
    <x v="0"/>
    <s v="UNHCR"/>
    <s v="Kachin"/>
    <s v="Momauk"/>
    <s v="Nyaung Na Pin "/>
    <m/>
    <m/>
    <m/>
    <n v="112"/>
    <n v="41"/>
    <n v="112"/>
    <n v="41"/>
    <n v="41"/>
    <n v="41"/>
    <n v="41"/>
    <m/>
    <m/>
    <m/>
    <m/>
    <m/>
    <m/>
    <m/>
    <n v="0"/>
    <n v="0"/>
    <n v="0"/>
    <n v="0"/>
    <n v="0"/>
    <n v="0"/>
    <n v="0"/>
    <n v="0"/>
    <n v="0"/>
    <n v="0"/>
    <n v="0"/>
    <n v="0"/>
    <n v="0"/>
    <n v="0"/>
    <n v="0"/>
    <n v="0"/>
    <n v="0"/>
    <n v="0"/>
    <s v="MMR001CMP072"/>
    <x v="0"/>
    <x v="0"/>
    <s v="P3"/>
    <n v="9.9703321822868537E-4"/>
    <s v="No"/>
  </r>
  <r>
    <n v="56.633333333333333"/>
    <d v="2012-09-05T00:00:00"/>
    <x v="0"/>
    <s v="UNHCR"/>
    <s v="Kachin"/>
    <s v="Momauk"/>
    <s v="Loi Je Baptist Church"/>
    <m/>
    <m/>
    <m/>
    <n v="40"/>
    <n v="17"/>
    <n v="40"/>
    <n v="17"/>
    <n v="17"/>
    <n v="17"/>
    <n v="17"/>
    <m/>
    <m/>
    <m/>
    <m/>
    <m/>
    <m/>
    <m/>
    <n v="0"/>
    <n v="0"/>
    <n v="0"/>
    <n v="0"/>
    <n v="0"/>
    <n v="0"/>
    <n v="0"/>
    <n v="0"/>
    <n v="0"/>
    <n v="0"/>
    <n v="0"/>
    <n v="0"/>
    <n v="0"/>
    <n v="0"/>
    <n v="0"/>
    <n v="0"/>
    <n v="0"/>
    <n v="0"/>
    <s v="MMR001CMP071"/>
    <x v="0"/>
    <x v="0"/>
    <s v="P3"/>
    <n v="4.1433097733365831E-4"/>
    <s v="No"/>
  </r>
  <r>
    <n v="56.633333333333333"/>
    <d v="2012-09-05T00:00:00"/>
    <x v="0"/>
    <s v="UNHCR"/>
    <s v="Kachin"/>
    <s v="Momauk"/>
    <s v="Loi Je Catholic Church"/>
    <m/>
    <m/>
    <m/>
    <n v="21"/>
    <n v="10"/>
    <n v="21"/>
    <n v="10"/>
    <n v="10"/>
    <n v="10"/>
    <n v="10"/>
    <m/>
    <m/>
    <m/>
    <m/>
    <m/>
    <m/>
    <m/>
    <n v="0"/>
    <n v="0"/>
    <n v="0"/>
    <n v="0"/>
    <n v="0"/>
    <n v="0"/>
    <n v="0"/>
    <n v="0"/>
    <n v="0"/>
    <n v="0"/>
    <n v="0"/>
    <n v="0"/>
    <n v="0"/>
    <n v="0"/>
    <n v="0"/>
    <n v="0"/>
    <n v="0"/>
    <n v="0"/>
    <s v="MMR001CMP069"/>
    <x v="0"/>
    <x v="0"/>
    <s v="P3"/>
    <n v="2.4481002741872309E-4"/>
    <s v="No"/>
  </r>
  <r>
    <n v="56.633333333333333"/>
    <d v="2012-09-05T00:00:00"/>
    <x v="0"/>
    <s v="UNHCR"/>
    <s v="Kachin"/>
    <s v="Momauk"/>
    <s v="Loi Je Lisu Camp"/>
    <m/>
    <m/>
    <m/>
    <n v="133"/>
    <n v="62"/>
    <n v="133"/>
    <n v="62"/>
    <n v="62"/>
    <n v="62"/>
    <n v="62"/>
    <m/>
    <m/>
    <m/>
    <m/>
    <m/>
    <m/>
    <m/>
    <n v="0"/>
    <n v="0"/>
    <n v="0"/>
    <n v="0"/>
    <n v="0"/>
    <n v="0"/>
    <n v="0"/>
    <n v="0"/>
    <n v="0"/>
    <n v="0"/>
    <n v="0"/>
    <n v="0"/>
    <n v="0"/>
    <n v="0"/>
    <n v="0"/>
    <n v="0"/>
    <n v="0"/>
    <n v="0"/>
    <s v="MMR001CMP070"/>
    <x v="0"/>
    <x v="0"/>
    <s v="P3"/>
    <n v="1.5121951219512196E-3"/>
    <s v="No"/>
  </r>
  <r>
    <n v="56.633333333333333"/>
    <d v="2012-09-05T00:00:00"/>
    <x v="0"/>
    <s v="UNHCR"/>
    <s v="Kachin"/>
    <s v="Momauk"/>
    <s v="Seng Ja "/>
    <m/>
    <m/>
    <m/>
    <n v="26"/>
    <n v="11"/>
    <n v="26"/>
    <n v="11"/>
    <n v="11"/>
    <n v="11"/>
    <n v="11"/>
    <m/>
    <m/>
    <m/>
    <m/>
    <m/>
    <m/>
    <m/>
    <n v="0"/>
    <n v="0"/>
    <n v="0"/>
    <n v="0"/>
    <n v="0"/>
    <n v="0"/>
    <n v="0"/>
    <n v="0"/>
    <n v="0"/>
    <n v="0"/>
    <n v="0"/>
    <n v="0"/>
    <n v="0"/>
    <n v="0"/>
    <n v="0"/>
    <n v="0"/>
    <n v="0"/>
    <n v="0"/>
    <s v="MMR001CMP073"/>
    <x v="0"/>
    <x v="0"/>
    <s v="P3"/>
    <n v="2.6749671708574483E-4"/>
    <s v="No"/>
  </r>
  <r>
    <n v="56.466666666666669"/>
    <d v="2012-09-10T00:00:00"/>
    <x v="0"/>
    <s v="UNHCR"/>
    <s v="Kachin"/>
    <s v="Myitkyina"/>
    <s v="Myay Myint Baptist Church"/>
    <m/>
    <m/>
    <m/>
    <n v="10"/>
    <n v="6"/>
    <n v="10"/>
    <n v="6"/>
    <n v="6"/>
    <n v="6"/>
    <n v="6"/>
    <m/>
    <m/>
    <m/>
    <m/>
    <m/>
    <m/>
    <m/>
    <n v="0"/>
    <n v="0"/>
    <n v="0"/>
    <n v="0"/>
    <n v="0"/>
    <n v="0"/>
    <n v="0"/>
    <n v="0"/>
    <n v="0"/>
    <n v="0"/>
    <n v="0"/>
    <n v="0"/>
    <n v="0"/>
    <n v="0"/>
    <n v="0"/>
    <n v="0"/>
    <n v="0"/>
    <n v="0"/>
    <s v="MMR001CMP017"/>
    <x v="0"/>
    <x v="1"/>
    <s v="P4"/>
    <n v="1.4699757454002008E-4"/>
    <s v="No"/>
  </r>
  <r>
    <n v="56.333333333333336"/>
    <d v="2012-09-14T00:00:00"/>
    <x v="0"/>
    <s v="UNHCR"/>
    <s v="Kachin"/>
    <s v="Waingmaw"/>
    <s v="Maina Catholic Church (St. Joseph)"/>
    <m/>
    <m/>
    <m/>
    <n v="94"/>
    <n v="48"/>
    <n v="94"/>
    <n v="48"/>
    <n v="48"/>
    <n v="48"/>
    <n v="48"/>
    <m/>
    <m/>
    <m/>
    <m/>
    <m/>
    <m/>
    <m/>
    <n v="0"/>
    <n v="0"/>
    <n v="0"/>
    <n v="0"/>
    <n v="0"/>
    <n v="0"/>
    <n v="0"/>
    <n v="0"/>
    <n v="0"/>
    <n v="0"/>
    <n v="0"/>
    <n v="0"/>
    <n v="0"/>
    <n v="0"/>
    <n v="0"/>
    <n v="0"/>
    <n v="0"/>
    <n v="0"/>
    <s v="MMR001CMP029"/>
    <x v="0"/>
    <x v="0"/>
    <s v="P4"/>
    <n v="1.1586926085067348E-3"/>
    <s v="No"/>
  </r>
  <r>
    <n v="56.333333333333336"/>
    <d v="2012-09-14T00:00:00"/>
    <x v="0"/>
    <s v="UNHCR"/>
    <s v="Kachin"/>
    <s v="Waingmaw"/>
    <s v="Waingmaw AG Church"/>
    <m/>
    <m/>
    <m/>
    <n v="14"/>
    <n v="8"/>
    <n v="14"/>
    <n v="8"/>
    <n v="8"/>
    <n v="8"/>
    <n v="8"/>
    <m/>
    <m/>
    <m/>
    <m/>
    <m/>
    <m/>
    <m/>
    <n v="0"/>
    <n v="0"/>
    <n v="0"/>
    <n v="0"/>
    <n v="0"/>
    <n v="0"/>
    <n v="0"/>
    <n v="0"/>
    <n v="0"/>
    <n v="0"/>
    <n v="0"/>
    <n v="0"/>
    <n v="0"/>
    <n v="0"/>
    <n v="0"/>
    <n v="0"/>
    <n v="0"/>
    <n v="0"/>
    <s v="MMR001CMP038"/>
    <x v="0"/>
    <x v="0"/>
    <s v="P4"/>
    <n v="1.9584802193497845E-4"/>
    <s v="No"/>
  </r>
  <r>
    <n v="56.233333333333334"/>
    <d v="2012-09-17T00:00:00"/>
    <x v="0"/>
    <s v="UNHCR"/>
    <s v="Kachin"/>
    <s v="Momauk"/>
    <s v="Man Bung Catholic compound"/>
    <m/>
    <m/>
    <m/>
    <n v="86"/>
    <n v="43"/>
    <n v="86"/>
    <n v="43"/>
    <n v="43"/>
    <n v="43"/>
    <n v="43"/>
    <m/>
    <m/>
    <m/>
    <m/>
    <m/>
    <m/>
    <m/>
    <n v="0"/>
    <n v="0"/>
    <n v="0"/>
    <n v="0"/>
    <n v="0"/>
    <n v="0"/>
    <n v="0"/>
    <n v="0"/>
    <n v="0"/>
    <n v="0"/>
    <n v="0"/>
    <n v="0"/>
    <n v="0"/>
    <n v="0"/>
    <n v="0"/>
    <n v="0"/>
    <n v="0"/>
    <n v="0"/>
    <s v="MMR001CMP062"/>
    <x v="0"/>
    <x v="0"/>
    <s v="P4"/>
    <n v="1.0480136485498416E-3"/>
    <s v="No"/>
  </r>
  <r>
    <n v="56.233333333333334"/>
    <d v="2012-09-17T00:00:00"/>
    <x v="0"/>
    <s v="UNHCR"/>
    <s v="Kachin"/>
    <s v="Momauk"/>
    <s v="Momauk Catholic Church (St. Patrick)"/>
    <m/>
    <m/>
    <m/>
    <n v="86"/>
    <n v="43"/>
    <n v="86"/>
    <n v="43"/>
    <n v="43"/>
    <n v="43"/>
    <n v="43"/>
    <m/>
    <m/>
    <m/>
    <m/>
    <m/>
    <m/>
    <m/>
    <n v="0"/>
    <n v="0"/>
    <n v="0"/>
    <n v="0"/>
    <n v="0"/>
    <n v="0"/>
    <n v="0"/>
    <n v="0"/>
    <n v="0"/>
    <n v="0"/>
    <n v="0"/>
    <n v="0"/>
    <n v="0"/>
    <n v="0"/>
    <n v="0"/>
    <n v="0"/>
    <n v="0"/>
    <n v="0"/>
    <s v="MMR001CMP057"/>
    <x v="0"/>
    <x v="1"/>
    <s v="P4"/>
    <n v="1.0550593777603299E-3"/>
    <s v="No"/>
  </r>
  <r>
    <n v="56.2"/>
    <d v="2012-09-18T00:00:00"/>
    <x v="1"/>
    <s v="LDO"/>
    <s v="Kachin"/>
    <s v="Shwegu"/>
    <s v="Shwe Gu Baptist Church"/>
    <n v="98"/>
    <m/>
    <m/>
    <m/>
    <m/>
    <m/>
    <m/>
    <m/>
    <m/>
    <m/>
    <m/>
    <m/>
    <m/>
    <m/>
    <m/>
    <m/>
    <m/>
    <n v="0"/>
    <n v="0"/>
    <n v="0"/>
    <n v="0"/>
    <n v="0"/>
    <n v="0"/>
    <n v="0"/>
    <n v="0"/>
    <n v="0"/>
    <n v="0"/>
    <n v="0"/>
    <n v="0"/>
    <n v="0"/>
    <n v="0"/>
    <n v="0"/>
    <n v="0"/>
    <n v="0"/>
    <n v="0"/>
    <s v="MMR001CMP067"/>
    <x v="0"/>
    <x v="0"/>
    <s v="P4"/>
    <n v="0"/>
    <m/>
  </r>
  <r>
    <n v="56.2"/>
    <d v="2012-09-18T00:00:00"/>
    <x v="1"/>
    <s v="LDO"/>
    <s v="Kachin"/>
    <s v="Shwegu"/>
    <s v="Shwe Gu Catholic Church"/>
    <n v="59"/>
    <m/>
    <m/>
    <m/>
    <m/>
    <m/>
    <m/>
    <m/>
    <m/>
    <m/>
    <m/>
    <m/>
    <m/>
    <m/>
    <m/>
    <m/>
    <m/>
    <n v="0"/>
    <n v="0"/>
    <n v="0"/>
    <n v="0"/>
    <n v="0"/>
    <n v="0"/>
    <n v="0"/>
    <n v="0"/>
    <n v="0"/>
    <n v="0"/>
    <n v="0"/>
    <n v="0"/>
    <n v="0"/>
    <n v="0"/>
    <n v="0"/>
    <n v="0"/>
    <n v="0"/>
    <n v="0"/>
    <s v="MMR001CMP068"/>
    <x v="0"/>
    <x v="0"/>
    <s v="P4"/>
    <n v="0"/>
    <m/>
  </r>
  <r>
    <n v="56.2"/>
    <d v="2012-09-18T00:00:00"/>
    <x v="1"/>
    <s v="LDO"/>
    <s v="Kachin"/>
    <s v="Shwegu"/>
    <s v="Lot Aung"/>
    <n v="45"/>
    <m/>
    <m/>
    <m/>
    <m/>
    <m/>
    <m/>
    <m/>
    <m/>
    <m/>
    <m/>
    <m/>
    <m/>
    <m/>
    <m/>
    <m/>
    <m/>
    <n v="0"/>
    <n v="0"/>
    <n v="0"/>
    <n v="0"/>
    <n v="0"/>
    <n v="0"/>
    <n v="0"/>
    <n v="0"/>
    <n v="0"/>
    <n v="0"/>
    <n v="0"/>
    <n v="0"/>
    <n v="0"/>
    <n v="0"/>
    <n v="0"/>
    <n v="0"/>
    <n v="0"/>
    <n v="0"/>
    <s v=""/>
    <x v="1"/>
    <x v="2"/>
    <s v=""/>
    <s v=""/>
    <m/>
  </r>
  <r>
    <n v="56.2"/>
    <d v="2012-09-18T00:00:00"/>
    <x v="1"/>
    <s v="LDO"/>
    <s v="Kachin"/>
    <s v="Shwegu"/>
    <s v="Pan Dang"/>
    <n v="22"/>
    <m/>
    <m/>
    <m/>
    <m/>
    <m/>
    <m/>
    <m/>
    <m/>
    <m/>
    <m/>
    <m/>
    <m/>
    <m/>
    <m/>
    <m/>
    <m/>
    <n v="0"/>
    <n v="0"/>
    <n v="0"/>
    <n v="0"/>
    <n v="0"/>
    <n v="0"/>
    <n v="0"/>
    <n v="0"/>
    <n v="0"/>
    <n v="0"/>
    <n v="0"/>
    <n v="0"/>
    <n v="0"/>
    <n v="0"/>
    <n v="0"/>
    <n v="0"/>
    <n v="0"/>
    <n v="0"/>
    <s v=""/>
    <x v="1"/>
    <x v="2"/>
    <s v=""/>
    <s v=""/>
    <m/>
  </r>
  <r>
    <n v="56.2"/>
    <d v="2012-09-18T00:00:00"/>
    <x v="1"/>
    <s v="LDO"/>
    <s v="Kachin"/>
    <s v="Shwegu"/>
    <s v="Pan Hkawn"/>
    <n v="130"/>
    <m/>
    <m/>
    <m/>
    <m/>
    <m/>
    <m/>
    <m/>
    <m/>
    <m/>
    <m/>
    <m/>
    <m/>
    <m/>
    <m/>
    <m/>
    <m/>
    <n v="0"/>
    <n v="0"/>
    <n v="0"/>
    <n v="0"/>
    <n v="0"/>
    <n v="0"/>
    <n v="0"/>
    <n v="0"/>
    <n v="0"/>
    <n v="0"/>
    <n v="0"/>
    <n v="0"/>
    <n v="0"/>
    <n v="0"/>
    <n v="0"/>
    <n v="0"/>
    <n v="0"/>
    <n v="0"/>
    <s v=""/>
    <x v="1"/>
    <x v="2"/>
    <s v=""/>
    <s v=""/>
    <m/>
  </r>
  <r>
    <n v="56.133333333333333"/>
    <d v="2012-09-20T00:00:00"/>
    <x v="1"/>
    <s v="LDO"/>
    <s v="Kachin"/>
    <s v="Shwegu"/>
    <s v="Kapaung"/>
    <n v="92"/>
    <m/>
    <m/>
    <m/>
    <m/>
    <m/>
    <m/>
    <m/>
    <m/>
    <m/>
    <m/>
    <m/>
    <m/>
    <m/>
    <m/>
    <m/>
    <m/>
    <n v="0"/>
    <n v="0"/>
    <n v="0"/>
    <n v="0"/>
    <n v="0"/>
    <n v="0"/>
    <n v="0"/>
    <n v="0"/>
    <n v="0"/>
    <n v="0"/>
    <n v="0"/>
    <n v="0"/>
    <n v="0"/>
    <n v="0"/>
    <n v="0"/>
    <n v="0"/>
    <n v="0"/>
    <n v="0"/>
    <s v=""/>
    <x v="1"/>
    <x v="2"/>
    <s v=""/>
    <s v=""/>
    <m/>
  </r>
  <r>
    <n v="55.966666666666669"/>
    <d v="2012-09-25T00:00:00"/>
    <x v="0"/>
    <s v="Chipwe CM"/>
    <s v="Kachin"/>
    <s v="Chipwi"/>
    <s v="Chipwi KBC camp"/>
    <m/>
    <m/>
    <m/>
    <n v="33"/>
    <n v="11"/>
    <n v="33"/>
    <n v="11"/>
    <n v="11"/>
    <n v="11"/>
    <n v="11"/>
    <m/>
    <m/>
    <m/>
    <m/>
    <m/>
    <m/>
    <m/>
    <n v="0"/>
    <n v="0"/>
    <n v="0"/>
    <n v="0"/>
    <n v="0"/>
    <n v="0"/>
    <n v="0"/>
    <n v="0"/>
    <n v="0"/>
    <n v="0"/>
    <n v="0"/>
    <n v="0"/>
    <n v="0"/>
    <n v="0"/>
    <n v="0"/>
    <n v="0"/>
    <n v="0"/>
    <n v="0"/>
    <s v="MMR001CMP042"/>
    <x v="0"/>
    <x v="0"/>
    <s v="P1"/>
    <n v="2.667054601881486E-4"/>
    <s v="No"/>
  </r>
  <r>
    <n v="55.93333333333333"/>
    <d v="2012-09-26T00:00:00"/>
    <x v="0"/>
    <s v="Chipwe CM"/>
    <s v="Kachin"/>
    <s v="Chipwi"/>
    <s v="Gant Gwin"/>
    <m/>
    <m/>
    <m/>
    <n v="33"/>
    <n v="11"/>
    <n v="33"/>
    <n v="11"/>
    <n v="11"/>
    <n v="11"/>
    <n v="11"/>
    <m/>
    <m/>
    <m/>
    <m/>
    <m/>
    <m/>
    <m/>
    <n v="0"/>
    <n v="0"/>
    <n v="0"/>
    <n v="0"/>
    <n v="0"/>
    <n v="0"/>
    <n v="0"/>
    <n v="0"/>
    <n v="0"/>
    <n v="0"/>
    <n v="0"/>
    <n v="0"/>
    <n v="0"/>
    <n v="0"/>
    <n v="0"/>
    <n v="0"/>
    <n v="0"/>
    <n v="0"/>
    <s v="MMR001CMP046"/>
    <x v="0"/>
    <x v="1"/>
    <s v="P1"/>
    <s v=""/>
    <s v="No"/>
  </r>
  <r>
    <n v="55.9"/>
    <d v="2012-09-27T00:00:00"/>
    <x v="0"/>
    <s v="Chipwe CM"/>
    <s v="Kachin"/>
    <s v="Chipwi"/>
    <s v="Hpare Hkyer - BP6"/>
    <m/>
    <m/>
    <m/>
    <n v="33"/>
    <n v="11"/>
    <n v="33"/>
    <n v="11"/>
    <n v="11"/>
    <n v="11"/>
    <n v="11"/>
    <m/>
    <m/>
    <m/>
    <m/>
    <m/>
    <m/>
    <m/>
    <n v="0"/>
    <n v="0"/>
    <n v="0"/>
    <n v="0"/>
    <n v="0"/>
    <n v="0"/>
    <n v="0"/>
    <n v="0"/>
    <n v="0"/>
    <n v="0"/>
    <n v="0"/>
    <n v="0"/>
    <n v="0"/>
    <n v="0"/>
    <n v="0"/>
    <n v="0"/>
    <n v="0"/>
    <n v="0"/>
    <s v="MMR001CMP043"/>
    <x v="0"/>
    <x v="0"/>
    <s v="P1"/>
    <n v="2.6809651474530834E-4"/>
    <s v="No"/>
  </r>
  <r>
    <n v="55.866666666666667"/>
    <d v="2012-09-28T00:00:00"/>
    <x v="0"/>
    <s v="Chipwe CM"/>
    <s v="Kachin"/>
    <s v="Chipwi"/>
    <s v="Lan Jaw "/>
    <m/>
    <m/>
    <m/>
    <n v="33"/>
    <n v="11"/>
    <n v="33"/>
    <n v="11"/>
    <n v="11"/>
    <n v="11"/>
    <n v="11"/>
    <m/>
    <m/>
    <m/>
    <m/>
    <m/>
    <m/>
    <m/>
    <n v="0"/>
    <n v="0"/>
    <n v="0"/>
    <n v="0"/>
    <n v="0"/>
    <n v="0"/>
    <n v="0"/>
    <n v="0"/>
    <n v="0"/>
    <n v="0"/>
    <n v="0"/>
    <n v="0"/>
    <n v="0"/>
    <n v="0"/>
    <n v="0"/>
    <n v="0"/>
    <n v="0"/>
    <n v="0"/>
    <s v="MMR001CMP045"/>
    <x v="0"/>
    <x v="0"/>
    <s v="P1"/>
    <s v=""/>
    <s v="No"/>
  </r>
  <r>
    <n v="55.833333333333336"/>
    <d v="2012-09-29T00:00:00"/>
    <x v="0"/>
    <s v="Chipwe CM"/>
    <s v="Kachin"/>
    <s v="Chipwi"/>
    <s v="Lhaovao Baptist Church (LBC)"/>
    <m/>
    <m/>
    <m/>
    <n v="34"/>
    <n v="12"/>
    <n v="34"/>
    <n v="12"/>
    <n v="12"/>
    <n v="12"/>
    <n v="12"/>
    <m/>
    <m/>
    <m/>
    <m/>
    <m/>
    <m/>
    <m/>
    <n v="0"/>
    <n v="0"/>
    <n v="0"/>
    <n v="0"/>
    <n v="0"/>
    <n v="0"/>
    <n v="0"/>
    <n v="0"/>
    <n v="0"/>
    <n v="0"/>
    <n v="0"/>
    <n v="0"/>
    <n v="0"/>
    <n v="0"/>
    <n v="0"/>
    <n v="0"/>
    <n v="0"/>
    <n v="0"/>
    <s v="MMR001CMP195"/>
    <x v="0"/>
    <x v="0"/>
    <s v="P1"/>
    <n v="2.9311187103077673E-4"/>
    <s v="No"/>
  </r>
  <r>
    <n v="55.833333333333336"/>
    <d v="2012-09-29T00:00:00"/>
    <x v="0"/>
    <s v="UNHCR"/>
    <s v="Kachin"/>
    <s v="Momauk"/>
    <s v="Loi Je Lisu Camp"/>
    <m/>
    <m/>
    <m/>
    <n v="151"/>
    <n v="59"/>
    <n v="151"/>
    <n v="59"/>
    <n v="59"/>
    <n v="59"/>
    <n v="59"/>
    <m/>
    <m/>
    <m/>
    <m/>
    <m/>
    <m/>
    <m/>
    <n v="0"/>
    <n v="0"/>
    <n v="0"/>
    <n v="0"/>
    <n v="0"/>
    <n v="0"/>
    <n v="0"/>
    <n v="0"/>
    <n v="0"/>
    <n v="0"/>
    <n v="0"/>
    <n v="0"/>
    <n v="0"/>
    <n v="0"/>
    <n v="0"/>
    <n v="0"/>
    <n v="0"/>
    <n v="0"/>
    <s v="MMR001CMP070"/>
    <x v="0"/>
    <x v="0"/>
    <s v="P3"/>
    <n v="1.4390243902439024E-3"/>
    <s v="No"/>
  </r>
  <r>
    <n v="55.8"/>
    <d v="2012-09-30T00:00:00"/>
    <x v="0"/>
    <s v="Chipwe CM"/>
    <s v="Kachin"/>
    <s v="Chipwi"/>
    <s v="Women's Affairs Association Building"/>
    <m/>
    <m/>
    <m/>
    <n v="34"/>
    <n v="12"/>
    <n v="34"/>
    <n v="12"/>
    <n v="12"/>
    <n v="12"/>
    <n v="12"/>
    <m/>
    <m/>
    <m/>
    <m/>
    <m/>
    <m/>
    <m/>
    <n v="0"/>
    <n v="0"/>
    <n v="0"/>
    <n v="0"/>
    <n v="0"/>
    <n v="0"/>
    <n v="0"/>
    <n v="0"/>
    <n v="0"/>
    <n v="0"/>
    <n v="0"/>
    <n v="0"/>
    <n v="0"/>
    <n v="0"/>
    <n v="0"/>
    <n v="0"/>
    <n v="0"/>
    <n v="0"/>
    <s v="MMR001CMP044"/>
    <x v="0"/>
    <x v="1"/>
    <s v=""/>
    <s v=""/>
    <s v="No"/>
  </r>
  <r>
    <n v="55.43333333333333"/>
    <d v="2012-10-11T00:00:00"/>
    <x v="0"/>
    <s v="UNHCR"/>
    <s v="Kachin"/>
    <s v="Momauk"/>
    <s v="Seng Ja "/>
    <m/>
    <m/>
    <m/>
    <n v="28"/>
    <n v="17"/>
    <n v="28"/>
    <n v="17"/>
    <n v="17"/>
    <n v="17"/>
    <n v="17"/>
    <m/>
    <m/>
    <m/>
    <m/>
    <m/>
    <m/>
    <m/>
    <n v="0"/>
    <n v="0"/>
    <n v="0"/>
    <n v="0"/>
    <n v="0"/>
    <n v="0"/>
    <n v="0"/>
    <n v="0"/>
    <n v="0"/>
    <n v="0"/>
    <n v="0"/>
    <n v="0"/>
    <n v="0"/>
    <n v="0"/>
    <n v="0"/>
    <n v="0"/>
    <n v="0"/>
    <n v="0"/>
    <s v="MMR001CMP073"/>
    <x v="0"/>
    <x v="0"/>
    <s v="P3"/>
    <n v="4.1340401731433294E-4"/>
    <s v="No"/>
  </r>
  <r>
    <n v="55.3"/>
    <d v="2012-10-15T00:00:00"/>
    <x v="1"/>
    <s v="LDO"/>
    <s v="Kachin"/>
    <s v="Shwegu"/>
    <s v="Thai Ra Yan"/>
    <n v="38"/>
    <m/>
    <m/>
    <m/>
    <m/>
    <m/>
    <m/>
    <m/>
    <m/>
    <m/>
    <m/>
    <m/>
    <m/>
    <m/>
    <m/>
    <m/>
    <m/>
    <n v="0"/>
    <n v="0"/>
    <n v="0"/>
    <n v="0"/>
    <n v="0"/>
    <n v="0"/>
    <n v="0"/>
    <n v="0"/>
    <n v="0"/>
    <n v="0"/>
    <n v="0"/>
    <n v="0"/>
    <n v="0"/>
    <n v="0"/>
    <n v="0"/>
    <n v="0"/>
    <n v="0"/>
    <n v="0"/>
    <s v=""/>
    <x v="1"/>
    <x v="2"/>
    <s v=""/>
    <s v=""/>
    <m/>
  </r>
  <r>
    <n v="55.166666666666664"/>
    <d v="2012-10-19T00:00:00"/>
    <x v="1"/>
    <s v="Solidarities"/>
    <s v="Kachin"/>
    <s v="Bhamo"/>
    <s v="Ta Gun Taing Monastery (Shwe Kyi Na)"/>
    <n v="47"/>
    <m/>
    <m/>
    <m/>
    <m/>
    <m/>
    <m/>
    <m/>
    <m/>
    <m/>
    <m/>
    <m/>
    <m/>
    <m/>
    <m/>
    <m/>
    <m/>
    <n v="0"/>
    <n v="0"/>
    <n v="0"/>
    <n v="0"/>
    <n v="0"/>
    <n v="0"/>
    <n v="0"/>
    <n v="0"/>
    <n v="0"/>
    <n v="0"/>
    <n v="0"/>
    <n v="0"/>
    <n v="0"/>
    <n v="0"/>
    <n v="0"/>
    <n v="0"/>
    <n v="0"/>
    <n v="0"/>
    <s v="MMR001CMP055"/>
    <x v="0"/>
    <x v="0"/>
    <s v="P4"/>
    <n v="0"/>
    <m/>
  </r>
  <r>
    <n v="54.966666666666669"/>
    <d v="2012-10-25T00:00:00"/>
    <x v="1"/>
    <s v="Solidarities"/>
    <s v="Kachin"/>
    <s v="Momauk"/>
    <s v="Khun Sint Village"/>
    <n v="23"/>
    <m/>
    <m/>
    <m/>
    <m/>
    <m/>
    <m/>
    <m/>
    <m/>
    <m/>
    <m/>
    <m/>
    <m/>
    <m/>
    <m/>
    <m/>
    <m/>
    <n v="0"/>
    <n v="0"/>
    <n v="0"/>
    <n v="0"/>
    <n v="0"/>
    <n v="0"/>
    <n v="0"/>
    <n v="0"/>
    <n v="0"/>
    <n v="0"/>
    <n v="0"/>
    <n v="0"/>
    <n v="0"/>
    <n v="0"/>
    <n v="0"/>
    <n v="0"/>
    <n v="0"/>
    <n v="0"/>
    <s v="MMR001CMP200"/>
    <x v="0"/>
    <x v="0"/>
    <s v="P4"/>
    <s v=""/>
    <m/>
  </r>
  <r>
    <n v="54.6"/>
    <d v="2012-11-05T00:00:00"/>
    <x v="0"/>
    <s v="UNHCR"/>
    <s v="Kachin"/>
    <s v="Hpakant"/>
    <s v="Hlaing Naung Baptist"/>
    <m/>
    <m/>
    <m/>
    <n v="70"/>
    <n v="40"/>
    <n v="70"/>
    <n v="40"/>
    <n v="40"/>
    <n v="40"/>
    <n v="40"/>
    <m/>
    <m/>
    <m/>
    <m/>
    <m/>
    <m/>
    <m/>
    <n v="0"/>
    <n v="0"/>
    <n v="0"/>
    <n v="0"/>
    <n v="0"/>
    <n v="0"/>
    <n v="0"/>
    <n v="0"/>
    <n v="0"/>
    <n v="0"/>
    <n v="0"/>
    <n v="0"/>
    <n v="0"/>
    <n v="0"/>
    <n v="0"/>
    <n v="0"/>
    <n v="0"/>
    <n v="0"/>
    <s v="MMR001CMP148"/>
    <x v="0"/>
    <x v="0"/>
    <s v="P4"/>
    <n v="9.7127455503484453E-4"/>
    <s v="No"/>
  </r>
  <r>
    <n v="54.43333333333333"/>
    <d v="2012-11-10T00:00:00"/>
    <x v="0"/>
    <s v="UNHCR"/>
    <s v="Kachin"/>
    <s v="Hpakant"/>
    <s v="Hlaing Naung Baptist"/>
    <m/>
    <m/>
    <m/>
    <n v="12"/>
    <n v="0"/>
    <n v="12"/>
    <n v="0"/>
    <n v="0"/>
    <m/>
    <m/>
    <m/>
    <m/>
    <m/>
    <m/>
    <m/>
    <m/>
    <m/>
    <n v="0"/>
    <n v="0"/>
    <n v="0"/>
    <n v="0"/>
    <n v="0"/>
    <n v="0"/>
    <n v="0"/>
    <n v="0"/>
    <n v="0"/>
    <n v="0"/>
    <n v="0"/>
    <n v="0"/>
    <n v="0"/>
    <n v="0"/>
    <n v="0"/>
    <n v="0"/>
    <n v="0"/>
    <n v="0"/>
    <s v="MMR001CMP148"/>
    <x v="0"/>
    <x v="0"/>
    <s v="P4"/>
    <n v="0"/>
    <s v="No"/>
  </r>
  <r>
    <n v="54.366666666666667"/>
    <d v="2012-11-12T00:00:00"/>
    <x v="0"/>
    <s v="UNHCR"/>
    <s v="Kachin"/>
    <s v="Waingmaw"/>
    <s v="Qtr. 2 Lhaovo Baptist Church"/>
    <m/>
    <m/>
    <m/>
    <n v="12"/>
    <n v="12"/>
    <n v="12"/>
    <n v="5"/>
    <n v="5"/>
    <n v="5"/>
    <n v="5"/>
    <m/>
    <m/>
    <m/>
    <m/>
    <m/>
    <m/>
    <m/>
    <n v="0"/>
    <n v="0"/>
    <n v="0"/>
    <n v="0"/>
    <n v="0"/>
    <n v="0"/>
    <n v="0"/>
    <n v="0"/>
    <n v="0"/>
    <n v="0"/>
    <n v="0"/>
    <n v="0"/>
    <n v="0"/>
    <n v="0"/>
    <n v="0"/>
    <n v="0"/>
    <n v="0"/>
    <n v="0"/>
    <s v="MMR001CMP032"/>
    <x v="0"/>
    <x v="0"/>
    <s v="P4"/>
    <n v="1.2277470841006753E-4"/>
    <s v="No"/>
  </r>
  <r>
    <n v="53.5"/>
    <d v="2012-12-08T00:00:00"/>
    <x v="1"/>
    <s v="KBC"/>
    <s v="Kachin"/>
    <s v="Waingmaw"/>
    <s v="Laiza Market 3 - Laiza Gat"/>
    <n v="1690"/>
    <m/>
    <m/>
    <m/>
    <m/>
    <m/>
    <m/>
    <m/>
    <n v="0"/>
    <n v="0"/>
    <m/>
    <m/>
    <m/>
    <m/>
    <m/>
    <m/>
    <m/>
    <n v="0"/>
    <n v="0"/>
    <n v="0"/>
    <n v="0"/>
    <n v="0"/>
    <n v="0"/>
    <n v="0"/>
    <n v="0"/>
    <n v="0"/>
    <n v="0"/>
    <n v="0"/>
    <n v="0"/>
    <n v="0"/>
    <n v="0"/>
    <n v="0"/>
    <n v="0"/>
    <n v="0"/>
    <n v="0"/>
    <s v="MMR001CMP117"/>
    <x v="0"/>
    <x v="1"/>
    <s v="P2"/>
    <n v="0"/>
    <s v="No"/>
  </r>
  <r>
    <n v="53.43333333333333"/>
    <d v="2012-12-10T00:00:00"/>
    <x v="1"/>
    <s v="KBC"/>
    <s v="Kachin"/>
    <s v="Waingmaw"/>
    <s v="Woi Chyai "/>
    <n v="4285"/>
    <m/>
    <m/>
    <m/>
    <m/>
    <m/>
    <m/>
    <m/>
    <n v="0"/>
    <n v="0"/>
    <m/>
    <m/>
    <m/>
    <m/>
    <m/>
    <m/>
    <m/>
    <n v="0"/>
    <n v="0"/>
    <n v="0"/>
    <n v="0"/>
    <n v="0"/>
    <n v="0"/>
    <n v="0"/>
    <n v="0"/>
    <n v="0"/>
    <n v="0"/>
    <n v="0"/>
    <n v="0"/>
    <n v="0"/>
    <n v="0"/>
    <n v="0"/>
    <n v="0"/>
    <n v="0"/>
    <n v="0"/>
    <s v="MMR001CMP116"/>
    <x v="0"/>
    <x v="0"/>
    <s v="P4"/>
    <n v="0"/>
    <s v="No"/>
  </r>
  <r>
    <n v="53.4"/>
    <d v="2012-12-11T00:00:00"/>
    <x v="1"/>
    <s v="Solidarities"/>
    <s v="Kachin"/>
    <s v="Momauk"/>
    <s v="Hpun Lum Yang "/>
    <n v="1658"/>
    <m/>
    <m/>
    <m/>
    <m/>
    <m/>
    <m/>
    <m/>
    <n v="0"/>
    <n v="0"/>
    <m/>
    <m/>
    <m/>
    <m/>
    <m/>
    <m/>
    <m/>
    <n v="0"/>
    <n v="0"/>
    <n v="0"/>
    <n v="0"/>
    <n v="0"/>
    <n v="0"/>
    <n v="0"/>
    <n v="0"/>
    <n v="0"/>
    <n v="0"/>
    <n v="0"/>
    <n v="0"/>
    <n v="0"/>
    <n v="0"/>
    <n v="0"/>
    <n v="0"/>
    <n v="0"/>
    <n v="0"/>
    <s v="MMR001CMP122"/>
    <x v="0"/>
    <x v="0"/>
    <s v="P2"/>
    <n v="0"/>
    <s v="No"/>
  </r>
  <r>
    <n v="53.366666666666667"/>
    <d v="2012-12-12T00:00:00"/>
    <x v="1"/>
    <s v="Solidarities"/>
    <s v="Kachin"/>
    <s v="Momauk"/>
    <s v="Je Yang Hka "/>
    <n v="5228"/>
    <m/>
    <m/>
    <m/>
    <m/>
    <m/>
    <m/>
    <m/>
    <n v="0"/>
    <n v="0"/>
    <m/>
    <m/>
    <m/>
    <m/>
    <m/>
    <m/>
    <m/>
    <n v="0"/>
    <n v="0"/>
    <n v="0"/>
    <n v="0"/>
    <n v="0"/>
    <n v="0"/>
    <n v="0"/>
    <n v="0"/>
    <n v="0"/>
    <n v="0"/>
    <n v="0"/>
    <n v="0"/>
    <n v="0"/>
    <n v="0"/>
    <n v="0"/>
    <n v="0"/>
    <n v="0"/>
    <n v="0"/>
    <s v="MMR001CMP121"/>
    <x v="0"/>
    <x v="0"/>
    <s v="P2"/>
    <n v="0"/>
    <s v="No"/>
  </r>
  <r>
    <n v="53.333333333333336"/>
    <d v="2012-12-13T00:00:00"/>
    <x v="0"/>
    <s v="UNHCR"/>
    <s v="Kachin"/>
    <s v="Myitkyina"/>
    <s v="Nan Kway St. John Catholic Church"/>
    <m/>
    <m/>
    <m/>
    <n v="16"/>
    <n v="7"/>
    <n v="16"/>
    <n v="7"/>
    <n v="7"/>
    <n v="7"/>
    <n v="7"/>
    <m/>
    <m/>
    <m/>
    <m/>
    <m/>
    <m/>
    <m/>
    <n v="0"/>
    <n v="0"/>
    <n v="0"/>
    <n v="0"/>
    <n v="0"/>
    <n v="0"/>
    <n v="0"/>
    <n v="0"/>
    <n v="0"/>
    <n v="0"/>
    <n v="0"/>
    <n v="0"/>
    <n v="0"/>
    <n v="0"/>
    <n v="0"/>
    <n v="0"/>
    <n v="0"/>
    <n v="0"/>
    <s v="MMR001CMP024"/>
    <x v="0"/>
    <x v="0"/>
    <s v="P4"/>
    <n v="1.7111149135886968E-4"/>
    <s v="No"/>
  </r>
  <r>
    <n v="53.266666666666666"/>
    <d v="2012-12-15T00:00:00"/>
    <x v="1"/>
    <s v="KBC"/>
    <s v="Kachin"/>
    <s v="Mansi"/>
    <s v="Bum Tsit Pa "/>
    <n v="587"/>
    <m/>
    <m/>
    <m/>
    <m/>
    <m/>
    <m/>
    <m/>
    <n v="0"/>
    <n v="0"/>
    <m/>
    <m/>
    <m/>
    <m/>
    <m/>
    <m/>
    <m/>
    <n v="0"/>
    <n v="0"/>
    <n v="0"/>
    <n v="0"/>
    <n v="0"/>
    <n v="0"/>
    <n v="0"/>
    <n v="0"/>
    <n v="0"/>
    <n v="0"/>
    <n v="0"/>
    <n v="0"/>
    <n v="0"/>
    <n v="0"/>
    <n v="0"/>
    <n v="0"/>
    <n v="0"/>
    <n v="0"/>
    <s v="MMR001CMP129"/>
    <x v="0"/>
    <x v="0"/>
    <s v="P2"/>
    <n v="0"/>
    <s v="No"/>
  </r>
  <r>
    <n v="53.166666666666664"/>
    <d v="2012-12-18T00:00:00"/>
    <x v="1"/>
    <s v="Solidarities"/>
    <s v="Kachin"/>
    <s v="Momauk"/>
    <s v="Loi Je Baptist Church"/>
    <m/>
    <m/>
    <n v="54"/>
    <m/>
    <m/>
    <m/>
    <m/>
    <m/>
    <m/>
    <m/>
    <m/>
    <m/>
    <m/>
    <m/>
    <m/>
    <m/>
    <m/>
    <n v="0"/>
    <n v="0"/>
    <n v="0"/>
    <n v="0"/>
    <n v="0"/>
    <n v="0"/>
    <n v="0"/>
    <n v="0"/>
    <n v="0"/>
    <n v="0"/>
    <n v="0"/>
    <n v="0"/>
    <n v="0"/>
    <n v="0"/>
    <n v="0"/>
    <n v="0"/>
    <n v="0"/>
    <n v="0"/>
    <s v="MMR001CMP071"/>
    <x v="0"/>
    <x v="0"/>
    <s v="P3"/>
    <n v="0"/>
    <m/>
  </r>
  <r>
    <n v="53.166666666666664"/>
    <d v="2012-12-18T00:00:00"/>
    <x v="0"/>
    <s v="UNHCR"/>
    <s v="Kachin"/>
    <s v="Myitkyina"/>
    <s v="Shwe Zet Baptist Church"/>
    <m/>
    <m/>
    <m/>
    <n v="30"/>
    <n v="20"/>
    <n v="30"/>
    <n v="20"/>
    <n v="20"/>
    <n v="20"/>
    <n v="20"/>
    <m/>
    <m/>
    <m/>
    <m/>
    <m/>
    <m/>
    <m/>
    <n v="0"/>
    <n v="0"/>
    <n v="0"/>
    <n v="0"/>
    <n v="0"/>
    <n v="0"/>
    <n v="0"/>
    <n v="0"/>
    <n v="0"/>
    <n v="0"/>
    <n v="0"/>
    <n v="0"/>
    <n v="0"/>
    <n v="0"/>
    <n v="0"/>
    <n v="0"/>
    <n v="0"/>
    <n v="0"/>
    <s v="MMR001CMP009"/>
    <x v="0"/>
    <x v="0"/>
    <s v="P4"/>
    <n v="4.9109883364027013E-4"/>
    <s v="No"/>
  </r>
  <r>
    <n v="53.133333333333333"/>
    <d v="2012-12-19T00:00:00"/>
    <x v="0"/>
    <s v="UNHCR"/>
    <s v="Kachin"/>
    <s v="Myitkyina"/>
    <s v="Pa Dauk Myaing(Pa La Na)"/>
    <m/>
    <m/>
    <m/>
    <n v="37"/>
    <n v="10"/>
    <n v="37"/>
    <n v="10"/>
    <n v="10"/>
    <n v="10"/>
    <n v="10"/>
    <m/>
    <m/>
    <m/>
    <m/>
    <m/>
    <m/>
    <m/>
    <n v="0"/>
    <n v="0"/>
    <n v="0"/>
    <n v="0"/>
    <n v="0"/>
    <n v="0"/>
    <n v="0"/>
    <n v="0"/>
    <n v="0"/>
    <n v="0"/>
    <n v="0"/>
    <n v="0"/>
    <n v="0"/>
    <n v="0"/>
    <n v="0"/>
    <n v="0"/>
    <n v="0"/>
    <n v="0"/>
    <s v="MMR001CMP162"/>
    <x v="0"/>
    <x v="0"/>
    <s v="P4"/>
    <n v="2.4245950926195326E-4"/>
    <s v="No"/>
  </r>
  <r>
    <n v="53.1"/>
    <d v="2012-12-20T00:00:00"/>
    <x v="0"/>
    <s v="KBC"/>
    <s v="Kachin"/>
    <s v="Hpakant"/>
    <s v="Hlaing Naung Baptist"/>
    <m/>
    <m/>
    <m/>
    <n v="12"/>
    <n v="0"/>
    <n v="12"/>
    <n v="0"/>
    <n v="0"/>
    <m/>
    <m/>
    <m/>
    <m/>
    <m/>
    <m/>
    <m/>
    <m/>
    <m/>
    <n v="0"/>
    <n v="0"/>
    <n v="0"/>
    <n v="0"/>
    <n v="0"/>
    <n v="0"/>
    <n v="0"/>
    <n v="0"/>
    <n v="0"/>
    <n v="0"/>
    <n v="0"/>
    <n v="0"/>
    <n v="0"/>
    <n v="0"/>
    <n v="0"/>
    <n v="0"/>
    <n v="0"/>
    <n v="0"/>
    <s v="MMR001CMP148"/>
    <x v="0"/>
    <x v="0"/>
    <s v="P4"/>
    <n v="0"/>
    <s v="No"/>
  </r>
  <r>
    <n v="53.1"/>
    <d v="2012-12-20T00:00:00"/>
    <x v="0"/>
    <s v="UNHCR"/>
    <s v="Kachin"/>
    <s v="Myitkyina"/>
    <s v="Jan Mai Kawng Baptist Church"/>
    <m/>
    <m/>
    <m/>
    <n v="19"/>
    <n v="10"/>
    <n v="19"/>
    <n v="10"/>
    <n v="10"/>
    <n v="10"/>
    <n v="10"/>
    <m/>
    <m/>
    <m/>
    <m/>
    <m/>
    <m/>
    <m/>
    <n v="0"/>
    <n v="0"/>
    <n v="0"/>
    <n v="0"/>
    <n v="0"/>
    <n v="0"/>
    <n v="0"/>
    <n v="0"/>
    <n v="0"/>
    <n v="0"/>
    <n v="0"/>
    <n v="0"/>
    <n v="0"/>
    <n v="0"/>
    <n v="0"/>
    <n v="0"/>
    <n v="0"/>
    <n v="0"/>
    <s v="MMR001CMP018"/>
    <x v="0"/>
    <x v="0"/>
    <s v="P4"/>
    <n v="2.4554941682013506E-4"/>
    <s v="No"/>
  </r>
  <r>
    <n v="53.06666666666667"/>
    <d v="2012-12-21T00:00:00"/>
    <x v="0"/>
    <s v="UNHCR"/>
    <s v="Kachin"/>
    <s v="Bhamo"/>
    <s v="Lisu Boarding-House"/>
    <m/>
    <m/>
    <m/>
    <n v="0"/>
    <n v="12"/>
    <n v="0"/>
    <n v="12"/>
    <n v="12"/>
    <n v="12"/>
    <n v="12"/>
    <m/>
    <m/>
    <m/>
    <m/>
    <m/>
    <m/>
    <m/>
    <n v="0"/>
    <n v="0"/>
    <n v="0"/>
    <n v="0"/>
    <n v="0"/>
    <n v="0"/>
    <n v="0"/>
    <n v="0"/>
    <n v="0"/>
    <n v="0"/>
    <n v="0"/>
    <n v="0"/>
    <n v="0"/>
    <n v="0"/>
    <n v="0"/>
    <n v="0"/>
    <n v="0"/>
    <n v="0"/>
    <s v="MMR001CMP049"/>
    <x v="0"/>
    <x v="0"/>
    <s v="P4"/>
    <n v="2.948765204570586E-4"/>
    <s v="No"/>
  </r>
  <r>
    <n v="53.06666666666667"/>
    <d v="2012-12-21T00:00:00"/>
    <x v="0"/>
    <s v="UNHCR"/>
    <s v="Kachin"/>
    <s v="Bhamo"/>
    <s v="Robert Church"/>
    <m/>
    <m/>
    <m/>
    <n v="0"/>
    <n v="0"/>
    <n v="73"/>
    <n v="0"/>
    <n v="0"/>
    <m/>
    <m/>
    <m/>
    <m/>
    <m/>
    <m/>
    <m/>
    <m/>
    <m/>
    <n v="0"/>
    <n v="0"/>
    <n v="0"/>
    <n v="0"/>
    <n v="0"/>
    <n v="0"/>
    <n v="0"/>
    <n v="0"/>
    <n v="0"/>
    <n v="0"/>
    <n v="0"/>
    <n v="0"/>
    <n v="0"/>
    <n v="0"/>
    <n v="0"/>
    <n v="0"/>
    <n v="0"/>
    <n v="0"/>
    <s v="MMR001CMP047"/>
    <x v="0"/>
    <x v="0"/>
    <s v="P4"/>
    <n v="0"/>
    <s v="No"/>
  </r>
  <r>
    <n v="53.06666666666667"/>
    <d v="2012-12-21T00:00:00"/>
    <x v="0"/>
    <s v="UNHCR"/>
    <s v="Kachin"/>
    <s v="Bhamo"/>
    <s v="Robert Church"/>
    <m/>
    <m/>
    <m/>
    <n v="24"/>
    <n v="12"/>
    <n v="24"/>
    <n v="12"/>
    <n v="12"/>
    <n v="12"/>
    <n v="12"/>
    <m/>
    <m/>
    <m/>
    <m/>
    <m/>
    <m/>
    <m/>
    <n v="0"/>
    <n v="0"/>
    <n v="0"/>
    <n v="0"/>
    <n v="0"/>
    <n v="0"/>
    <n v="0"/>
    <n v="0"/>
    <n v="0"/>
    <n v="0"/>
    <n v="0"/>
    <n v="0"/>
    <n v="0"/>
    <n v="0"/>
    <n v="0"/>
    <n v="0"/>
    <n v="0"/>
    <n v="0"/>
    <s v="MMR001CMP047"/>
    <x v="0"/>
    <x v="0"/>
    <s v="P4"/>
    <n v="2.9465930018416205E-4"/>
    <s v="No"/>
  </r>
  <r>
    <n v="53.06666666666667"/>
    <d v="2012-12-21T00:00:00"/>
    <x v="0"/>
    <s v="UNHCR"/>
    <s v="Kachin"/>
    <s v="Shwegu"/>
    <s v="Shwe Gu Baptist Church"/>
    <m/>
    <m/>
    <m/>
    <n v="0"/>
    <n v="0"/>
    <n v="83"/>
    <n v="0"/>
    <n v="0"/>
    <m/>
    <m/>
    <m/>
    <m/>
    <m/>
    <m/>
    <m/>
    <m/>
    <m/>
    <n v="0"/>
    <n v="0"/>
    <n v="0"/>
    <n v="0"/>
    <n v="0"/>
    <n v="0"/>
    <n v="0"/>
    <n v="0"/>
    <n v="0"/>
    <n v="0"/>
    <n v="0"/>
    <n v="0"/>
    <n v="0"/>
    <n v="0"/>
    <n v="0"/>
    <n v="0"/>
    <n v="0"/>
    <n v="0"/>
    <s v="MMR001CMP067"/>
    <x v="0"/>
    <x v="0"/>
    <s v="P4"/>
    <n v="0"/>
    <s v="No"/>
  </r>
  <r>
    <n v="53.06666666666667"/>
    <d v="2012-12-21T00:00:00"/>
    <x v="1"/>
    <s v="Solidarities"/>
    <s v="Kachin"/>
    <s v="Bhamo"/>
    <s v="Yoe Kyi Monastery"/>
    <n v="178"/>
    <m/>
    <m/>
    <m/>
    <m/>
    <m/>
    <m/>
    <m/>
    <m/>
    <m/>
    <m/>
    <m/>
    <m/>
    <m/>
    <m/>
    <m/>
    <m/>
    <n v="0"/>
    <n v="0"/>
    <n v="0"/>
    <n v="0"/>
    <n v="0"/>
    <n v="0"/>
    <n v="0"/>
    <n v="0"/>
    <n v="0"/>
    <n v="0"/>
    <n v="0"/>
    <n v="0"/>
    <n v="0"/>
    <n v="0"/>
    <n v="0"/>
    <n v="0"/>
    <n v="0"/>
    <n v="0"/>
    <s v="MMR001CMP053"/>
    <x v="0"/>
    <x v="0"/>
    <s v="P4"/>
    <n v="0"/>
    <m/>
  </r>
  <r>
    <n v="53.06666666666667"/>
    <d v="2012-12-21T00:00:00"/>
    <x v="0"/>
    <s v="UNHCR"/>
    <s v="Kachin"/>
    <s v="Bhamo"/>
    <s v="Yoe Kyi Monastery"/>
    <m/>
    <m/>
    <m/>
    <n v="0"/>
    <n v="3"/>
    <n v="0"/>
    <n v="3"/>
    <n v="3"/>
    <n v="3"/>
    <n v="3"/>
    <m/>
    <m/>
    <m/>
    <m/>
    <m/>
    <m/>
    <m/>
    <n v="0"/>
    <n v="0"/>
    <n v="0"/>
    <n v="0"/>
    <n v="0"/>
    <n v="0"/>
    <n v="0"/>
    <n v="0"/>
    <n v="0"/>
    <n v="0"/>
    <n v="0"/>
    <n v="0"/>
    <n v="0"/>
    <n v="0"/>
    <n v="0"/>
    <n v="0"/>
    <n v="0"/>
    <n v="0"/>
    <s v="MMR001CMP053"/>
    <x v="0"/>
    <x v="0"/>
    <s v="P4"/>
    <n v="7.2953650114294054E-5"/>
    <s v="No"/>
  </r>
  <r>
    <n v="52.733333333333334"/>
    <d v="2012-12-31T00:00:00"/>
    <x v="2"/>
    <s v="DRC"/>
    <s v="Kachin"/>
    <s v="Hpakant"/>
    <s v="5 Ward Baptist Church(lon Khin)"/>
    <n v="12"/>
    <m/>
    <m/>
    <m/>
    <m/>
    <m/>
    <m/>
    <m/>
    <n v="0"/>
    <n v="0"/>
    <m/>
    <m/>
    <m/>
    <m/>
    <m/>
    <m/>
    <m/>
    <n v="0"/>
    <n v="0"/>
    <n v="0"/>
    <n v="0"/>
    <n v="0"/>
    <n v="0"/>
    <n v="0"/>
    <n v="0"/>
    <n v="0"/>
    <n v="0"/>
    <n v="0"/>
    <n v="0"/>
    <n v="0"/>
    <n v="0"/>
    <n v="0"/>
    <n v="0"/>
    <n v="0"/>
    <n v="0"/>
    <s v="MMR001CMP179"/>
    <x v="0"/>
    <x v="1"/>
    <s v="P4"/>
    <n v="0"/>
    <s v="No"/>
  </r>
  <r>
    <n v="52.733333333333334"/>
    <d v="2012-12-31T00:00:00"/>
    <x v="2"/>
    <s v="DRC"/>
    <s v="Kachin"/>
    <s v="Hpakant"/>
    <s v="5 Ward RC Church(lon Khin)"/>
    <n v="19"/>
    <m/>
    <m/>
    <m/>
    <m/>
    <m/>
    <m/>
    <m/>
    <n v="0"/>
    <n v="0"/>
    <m/>
    <m/>
    <m/>
    <m/>
    <m/>
    <m/>
    <m/>
    <n v="0"/>
    <n v="0"/>
    <n v="0"/>
    <n v="0"/>
    <n v="0"/>
    <n v="0"/>
    <n v="0"/>
    <n v="0"/>
    <n v="0"/>
    <n v="0"/>
    <n v="0"/>
    <n v="0"/>
    <n v="0"/>
    <n v="0"/>
    <n v="0"/>
    <n v="0"/>
    <n v="0"/>
    <n v="0"/>
    <s v="MMR001CMP168"/>
    <x v="0"/>
    <x v="0"/>
    <s v="P4"/>
    <n v="0"/>
    <s v="No"/>
  </r>
  <r>
    <n v="52.733333333333334"/>
    <d v="2012-12-31T00:00:00"/>
    <x v="2"/>
    <s v="DRC"/>
    <s v="Kachin"/>
    <s v="Hpakant"/>
    <s v="AG Church, Hmaw Si Sa"/>
    <n v="7"/>
    <m/>
    <m/>
    <m/>
    <m/>
    <m/>
    <m/>
    <m/>
    <n v="0"/>
    <n v="0"/>
    <m/>
    <m/>
    <m/>
    <m/>
    <m/>
    <m/>
    <m/>
    <n v="0"/>
    <n v="0"/>
    <n v="0"/>
    <n v="0"/>
    <n v="0"/>
    <n v="0"/>
    <n v="0"/>
    <n v="0"/>
    <n v="0"/>
    <n v="0"/>
    <n v="0"/>
    <n v="0"/>
    <n v="0"/>
    <n v="0"/>
    <n v="0"/>
    <n v="0"/>
    <n v="0"/>
    <n v="0"/>
    <s v="MMR001CMP176"/>
    <x v="0"/>
    <x v="0"/>
    <s v="P4"/>
    <n v="0"/>
    <s v="No"/>
  </r>
  <r>
    <n v="52.733333333333334"/>
    <d v="2012-12-31T00:00:00"/>
    <x v="2"/>
    <s v="DRC"/>
    <s v="Kachin"/>
    <s v="Hpakant"/>
    <s v="AG Church, Maw Wan"/>
    <n v="4"/>
    <m/>
    <m/>
    <m/>
    <m/>
    <m/>
    <m/>
    <m/>
    <n v="0"/>
    <n v="0"/>
    <m/>
    <m/>
    <m/>
    <m/>
    <m/>
    <m/>
    <m/>
    <n v="0"/>
    <n v="0"/>
    <n v="0"/>
    <n v="0"/>
    <n v="0"/>
    <n v="0"/>
    <n v="0"/>
    <n v="0"/>
    <n v="0"/>
    <n v="0"/>
    <n v="0"/>
    <n v="0"/>
    <n v="0"/>
    <n v="0"/>
    <n v="0"/>
    <n v="0"/>
    <n v="0"/>
    <n v="0"/>
    <s v="MMR001CMP190"/>
    <x v="0"/>
    <x v="0"/>
    <s v="P4"/>
    <n v="0"/>
    <s v="No"/>
  </r>
  <r>
    <n v="52.733333333333334"/>
    <d v="2012-12-31T00:00:00"/>
    <x v="2"/>
    <s v="DRC"/>
    <s v="Kachin"/>
    <s v="Hpakant"/>
    <s v="Baptist Church, Hmaw Si Sar(Lon Khin)"/>
    <n v="20"/>
    <m/>
    <m/>
    <m/>
    <m/>
    <m/>
    <m/>
    <m/>
    <n v="0"/>
    <n v="0"/>
    <m/>
    <m/>
    <m/>
    <m/>
    <m/>
    <m/>
    <m/>
    <n v="0"/>
    <n v="0"/>
    <n v="0"/>
    <n v="0"/>
    <n v="0"/>
    <n v="0"/>
    <n v="0"/>
    <n v="0"/>
    <n v="0"/>
    <n v="0"/>
    <n v="0"/>
    <n v="0"/>
    <n v="0"/>
    <n v="0"/>
    <n v="0"/>
    <n v="0"/>
    <n v="0"/>
    <n v="0"/>
    <s v="MMR001CMP169"/>
    <x v="0"/>
    <x v="0"/>
    <s v="P4"/>
    <n v="0"/>
    <s v="No"/>
  </r>
  <r>
    <n v="52.733333333333334"/>
    <d v="2012-12-31T00:00:00"/>
    <x v="2"/>
    <s v="DRC"/>
    <s v="Kachin"/>
    <s v="Hpakant"/>
    <s v="Dhama Rakhita, Nyein Chan Tar Yar Ward(Lon Khin)"/>
    <n v="6"/>
    <m/>
    <m/>
    <m/>
    <m/>
    <m/>
    <m/>
    <m/>
    <n v="0"/>
    <n v="0"/>
    <m/>
    <m/>
    <m/>
    <m/>
    <m/>
    <m/>
    <m/>
    <n v="0"/>
    <n v="0"/>
    <n v="0"/>
    <n v="0"/>
    <n v="0"/>
    <n v="0"/>
    <n v="0"/>
    <n v="0"/>
    <n v="0"/>
    <n v="0"/>
    <n v="0"/>
    <n v="0"/>
    <n v="0"/>
    <n v="0"/>
    <n v="0"/>
    <n v="0"/>
    <n v="0"/>
    <n v="0"/>
    <s v="MMR001CMP174"/>
    <x v="0"/>
    <x v="0"/>
    <s v="P4"/>
    <n v="0"/>
    <s v="No"/>
  </r>
  <r>
    <n v="52.733333333333334"/>
    <d v="2012-12-31T00:00:00"/>
    <x v="2"/>
    <s v="DRC"/>
    <s v="Kachin"/>
    <s v="Waingmaw"/>
    <s v="Hkat Cho "/>
    <n v="136"/>
    <m/>
    <m/>
    <m/>
    <m/>
    <m/>
    <m/>
    <m/>
    <n v="0"/>
    <n v="0"/>
    <m/>
    <m/>
    <m/>
    <m/>
    <m/>
    <m/>
    <m/>
    <n v="0"/>
    <n v="0"/>
    <n v="0"/>
    <n v="0"/>
    <n v="0"/>
    <n v="0"/>
    <n v="0"/>
    <n v="0"/>
    <n v="0"/>
    <n v="0"/>
    <n v="0"/>
    <n v="0"/>
    <n v="0"/>
    <n v="0"/>
    <n v="0"/>
    <n v="0"/>
    <n v="0"/>
    <n v="0"/>
    <s v="MMR001CMP028"/>
    <x v="0"/>
    <x v="0"/>
    <s v="P4"/>
    <n v="0"/>
    <s v="No"/>
  </r>
  <r>
    <n v="52.733333333333334"/>
    <d v="2012-12-31T00:00:00"/>
    <x v="2"/>
    <s v="DRC"/>
    <s v="Kachin"/>
    <s v="Hpakant"/>
    <s v="Hlaing Naung Baptist"/>
    <n v="4"/>
    <m/>
    <m/>
    <m/>
    <m/>
    <m/>
    <m/>
    <m/>
    <n v="0"/>
    <n v="0"/>
    <m/>
    <m/>
    <m/>
    <m/>
    <m/>
    <m/>
    <m/>
    <n v="0"/>
    <n v="0"/>
    <n v="0"/>
    <n v="0"/>
    <n v="0"/>
    <n v="0"/>
    <n v="0"/>
    <n v="0"/>
    <n v="0"/>
    <n v="0"/>
    <n v="0"/>
    <n v="0"/>
    <n v="0"/>
    <n v="0"/>
    <n v="0"/>
    <n v="0"/>
    <n v="0"/>
    <n v="0"/>
    <s v="MMR001CMP148"/>
    <x v="0"/>
    <x v="0"/>
    <s v="P4"/>
    <n v="0"/>
    <s v="No"/>
  </r>
  <r>
    <n v="52.733333333333334"/>
    <d v="2012-12-31T00:00:00"/>
    <x v="2"/>
    <s v="DRC"/>
    <s v="Kachin"/>
    <s v="Hpakant"/>
    <s v="Hmaw Wan, Anglican"/>
    <n v="3"/>
    <m/>
    <m/>
    <m/>
    <m/>
    <m/>
    <m/>
    <m/>
    <n v="0"/>
    <n v="0"/>
    <m/>
    <m/>
    <m/>
    <m/>
    <m/>
    <m/>
    <m/>
    <n v="0"/>
    <n v="0"/>
    <n v="0"/>
    <n v="0"/>
    <n v="0"/>
    <n v="0"/>
    <n v="0"/>
    <n v="0"/>
    <n v="0"/>
    <n v="0"/>
    <n v="0"/>
    <n v="0"/>
    <n v="0"/>
    <n v="0"/>
    <n v="0"/>
    <n v="0"/>
    <n v="0"/>
    <n v="0"/>
    <s v="MMR001CMP191"/>
    <x v="0"/>
    <x v="0"/>
    <s v="P4"/>
    <n v="0"/>
    <s v="No"/>
  </r>
  <r>
    <n v="52.733333333333334"/>
    <d v="2012-12-31T00:00:00"/>
    <x v="2"/>
    <s v="DRC"/>
    <s v="Kachin"/>
    <s v="Hpakant"/>
    <s v="Lisu Baptist Church, Maw Wan Ward"/>
    <n v="1"/>
    <m/>
    <m/>
    <m/>
    <m/>
    <m/>
    <m/>
    <m/>
    <n v="0"/>
    <n v="0"/>
    <m/>
    <m/>
    <m/>
    <m/>
    <m/>
    <m/>
    <m/>
    <n v="0"/>
    <n v="0"/>
    <n v="0"/>
    <n v="0"/>
    <n v="0"/>
    <n v="0"/>
    <n v="0"/>
    <n v="0"/>
    <n v="0"/>
    <n v="0"/>
    <n v="0"/>
    <n v="0"/>
    <n v="0"/>
    <n v="0"/>
    <n v="0"/>
    <n v="0"/>
    <n v="0"/>
    <n v="0"/>
    <s v="MMR001CMP167"/>
    <x v="0"/>
    <x v="0"/>
    <s v="P4"/>
    <n v="0"/>
    <s v="No"/>
  </r>
  <r>
    <n v="52.733333333333334"/>
    <d v="2012-12-31T00:00:00"/>
    <x v="2"/>
    <s v="DRC"/>
    <s v="Kachin"/>
    <s v="Waingmaw"/>
    <s v="Mading Baptist Church"/>
    <n v="23"/>
    <m/>
    <m/>
    <m/>
    <m/>
    <m/>
    <m/>
    <m/>
    <n v="0"/>
    <n v="0"/>
    <m/>
    <m/>
    <m/>
    <m/>
    <m/>
    <m/>
    <m/>
    <n v="0"/>
    <n v="0"/>
    <n v="0"/>
    <n v="0"/>
    <n v="0"/>
    <n v="0"/>
    <n v="0"/>
    <n v="0"/>
    <n v="0"/>
    <n v="0"/>
    <n v="0"/>
    <n v="0"/>
    <n v="0"/>
    <n v="0"/>
    <n v="0"/>
    <n v="0"/>
    <n v="0"/>
    <n v="0"/>
    <s v="MMR001CMP027"/>
    <x v="0"/>
    <x v="0"/>
    <s v="P4"/>
    <n v="0"/>
    <s v="No"/>
  </r>
  <r>
    <n v="52.733333333333334"/>
    <d v="2012-12-31T00:00:00"/>
    <x v="2"/>
    <s v="DRC"/>
    <s v="Kachin"/>
    <s v="Waingmaw"/>
    <s v="Maina AG Church"/>
    <n v="79"/>
    <m/>
    <m/>
    <m/>
    <m/>
    <m/>
    <m/>
    <m/>
    <n v="0"/>
    <n v="0"/>
    <m/>
    <m/>
    <m/>
    <m/>
    <m/>
    <m/>
    <m/>
    <n v="0"/>
    <n v="0"/>
    <n v="0"/>
    <n v="0"/>
    <n v="0"/>
    <n v="0"/>
    <n v="0"/>
    <n v="0"/>
    <n v="0"/>
    <n v="0"/>
    <n v="0"/>
    <n v="0"/>
    <n v="0"/>
    <n v="0"/>
    <n v="0"/>
    <n v="0"/>
    <n v="0"/>
    <n v="0"/>
    <s v="MMR001CMP031"/>
    <x v="0"/>
    <x v="0"/>
    <s v="P4"/>
    <n v="0"/>
    <s v="No"/>
  </r>
  <r>
    <n v="52.733333333333334"/>
    <d v="2012-12-31T00:00:00"/>
    <x v="2"/>
    <s v="DRC"/>
    <s v="Kachin"/>
    <s v="Myitkyina"/>
    <s v="Maw Hpawng Hka Nan Baptist Church"/>
    <n v="14"/>
    <m/>
    <m/>
    <m/>
    <m/>
    <m/>
    <m/>
    <m/>
    <n v="0"/>
    <n v="0"/>
    <m/>
    <m/>
    <m/>
    <m/>
    <m/>
    <m/>
    <m/>
    <n v="0"/>
    <n v="0"/>
    <n v="0"/>
    <n v="0"/>
    <n v="0"/>
    <n v="0"/>
    <n v="0"/>
    <n v="0"/>
    <n v="0"/>
    <n v="0"/>
    <n v="0"/>
    <n v="0"/>
    <n v="0"/>
    <n v="0"/>
    <n v="0"/>
    <n v="0"/>
    <n v="0"/>
    <n v="0"/>
    <s v="MMR001CMP020"/>
    <x v="0"/>
    <x v="0"/>
    <s v="P4"/>
    <n v="0"/>
    <s v="No"/>
  </r>
  <r>
    <n v="52.733333333333334"/>
    <d v="2012-12-31T00:00:00"/>
    <x v="2"/>
    <s v="DRC"/>
    <s v="Kachin"/>
    <s v="Myitkyina"/>
    <s v="Maw Hpawng Lhaovo Baptist Church"/>
    <n v="23"/>
    <m/>
    <m/>
    <m/>
    <m/>
    <m/>
    <m/>
    <m/>
    <n v="0"/>
    <n v="0"/>
    <m/>
    <m/>
    <m/>
    <m/>
    <m/>
    <m/>
    <m/>
    <n v="0"/>
    <n v="0"/>
    <n v="0"/>
    <n v="0"/>
    <n v="0"/>
    <n v="0"/>
    <n v="0"/>
    <n v="0"/>
    <n v="0"/>
    <n v="0"/>
    <n v="0"/>
    <n v="0"/>
    <n v="0"/>
    <n v="0"/>
    <n v="0"/>
    <n v="0"/>
    <n v="0"/>
    <n v="0"/>
    <s v="MMR001CMP021"/>
    <x v="0"/>
    <x v="0"/>
    <s v="P4"/>
    <n v="0"/>
    <s v="No"/>
  </r>
  <r>
    <n v="52.733333333333334"/>
    <d v="2012-12-31T00:00:00"/>
    <x v="2"/>
    <s v="DRC"/>
    <s v="Kachin"/>
    <s v="Hpakant"/>
    <s v="Maw Wan, Mu-yin Baptist Church"/>
    <n v="2"/>
    <m/>
    <m/>
    <m/>
    <m/>
    <m/>
    <m/>
    <m/>
    <n v="0"/>
    <n v="0"/>
    <m/>
    <m/>
    <m/>
    <m/>
    <m/>
    <m/>
    <m/>
    <n v="0"/>
    <n v="0"/>
    <n v="0"/>
    <n v="0"/>
    <n v="0"/>
    <n v="0"/>
    <n v="0"/>
    <n v="0"/>
    <n v="0"/>
    <n v="0"/>
    <n v="0"/>
    <n v="0"/>
    <n v="0"/>
    <n v="0"/>
    <n v="0"/>
    <n v="0"/>
    <n v="0"/>
    <n v="0"/>
    <s v="MMR001CMP091"/>
    <x v="0"/>
    <x v="0"/>
    <s v="P4"/>
    <n v="0"/>
    <s v="No"/>
  </r>
  <r>
    <n v="52.733333333333334"/>
    <d v="2012-12-31T00:00:00"/>
    <x v="2"/>
    <s v="DRC"/>
    <s v="Kachin"/>
    <s v="Hpakant"/>
    <s v="Nam Ma Phyit, COC"/>
    <n v="32"/>
    <m/>
    <m/>
    <m/>
    <m/>
    <m/>
    <m/>
    <m/>
    <n v="0"/>
    <n v="0"/>
    <m/>
    <m/>
    <m/>
    <m/>
    <m/>
    <m/>
    <m/>
    <n v="0"/>
    <n v="0"/>
    <n v="0"/>
    <n v="0"/>
    <n v="0"/>
    <n v="0"/>
    <n v="0"/>
    <n v="0"/>
    <n v="0"/>
    <n v="0"/>
    <n v="0"/>
    <n v="0"/>
    <n v="0"/>
    <n v="0"/>
    <n v="0"/>
    <n v="0"/>
    <n v="0"/>
    <n v="0"/>
    <s v="MMR001CMP192"/>
    <x v="0"/>
    <x v="0"/>
    <s v="P4"/>
    <n v="0"/>
    <s v="No"/>
  </r>
  <r>
    <n v="52.733333333333334"/>
    <d v="2012-12-31T00:00:00"/>
    <x v="2"/>
    <s v="DRC"/>
    <s v="Kachin"/>
    <s v="Hpakant"/>
    <s v="Nant Ma Hpit Catholic Church"/>
    <n v="4"/>
    <m/>
    <m/>
    <m/>
    <m/>
    <m/>
    <m/>
    <m/>
    <n v="0"/>
    <n v="0"/>
    <m/>
    <m/>
    <m/>
    <m/>
    <m/>
    <m/>
    <m/>
    <n v="0"/>
    <n v="0"/>
    <n v="0"/>
    <n v="0"/>
    <n v="0"/>
    <n v="0"/>
    <n v="0"/>
    <n v="0"/>
    <n v="0"/>
    <n v="0"/>
    <n v="0"/>
    <n v="0"/>
    <n v="0"/>
    <n v="0"/>
    <n v="0"/>
    <n v="0"/>
    <n v="0"/>
    <n v="0"/>
    <s v="MMR001CMP103"/>
    <x v="0"/>
    <x v="0"/>
    <s v="P4"/>
    <n v="0"/>
    <s v="No"/>
  </r>
  <r>
    <n v="52.733333333333334"/>
    <d v="2012-12-31T00:00:00"/>
    <x v="2"/>
    <s v="DRC"/>
    <s v="Kachin"/>
    <s v="Waingmaw"/>
    <s v="Qtr. 2 Lhaovo Baptist Church"/>
    <n v="92"/>
    <m/>
    <m/>
    <m/>
    <m/>
    <m/>
    <m/>
    <m/>
    <n v="0"/>
    <n v="0"/>
    <m/>
    <m/>
    <m/>
    <m/>
    <m/>
    <m/>
    <m/>
    <n v="0"/>
    <n v="0"/>
    <n v="0"/>
    <n v="0"/>
    <n v="0"/>
    <n v="0"/>
    <n v="0"/>
    <n v="0"/>
    <n v="0"/>
    <n v="0"/>
    <n v="0"/>
    <n v="0"/>
    <n v="0"/>
    <n v="0"/>
    <n v="0"/>
    <n v="0"/>
    <n v="0"/>
    <n v="0"/>
    <s v="MMR001CMP032"/>
    <x v="0"/>
    <x v="0"/>
    <s v="P4"/>
    <n v="0"/>
    <s v="No"/>
  </r>
  <r>
    <n v="52.733333333333334"/>
    <d v="2012-12-31T00:00:00"/>
    <x v="2"/>
    <s v="DRC"/>
    <s v="Kachin"/>
    <s v="Waingmaw"/>
    <s v="Qtr. 3 Mu-yin  Baptist Church"/>
    <n v="27"/>
    <m/>
    <m/>
    <m/>
    <m/>
    <m/>
    <m/>
    <m/>
    <n v="0"/>
    <n v="0"/>
    <m/>
    <m/>
    <m/>
    <m/>
    <m/>
    <m/>
    <m/>
    <n v="0"/>
    <n v="0"/>
    <n v="0"/>
    <n v="0"/>
    <n v="0"/>
    <n v="0"/>
    <n v="0"/>
    <n v="0"/>
    <n v="0"/>
    <n v="0"/>
    <n v="0"/>
    <n v="0"/>
    <n v="0"/>
    <n v="0"/>
    <n v="0"/>
    <n v="0"/>
    <n v="0"/>
    <n v="0"/>
    <s v="MMR001CMP030"/>
    <x v="0"/>
    <x v="0"/>
    <s v="P4"/>
    <n v="0"/>
    <s v="No"/>
  </r>
  <r>
    <n v="52.733333333333334"/>
    <d v="2012-12-31T00:00:00"/>
    <x v="2"/>
    <s v="DRC"/>
    <s v="Kachin"/>
    <s v="Waingmaw"/>
    <s v="Qtr. 4 Monestry (Thargaya Thayett Taw)"/>
    <n v="96"/>
    <m/>
    <m/>
    <m/>
    <m/>
    <m/>
    <m/>
    <m/>
    <n v="0"/>
    <n v="0"/>
    <m/>
    <m/>
    <m/>
    <m/>
    <m/>
    <m/>
    <m/>
    <n v="0"/>
    <n v="0"/>
    <n v="0"/>
    <n v="0"/>
    <n v="0"/>
    <n v="0"/>
    <n v="0"/>
    <n v="0"/>
    <n v="0"/>
    <n v="0"/>
    <n v="0"/>
    <n v="0"/>
    <n v="0"/>
    <n v="0"/>
    <n v="0"/>
    <n v="0"/>
    <n v="0"/>
    <n v="0"/>
    <s v="MMR001CMP026"/>
    <x v="0"/>
    <x v="0"/>
    <s v="P4"/>
    <n v="0"/>
    <s v="No"/>
  </r>
  <r>
    <n v="52.733333333333334"/>
    <d v="2012-12-31T00:00:00"/>
    <x v="2"/>
    <s v="DRC"/>
    <s v="Kachin"/>
    <s v="Myitkyina"/>
    <s v="Shatapru Thida Aye Baptist Church"/>
    <n v="17"/>
    <m/>
    <m/>
    <m/>
    <m/>
    <m/>
    <m/>
    <m/>
    <n v="0"/>
    <n v="0"/>
    <m/>
    <m/>
    <m/>
    <m/>
    <m/>
    <m/>
    <m/>
    <n v="0"/>
    <n v="0"/>
    <n v="0"/>
    <n v="0"/>
    <n v="0"/>
    <n v="0"/>
    <n v="0"/>
    <n v="0"/>
    <n v="0"/>
    <n v="0"/>
    <n v="0"/>
    <n v="0"/>
    <n v="0"/>
    <n v="0"/>
    <n v="0"/>
    <n v="0"/>
    <n v="0"/>
    <n v="0"/>
    <s v="MMR001CMP007"/>
    <x v="0"/>
    <x v="0"/>
    <s v="P4"/>
    <n v="0"/>
    <s v="No"/>
  </r>
  <r>
    <n v="52.733333333333334"/>
    <d v="2012-12-31T00:00:00"/>
    <x v="2"/>
    <s v="DRC"/>
    <s v="Kachin"/>
    <s v="Myitkyina"/>
    <s v="Tat Kone COC Baptist - Tat Kone Htoi San"/>
    <n v="34"/>
    <m/>
    <m/>
    <m/>
    <m/>
    <m/>
    <m/>
    <m/>
    <n v="0"/>
    <n v="0"/>
    <m/>
    <m/>
    <m/>
    <m/>
    <m/>
    <m/>
    <m/>
    <n v="0"/>
    <n v="0"/>
    <n v="0"/>
    <n v="0"/>
    <n v="0"/>
    <n v="0"/>
    <n v="0"/>
    <n v="0"/>
    <n v="0"/>
    <n v="0"/>
    <n v="0"/>
    <n v="0"/>
    <n v="0"/>
    <n v="0"/>
    <n v="0"/>
    <n v="0"/>
    <n v="0"/>
    <n v="0"/>
    <s v="MMR001CMP023"/>
    <x v="0"/>
    <x v="0"/>
    <s v="P4"/>
    <n v="0"/>
    <s v="No"/>
  </r>
  <r>
    <n v="52.733333333333334"/>
    <d v="2012-12-31T00:00:00"/>
    <x v="2"/>
    <s v="DRC"/>
    <s v="Kachin"/>
    <s v="Myitkyina"/>
    <s v="Tat Kone Emanuel Church"/>
    <n v="14"/>
    <m/>
    <m/>
    <m/>
    <m/>
    <m/>
    <m/>
    <m/>
    <n v="0"/>
    <n v="0"/>
    <m/>
    <m/>
    <m/>
    <m/>
    <m/>
    <m/>
    <m/>
    <n v="0"/>
    <n v="0"/>
    <n v="0"/>
    <n v="0"/>
    <n v="0"/>
    <n v="0"/>
    <n v="0"/>
    <n v="0"/>
    <n v="0"/>
    <n v="0"/>
    <n v="0"/>
    <n v="0"/>
    <n v="0"/>
    <n v="0"/>
    <n v="0"/>
    <n v="0"/>
    <n v="0"/>
    <n v="0"/>
    <s v="MMR001CMP004"/>
    <x v="0"/>
    <x v="0"/>
    <s v="P4"/>
    <n v="0"/>
    <s v="No"/>
  </r>
  <r>
    <n v="52.733333333333334"/>
    <d v="2012-12-31T00:00:00"/>
    <x v="2"/>
    <s v="DRC"/>
    <s v="Kachin"/>
    <s v="Waingmaw"/>
    <s v="Thargaya Lisu Baptist Church"/>
    <n v="68"/>
    <m/>
    <m/>
    <m/>
    <m/>
    <m/>
    <m/>
    <m/>
    <n v="0"/>
    <n v="0"/>
    <m/>
    <m/>
    <m/>
    <m/>
    <m/>
    <m/>
    <m/>
    <n v="0"/>
    <n v="0"/>
    <n v="0"/>
    <n v="0"/>
    <n v="0"/>
    <n v="0"/>
    <n v="0"/>
    <n v="0"/>
    <n v="0"/>
    <n v="0"/>
    <n v="0"/>
    <n v="0"/>
    <n v="0"/>
    <n v="0"/>
    <n v="0"/>
    <n v="0"/>
    <n v="0"/>
    <n v="0"/>
    <s v="MMR001CMP037"/>
    <x v="0"/>
    <x v="0"/>
    <s v="P4"/>
    <n v="0"/>
    <s v="No"/>
  </r>
  <r>
    <n v="52.733333333333334"/>
    <d v="2012-12-31T00:00:00"/>
    <x v="2"/>
    <s v="DRC"/>
    <s v="Kachin"/>
    <s v="Waingmaw"/>
    <s v="Waingmaw AG Church"/>
    <n v="56"/>
    <m/>
    <m/>
    <m/>
    <m/>
    <m/>
    <m/>
    <m/>
    <n v="0"/>
    <n v="0"/>
    <m/>
    <m/>
    <m/>
    <m/>
    <m/>
    <m/>
    <m/>
    <n v="0"/>
    <n v="0"/>
    <n v="0"/>
    <n v="0"/>
    <n v="0"/>
    <n v="0"/>
    <n v="0"/>
    <n v="0"/>
    <n v="0"/>
    <n v="0"/>
    <n v="0"/>
    <n v="0"/>
    <n v="0"/>
    <n v="0"/>
    <n v="0"/>
    <n v="0"/>
    <n v="0"/>
    <n v="0"/>
    <s v="MMR001CMP038"/>
    <x v="0"/>
    <x v="0"/>
    <s v="P4"/>
    <n v="0"/>
    <s v="No"/>
  </r>
  <r>
    <n v="52.733333333333334"/>
    <d v="2012-12-31T00:00:00"/>
    <x v="2"/>
    <s v="DRC"/>
    <s v="Kachin"/>
    <s v="Myitkyina"/>
    <s v="Wun Tho Buddhist Monastery"/>
    <n v="24"/>
    <m/>
    <m/>
    <m/>
    <m/>
    <m/>
    <m/>
    <m/>
    <n v="0"/>
    <n v="0"/>
    <m/>
    <m/>
    <m/>
    <m/>
    <m/>
    <m/>
    <m/>
    <n v="0"/>
    <n v="0"/>
    <n v="0"/>
    <n v="0"/>
    <n v="0"/>
    <n v="0"/>
    <n v="0"/>
    <n v="0"/>
    <n v="0"/>
    <n v="0"/>
    <n v="0"/>
    <n v="0"/>
    <n v="0"/>
    <n v="0"/>
    <n v="0"/>
    <n v="0"/>
    <n v="0"/>
    <n v="0"/>
    <s v="MMR001CMP022"/>
    <x v="0"/>
    <x v="0"/>
    <s v="P4"/>
    <n v="0"/>
    <s v="No"/>
  </r>
  <r>
    <n v="52.733333333333334"/>
    <d v="2012-12-31T00:00:00"/>
    <x v="2"/>
    <s v="DRC"/>
    <s v="Kachin"/>
    <s v="Hpakant"/>
    <s v="Yumar Baptist Church"/>
    <n v="42"/>
    <m/>
    <m/>
    <m/>
    <m/>
    <m/>
    <m/>
    <m/>
    <n v="0"/>
    <n v="0"/>
    <m/>
    <m/>
    <m/>
    <m/>
    <m/>
    <m/>
    <m/>
    <n v="0"/>
    <n v="0"/>
    <n v="0"/>
    <n v="0"/>
    <n v="0"/>
    <n v="0"/>
    <n v="0"/>
    <n v="0"/>
    <n v="0"/>
    <n v="0"/>
    <n v="0"/>
    <n v="0"/>
    <n v="0"/>
    <n v="0"/>
    <n v="0"/>
    <n v="0"/>
    <n v="0"/>
    <n v="0"/>
    <s v="MMR001CMP105"/>
    <x v="0"/>
    <x v="0"/>
    <s v="P4"/>
    <n v="0"/>
    <s v="No"/>
  </r>
  <r>
    <n v="52.733333333333334"/>
    <d v="2012-12-31T00:00:00"/>
    <x v="2"/>
    <s v="DRC"/>
    <s v="Kachin"/>
    <s v="Hpakant"/>
    <s v="Aye Mya Tharyar Church of Christ "/>
    <n v="16"/>
    <m/>
    <m/>
    <m/>
    <m/>
    <m/>
    <m/>
    <m/>
    <n v="0"/>
    <n v="0"/>
    <m/>
    <m/>
    <m/>
    <m/>
    <m/>
    <m/>
    <m/>
    <n v="0"/>
    <n v="0"/>
    <n v="0"/>
    <n v="0"/>
    <n v="0"/>
    <n v="0"/>
    <n v="0"/>
    <n v="0"/>
    <n v="0"/>
    <n v="0"/>
    <n v="0"/>
    <n v="0"/>
    <n v="0"/>
    <n v="0"/>
    <n v="0"/>
    <n v="0"/>
    <n v="0"/>
    <n v="0"/>
    <s v="MMR001CMP092"/>
    <x v="0"/>
    <x v="1"/>
    <s v=""/>
    <s v=""/>
    <s v="No"/>
  </r>
  <r>
    <n v="52.733333333333334"/>
    <d v="2012-12-31T00:00:00"/>
    <x v="2"/>
    <s v="DRC"/>
    <s v="Kachin"/>
    <s v="Hpakant"/>
    <s v="Baptist Church, Sai Ra village"/>
    <n v="3"/>
    <m/>
    <m/>
    <m/>
    <m/>
    <m/>
    <m/>
    <m/>
    <n v="0"/>
    <n v="0"/>
    <m/>
    <m/>
    <m/>
    <m/>
    <m/>
    <m/>
    <m/>
    <n v="0"/>
    <n v="0"/>
    <n v="0"/>
    <n v="0"/>
    <n v="0"/>
    <n v="0"/>
    <n v="0"/>
    <n v="0"/>
    <n v="0"/>
    <n v="0"/>
    <n v="0"/>
    <n v="0"/>
    <n v="0"/>
    <n v="0"/>
    <n v="0"/>
    <n v="0"/>
    <n v="0"/>
    <n v="0"/>
    <s v="MMR001CMP172"/>
    <x v="0"/>
    <x v="1"/>
    <s v=""/>
    <n v="0"/>
    <s v="No"/>
  </r>
  <r>
    <n v="52.733333333333334"/>
    <d v="2012-12-31T00:00:00"/>
    <x v="2"/>
    <s v="DRC"/>
    <s v="Kachin"/>
    <s v="Hpakant"/>
    <s v="Mashi Kahtawng Baptist  Church"/>
    <n v="57"/>
    <m/>
    <m/>
    <m/>
    <m/>
    <m/>
    <m/>
    <m/>
    <n v="0"/>
    <n v="0"/>
    <m/>
    <m/>
    <m/>
    <m/>
    <m/>
    <m/>
    <m/>
    <n v="0"/>
    <n v="0"/>
    <n v="0"/>
    <n v="0"/>
    <n v="0"/>
    <n v="0"/>
    <n v="0"/>
    <n v="0"/>
    <n v="0"/>
    <n v="0"/>
    <n v="0"/>
    <n v="0"/>
    <n v="0"/>
    <n v="0"/>
    <n v="0"/>
    <n v="0"/>
    <n v="0"/>
    <n v="0"/>
    <s v="MMR001CMP094"/>
    <x v="0"/>
    <x v="1"/>
    <s v=""/>
    <s v=""/>
    <s v="No"/>
  </r>
  <r>
    <n v="52.733333333333334"/>
    <d v="2012-12-31T00:00:00"/>
    <x v="2"/>
    <s v="DRC"/>
    <s v="Kachin"/>
    <s v="Hpakant"/>
    <s v="Mashi Kahtawng Catholic Church"/>
    <n v="2"/>
    <m/>
    <m/>
    <m/>
    <m/>
    <m/>
    <m/>
    <m/>
    <n v="0"/>
    <n v="0"/>
    <m/>
    <m/>
    <m/>
    <m/>
    <m/>
    <m/>
    <m/>
    <n v="0"/>
    <n v="0"/>
    <n v="0"/>
    <n v="0"/>
    <n v="0"/>
    <n v="0"/>
    <n v="0"/>
    <n v="0"/>
    <n v="0"/>
    <n v="0"/>
    <n v="0"/>
    <n v="0"/>
    <n v="0"/>
    <n v="0"/>
    <n v="0"/>
    <n v="0"/>
    <n v="0"/>
    <n v="0"/>
    <s v="MMR001CMP093"/>
    <x v="0"/>
    <x v="1"/>
    <s v=""/>
    <s v=""/>
    <s v="No"/>
  </r>
  <r>
    <n v="52.733333333333334"/>
    <d v="2012-12-31T00:00:00"/>
    <x v="2"/>
    <s v="DRC"/>
    <s v="Kachin"/>
    <s v="Hpakant"/>
    <s v="Maw Si Zar, Thiriyardanar Sein, Damma Compound, Lone Khin"/>
    <n v="3"/>
    <m/>
    <m/>
    <m/>
    <m/>
    <m/>
    <m/>
    <m/>
    <n v="0"/>
    <n v="0"/>
    <m/>
    <m/>
    <m/>
    <m/>
    <m/>
    <m/>
    <m/>
    <n v="0"/>
    <n v="0"/>
    <n v="0"/>
    <n v="0"/>
    <n v="0"/>
    <n v="0"/>
    <n v="0"/>
    <n v="0"/>
    <n v="0"/>
    <n v="0"/>
    <n v="0"/>
    <n v="0"/>
    <n v="0"/>
    <n v="0"/>
    <n v="0"/>
    <n v="0"/>
    <n v="0"/>
    <n v="0"/>
    <s v="MMR001CMP106"/>
    <x v="0"/>
    <x v="1"/>
    <s v=""/>
    <s v=""/>
    <s v="No"/>
  </r>
  <r>
    <n v="52.733333333333334"/>
    <d v="2012-12-31T00:00:00"/>
    <x v="2"/>
    <s v="DRC"/>
    <s v="Kachin"/>
    <s v="Hpakant"/>
    <s v="Maw Wan, Kachin Baptist Church"/>
    <n v="10"/>
    <m/>
    <m/>
    <m/>
    <m/>
    <m/>
    <m/>
    <m/>
    <n v="0"/>
    <n v="0"/>
    <m/>
    <m/>
    <m/>
    <m/>
    <m/>
    <m/>
    <m/>
    <n v="0"/>
    <n v="0"/>
    <n v="0"/>
    <n v="0"/>
    <n v="0"/>
    <n v="0"/>
    <n v="0"/>
    <n v="0"/>
    <n v="0"/>
    <n v="0"/>
    <n v="0"/>
    <n v="0"/>
    <n v="0"/>
    <n v="0"/>
    <n v="0"/>
    <n v="0"/>
    <n v="0"/>
    <n v="0"/>
    <s v="MMR001CMP085"/>
    <x v="0"/>
    <x v="1"/>
    <s v=""/>
    <s v=""/>
    <s v="No"/>
  </r>
  <r>
    <n v="52.733333333333334"/>
    <d v="2012-12-31T00:00:00"/>
    <x v="2"/>
    <s v="DRC"/>
    <s v="Kachin"/>
    <s v="Hpakant"/>
    <s v="May Di Ka Rama Monastery(Lon Khin)"/>
    <n v="5"/>
    <m/>
    <m/>
    <m/>
    <m/>
    <m/>
    <m/>
    <m/>
    <n v="0"/>
    <n v="0"/>
    <m/>
    <m/>
    <m/>
    <m/>
    <m/>
    <m/>
    <m/>
    <n v="0"/>
    <n v="0"/>
    <n v="0"/>
    <n v="0"/>
    <n v="0"/>
    <n v="0"/>
    <n v="0"/>
    <n v="0"/>
    <n v="0"/>
    <n v="0"/>
    <n v="0"/>
    <n v="0"/>
    <n v="0"/>
    <n v="0"/>
    <n v="0"/>
    <n v="0"/>
    <n v="0"/>
    <n v="0"/>
    <s v="MMR001CMP178"/>
    <x v="0"/>
    <x v="1"/>
    <s v=""/>
    <s v=""/>
    <s v="No"/>
  </r>
  <r>
    <n v="52.733333333333334"/>
    <d v="2012-12-31T00:00:00"/>
    <x v="2"/>
    <s v="DRC"/>
    <s v="Kachin"/>
    <s v="Hpakant"/>
    <s v="Muring Baptist Church, Awng Ra, Wa Ra Zut VT"/>
    <n v="1"/>
    <m/>
    <m/>
    <m/>
    <m/>
    <m/>
    <m/>
    <m/>
    <n v="0"/>
    <n v="0"/>
    <m/>
    <m/>
    <m/>
    <m/>
    <m/>
    <m/>
    <m/>
    <n v="0"/>
    <n v="0"/>
    <n v="0"/>
    <n v="0"/>
    <n v="0"/>
    <n v="0"/>
    <n v="0"/>
    <n v="0"/>
    <n v="0"/>
    <n v="0"/>
    <n v="0"/>
    <n v="0"/>
    <n v="0"/>
    <n v="0"/>
    <n v="0"/>
    <n v="0"/>
    <n v="0"/>
    <n v="0"/>
    <s v="MMR001CMP177"/>
    <x v="0"/>
    <x v="1"/>
    <s v=""/>
    <n v="0"/>
    <s v="No"/>
  </r>
  <r>
    <n v="52.733333333333334"/>
    <d v="2012-12-31T00:00:00"/>
    <x v="2"/>
    <s v="DRC"/>
    <s v="Kachin"/>
    <s v="Myitkyina"/>
    <s v="Myay Myint Baptist Church"/>
    <n v="12"/>
    <m/>
    <m/>
    <m/>
    <m/>
    <m/>
    <m/>
    <m/>
    <n v="0"/>
    <n v="0"/>
    <m/>
    <m/>
    <m/>
    <m/>
    <m/>
    <m/>
    <m/>
    <n v="0"/>
    <n v="0"/>
    <n v="0"/>
    <n v="0"/>
    <n v="0"/>
    <n v="0"/>
    <n v="0"/>
    <n v="0"/>
    <n v="0"/>
    <n v="0"/>
    <n v="0"/>
    <n v="0"/>
    <n v="0"/>
    <n v="0"/>
    <n v="0"/>
    <n v="0"/>
    <n v="0"/>
    <n v="0"/>
    <s v="MMR001CMP017"/>
    <x v="0"/>
    <x v="1"/>
    <s v="P4"/>
    <n v="0"/>
    <s v="No"/>
  </r>
  <r>
    <n v="52.733333333333334"/>
    <d v="2012-12-31T00:00:00"/>
    <x v="2"/>
    <s v="DRC"/>
    <s v="Kachin"/>
    <s v="Hpakant"/>
    <s v="Nga Pyaw Taw Roman Catholic Church"/>
    <n v="3"/>
    <m/>
    <m/>
    <m/>
    <m/>
    <m/>
    <m/>
    <m/>
    <n v="0"/>
    <n v="0"/>
    <m/>
    <m/>
    <m/>
    <m/>
    <m/>
    <m/>
    <m/>
    <n v="0"/>
    <n v="0"/>
    <n v="0"/>
    <n v="0"/>
    <n v="0"/>
    <n v="0"/>
    <n v="0"/>
    <n v="0"/>
    <n v="0"/>
    <n v="0"/>
    <n v="0"/>
    <n v="0"/>
    <n v="0"/>
    <n v="0"/>
    <n v="0"/>
    <n v="0"/>
    <n v="0"/>
    <n v="0"/>
    <s v="MMR001CMP083"/>
    <x v="0"/>
    <x v="1"/>
    <s v=""/>
    <s v=""/>
    <s v="No"/>
  </r>
  <r>
    <n v="52.733333333333334"/>
    <d v="2012-12-31T00:00:00"/>
    <x v="2"/>
    <s v="DRC"/>
    <s v="Kachin"/>
    <s v="Hpakant"/>
    <s v="Wrad(5) Christian Association"/>
    <n v="3"/>
    <m/>
    <m/>
    <m/>
    <m/>
    <m/>
    <m/>
    <m/>
    <n v="0"/>
    <n v="0"/>
    <m/>
    <m/>
    <m/>
    <m/>
    <m/>
    <m/>
    <m/>
    <n v="0"/>
    <n v="0"/>
    <n v="0"/>
    <n v="0"/>
    <n v="0"/>
    <n v="0"/>
    <n v="0"/>
    <n v="0"/>
    <n v="0"/>
    <n v="0"/>
    <n v="0"/>
    <n v="0"/>
    <n v="0"/>
    <n v="0"/>
    <n v="0"/>
    <n v="0"/>
    <n v="0"/>
    <n v="0"/>
    <s v="MMR001CMP175"/>
    <x v="0"/>
    <x v="1"/>
    <s v=""/>
    <s v=""/>
    <s v="No"/>
  </r>
  <r>
    <n v="52.533333333333331"/>
    <d v="2013-01-06T00:00:00"/>
    <x v="1"/>
    <s v="Solidarities"/>
    <s v="Kachin"/>
    <s v="Mansi"/>
    <s v="Mansi Baptist Church"/>
    <n v="351"/>
    <m/>
    <m/>
    <m/>
    <m/>
    <m/>
    <m/>
    <m/>
    <n v="0"/>
    <n v="0"/>
    <m/>
    <m/>
    <m/>
    <m/>
    <m/>
    <m/>
    <m/>
    <n v="0"/>
    <n v="0"/>
    <n v="0"/>
    <n v="0"/>
    <n v="0"/>
    <n v="0"/>
    <n v="0"/>
    <n v="0"/>
    <n v="0"/>
    <n v="0"/>
    <n v="0"/>
    <n v="0"/>
    <n v="0"/>
    <n v="0"/>
    <n v="0"/>
    <n v="0"/>
    <n v="0"/>
    <n v="0"/>
    <s v="MMR001CMP066"/>
    <x v="0"/>
    <x v="0"/>
    <s v="P4"/>
    <n v="0"/>
    <s v="No"/>
  </r>
  <r>
    <n v="52.466666666666669"/>
    <d v="2013-01-08T00:00:00"/>
    <x v="1"/>
    <s v="Solidarities"/>
    <s v="Kachin"/>
    <s v="Momauk"/>
    <s v="Loi Je Catholic Church"/>
    <n v="353"/>
    <m/>
    <m/>
    <m/>
    <m/>
    <m/>
    <m/>
    <m/>
    <n v="0"/>
    <n v="0"/>
    <m/>
    <m/>
    <m/>
    <m/>
    <m/>
    <m/>
    <m/>
    <n v="0"/>
    <n v="0"/>
    <n v="0"/>
    <n v="0"/>
    <n v="0"/>
    <n v="0"/>
    <n v="0"/>
    <n v="0"/>
    <n v="0"/>
    <n v="0"/>
    <n v="0"/>
    <n v="0"/>
    <n v="0"/>
    <n v="0"/>
    <n v="0"/>
    <n v="0"/>
    <n v="0"/>
    <n v="0"/>
    <s v="MMR001CMP069"/>
    <x v="0"/>
    <x v="0"/>
    <s v="P3"/>
    <n v="0"/>
    <s v="No"/>
  </r>
  <r>
    <n v="52.466666666666669"/>
    <d v="2013-01-08T00:00:00"/>
    <x v="1"/>
    <s v="Solidarities"/>
    <s v="Kachin"/>
    <s v="Bhamo"/>
    <s v="Yoe Kyi Monastery"/>
    <n v="132"/>
    <m/>
    <m/>
    <m/>
    <m/>
    <m/>
    <m/>
    <m/>
    <n v="0"/>
    <n v="0"/>
    <m/>
    <m/>
    <m/>
    <m/>
    <m/>
    <m/>
    <m/>
    <n v="0"/>
    <n v="0"/>
    <n v="0"/>
    <n v="0"/>
    <n v="0"/>
    <n v="0"/>
    <n v="0"/>
    <n v="0"/>
    <n v="0"/>
    <n v="0"/>
    <n v="0"/>
    <n v="0"/>
    <n v="0"/>
    <n v="0"/>
    <n v="0"/>
    <n v="0"/>
    <n v="0"/>
    <n v="0"/>
    <s v="MMR001CMP053"/>
    <x v="0"/>
    <x v="0"/>
    <s v="P4"/>
    <n v="0"/>
    <s v="No"/>
  </r>
  <r>
    <n v="52.43333333333333"/>
    <d v="2013-01-09T00:00:00"/>
    <x v="1"/>
    <s v="Solidarities"/>
    <s v="Kachin"/>
    <s v="Bhamo"/>
    <s v="Lisu Boarding-House"/>
    <n v="205"/>
    <m/>
    <m/>
    <m/>
    <m/>
    <m/>
    <m/>
    <m/>
    <n v="0"/>
    <n v="0"/>
    <m/>
    <m/>
    <m/>
    <m/>
    <m/>
    <m/>
    <m/>
    <n v="0"/>
    <n v="0"/>
    <n v="0"/>
    <n v="0"/>
    <n v="0"/>
    <n v="0"/>
    <n v="0"/>
    <n v="0"/>
    <n v="0"/>
    <n v="0"/>
    <n v="0"/>
    <n v="0"/>
    <n v="0"/>
    <n v="0"/>
    <n v="0"/>
    <n v="0"/>
    <n v="0"/>
    <n v="0"/>
    <s v="MMR001CMP049"/>
    <x v="0"/>
    <x v="0"/>
    <s v="P4"/>
    <n v="0"/>
    <s v="No"/>
  </r>
  <r>
    <n v="52.4"/>
    <d v="2013-01-10T00:00:00"/>
    <x v="1"/>
    <s v="Solidarities"/>
    <s v="Kachin"/>
    <s v="Bhamo"/>
    <s v="Htoi San Church"/>
    <n v="212"/>
    <m/>
    <m/>
    <m/>
    <m/>
    <m/>
    <m/>
    <m/>
    <n v="0"/>
    <n v="0"/>
    <m/>
    <m/>
    <m/>
    <m/>
    <m/>
    <m/>
    <m/>
    <n v="0"/>
    <n v="0"/>
    <n v="0"/>
    <n v="0"/>
    <n v="0"/>
    <n v="0"/>
    <n v="0"/>
    <n v="0"/>
    <n v="0"/>
    <n v="0"/>
    <n v="0"/>
    <n v="0"/>
    <n v="0"/>
    <n v="0"/>
    <n v="0"/>
    <n v="0"/>
    <n v="0"/>
    <n v="0"/>
    <s v="MMR001CMP052"/>
    <x v="0"/>
    <x v="0"/>
    <s v="P4"/>
    <n v="0"/>
    <s v="No"/>
  </r>
  <r>
    <n v="52.266666666666666"/>
    <d v="2013-01-14T00:00:00"/>
    <x v="1"/>
    <s v="Solidarities"/>
    <s v="Kachin"/>
    <s v="Bhamo"/>
    <s v="AD-2000 Tharthana Compound"/>
    <n v="940"/>
    <m/>
    <m/>
    <m/>
    <m/>
    <m/>
    <m/>
    <m/>
    <n v="0"/>
    <n v="0"/>
    <m/>
    <m/>
    <m/>
    <m/>
    <m/>
    <m/>
    <m/>
    <n v="0"/>
    <n v="0"/>
    <n v="0"/>
    <n v="0"/>
    <n v="0"/>
    <n v="0"/>
    <n v="0"/>
    <n v="0"/>
    <n v="0"/>
    <n v="0"/>
    <n v="0"/>
    <n v="0"/>
    <n v="0"/>
    <n v="0"/>
    <n v="0"/>
    <n v="0"/>
    <n v="0"/>
    <n v="0"/>
    <s v="MMR001CMP050"/>
    <x v="0"/>
    <x v="0"/>
    <s v="P4"/>
    <n v="0"/>
    <s v="No"/>
  </r>
  <r>
    <n v="52.2"/>
    <d v="2013-01-16T00:00:00"/>
    <x v="1"/>
    <s v="Solidarities"/>
    <s v="Kachin"/>
    <s v="Momauk"/>
    <s v="Momauk Baptist Church"/>
    <n v="1215"/>
    <m/>
    <m/>
    <m/>
    <m/>
    <m/>
    <m/>
    <m/>
    <n v="0"/>
    <n v="0"/>
    <m/>
    <m/>
    <m/>
    <m/>
    <m/>
    <m/>
    <m/>
    <n v="0"/>
    <n v="0"/>
    <n v="0"/>
    <n v="0"/>
    <n v="0"/>
    <n v="0"/>
    <n v="0"/>
    <n v="0"/>
    <n v="0"/>
    <n v="0"/>
    <n v="0"/>
    <n v="0"/>
    <n v="0"/>
    <n v="0"/>
    <n v="0"/>
    <n v="0"/>
    <n v="0"/>
    <n v="0"/>
    <s v="MMR001CMP056"/>
    <x v="0"/>
    <x v="0"/>
    <s v="P4"/>
    <n v="0"/>
    <s v="No"/>
  </r>
  <r>
    <n v="52.033333333333331"/>
    <d v="2013-01-21T00:00:00"/>
    <x v="1"/>
    <s v="Solidarities"/>
    <s v="Kachin"/>
    <s v="Bhamo"/>
    <s v="Nant Hlaing Church"/>
    <n v="85"/>
    <m/>
    <m/>
    <m/>
    <m/>
    <m/>
    <m/>
    <m/>
    <n v="0"/>
    <n v="0"/>
    <m/>
    <m/>
    <m/>
    <m/>
    <m/>
    <m/>
    <m/>
    <n v="0"/>
    <n v="0"/>
    <n v="0"/>
    <n v="0"/>
    <n v="0"/>
    <n v="0"/>
    <n v="0"/>
    <n v="0"/>
    <n v="0"/>
    <n v="0"/>
    <n v="0"/>
    <n v="0"/>
    <n v="0"/>
    <n v="0"/>
    <n v="0"/>
    <n v="0"/>
    <n v="0"/>
    <n v="0"/>
    <s v="MMR001CMP054"/>
    <x v="0"/>
    <x v="0"/>
    <s v="P4"/>
    <n v="0"/>
    <s v="No"/>
  </r>
  <r>
    <n v="52"/>
    <d v="2013-01-22T00:00:00"/>
    <x v="1"/>
    <s v="Solidarities"/>
    <s v="Kachin"/>
    <s v="Bhamo"/>
    <s v="Robert Church"/>
    <n v="1824"/>
    <m/>
    <m/>
    <m/>
    <m/>
    <m/>
    <m/>
    <m/>
    <n v="0"/>
    <n v="0"/>
    <m/>
    <m/>
    <m/>
    <m/>
    <m/>
    <m/>
    <m/>
    <n v="0"/>
    <n v="0"/>
    <n v="0"/>
    <n v="0"/>
    <n v="0"/>
    <n v="0"/>
    <n v="0"/>
    <n v="0"/>
    <n v="0"/>
    <n v="0"/>
    <n v="0"/>
    <n v="0"/>
    <n v="0"/>
    <n v="0"/>
    <n v="0"/>
    <n v="0"/>
    <n v="0"/>
    <n v="0"/>
    <s v="MMR001CMP047"/>
    <x v="0"/>
    <x v="0"/>
    <s v="P4"/>
    <n v="0"/>
    <s v="No"/>
  </r>
  <r>
    <n v="51.93333333333333"/>
    <d v="2013-01-24T00:00:00"/>
    <x v="1"/>
    <s v="Solidarities"/>
    <s v="Kachin"/>
    <s v="Momauk"/>
    <s v="Man Bung Catholic compound"/>
    <n v="200"/>
    <m/>
    <m/>
    <m/>
    <m/>
    <m/>
    <m/>
    <m/>
    <n v="0"/>
    <n v="0"/>
    <m/>
    <m/>
    <m/>
    <m/>
    <m/>
    <m/>
    <m/>
    <n v="0"/>
    <n v="0"/>
    <n v="0"/>
    <n v="0"/>
    <n v="0"/>
    <n v="0"/>
    <n v="0"/>
    <n v="0"/>
    <n v="0"/>
    <n v="0"/>
    <n v="0"/>
    <n v="0"/>
    <n v="0"/>
    <n v="0"/>
    <n v="0"/>
    <n v="0"/>
    <n v="0"/>
    <n v="0"/>
    <s v="MMR001CMP062"/>
    <x v="0"/>
    <x v="0"/>
    <s v="P4"/>
    <n v="0"/>
    <s v="No"/>
  </r>
  <r>
    <n v="51.93333333333333"/>
    <d v="2013-01-24T00:00:00"/>
    <x v="1"/>
    <s v="Solidarities"/>
    <s v="Kachin"/>
    <s v="Momauk"/>
    <s v="Momauk Catholic Church (St. Patrick)"/>
    <n v="793"/>
    <m/>
    <m/>
    <m/>
    <m/>
    <m/>
    <m/>
    <m/>
    <n v="0"/>
    <n v="0"/>
    <m/>
    <m/>
    <m/>
    <m/>
    <m/>
    <m/>
    <m/>
    <n v="0"/>
    <n v="0"/>
    <n v="0"/>
    <n v="0"/>
    <n v="0"/>
    <n v="0"/>
    <n v="0"/>
    <n v="0"/>
    <n v="0"/>
    <n v="0"/>
    <n v="0"/>
    <n v="0"/>
    <n v="0"/>
    <n v="0"/>
    <n v="0"/>
    <n v="0"/>
    <n v="0"/>
    <n v="0"/>
    <s v="MMR001CMP057"/>
    <x v="0"/>
    <x v="1"/>
    <s v="P4"/>
    <n v="0"/>
    <s v="No"/>
  </r>
  <r>
    <n v="51.9"/>
    <d v="2013-01-25T00:00:00"/>
    <x v="1"/>
    <s v="Solidarities"/>
    <s v="Kachin"/>
    <s v="Momauk"/>
    <s v="Ni Thaw Ka Monestry"/>
    <n v="75"/>
    <m/>
    <m/>
    <m/>
    <m/>
    <m/>
    <m/>
    <m/>
    <n v="0"/>
    <n v="0"/>
    <m/>
    <m/>
    <m/>
    <m/>
    <m/>
    <m/>
    <m/>
    <n v="0"/>
    <n v="0"/>
    <n v="0"/>
    <n v="0"/>
    <n v="0"/>
    <n v="0"/>
    <n v="0"/>
    <n v="0"/>
    <n v="0"/>
    <n v="0"/>
    <n v="0"/>
    <n v="0"/>
    <n v="0"/>
    <n v="0"/>
    <n v="0"/>
    <n v="0"/>
    <n v="0"/>
    <n v="0"/>
    <s v="MMR001CMP059"/>
    <x v="0"/>
    <x v="1"/>
    <s v="P4"/>
    <n v="0"/>
    <s v="No"/>
  </r>
  <r>
    <n v="51.766666666666666"/>
    <d v="2013-01-29T00:00:00"/>
    <x v="1"/>
    <s v="LDO"/>
    <s v="Kachin"/>
    <s v="Shwegu"/>
    <s v="Shwe Gu Catholic Church"/>
    <n v="177"/>
    <m/>
    <m/>
    <m/>
    <m/>
    <m/>
    <m/>
    <m/>
    <n v="0"/>
    <n v="0"/>
    <m/>
    <m/>
    <m/>
    <m/>
    <m/>
    <m/>
    <m/>
    <n v="0"/>
    <n v="0"/>
    <n v="0"/>
    <n v="0"/>
    <n v="0"/>
    <n v="0"/>
    <n v="0"/>
    <n v="0"/>
    <n v="0"/>
    <n v="0"/>
    <n v="0"/>
    <n v="0"/>
    <n v="0"/>
    <n v="0"/>
    <n v="0"/>
    <n v="0"/>
    <n v="0"/>
    <n v="0"/>
    <s v="MMR001CMP068"/>
    <x v="0"/>
    <x v="0"/>
    <s v="P4"/>
    <n v="0"/>
    <s v="No"/>
  </r>
  <r>
    <n v="51.733333333333334"/>
    <d v="2013-01-30T00:00:00"/>
    <x v="1"/>
    <s v="LDO"/>
    <s v="Kachin"/>
    <s v="Shwegu"/>
    <s v="Shwe Gu Baptist Church"/>
    <n v="272"/>
    <m/>
    <m/>
    <m/>
    <m/>
    <m/>
    <m/>
    <m/>
    <n v="0"/>
    <n v="0"/>
    <m/>
    <m/>
    <m/>
    <m/>
    <m/>
    <m/>
    <m/>
    <n v="0"/>
    <n v="0"/>
    <n v="0"/>
    <n v="0"/>
    <n v="0"/>
    <n v="0"/>
    <n v="0"/>
    <n v="0"/>
    <n v="0"/>
    <n v="0"/>
    <n v="0"/>
    <n v="0"/>
    <n v="0"/>
    <n v="0"/>
    <n v="0"/>
    <n v="0"/>
    <n v="0"/>
    <n v="0"/>
    <s v="MMR001CMP067"/>
    <x v="0"/>
    <x v="0"/>
    <s v="P4"/>
    <n v="0"/>
    <s v="No"/>
  </r>
  <r>
    <n v="51.7"/>
    <d v="2013-01-31T00:00:00"/>
    <x v="3"/>
    <s v="World Vision"/>
    <s v="Kachin"/>
    <s v="Waingmaw"/>
    <s v="Hkat Cho "/>
    <m/>
    <m/>
    <m/>
    <m/>
    <m/>
    <n v="256"/>
    <m/>
    <m/>
    <n v="0"/>
    <n v="0"/>
    <m/>
    <m/>
    <m/>
    <m/>
    <m/>
    <m/>
    <m/>
    <n v="0"/>
    <n v="0"/>
    <n v="0"/>
    <n v="0"/>
    <n v="0"/>
    <n v="0"/>
    <n v="0"/>
    <n v="0"/>
    <n v="0"/>
    <n v="0"/>
    <n v="0"/>
    <n v="0"/>
    <n v="0"/>
    <n v="0"/>
    <n v="0"/>
    <n v="0"/>
    <n v="0"/>
    <n v="0"/>
    <s v="MMR001CMP028"/>
    <x v="0"/>
    <x v="0"/>
    <s v="P4"/>
    <n v="0"/>
    <s v="No"/>
  </r>
  <r>
    <n v="51.7"/>
    <d v="2013-01-31T00:00:00"/>
    <x v="3"/>
    <s v="World Vision"/>
    <s v="Kachin"/>
    <s v="Waingmaw"/>
    <s v="Mading Baptist Church"/>
    <m/>
    <m/>
    <m/>
    <m/>
    <m/>
    <n v="42"/>
    <m/>
    <m/>
    <n v="0"/>
    <n v="0"/>
    <m/>
    <m/>
    <m/>
    <m/>
    <m/>
    <m/>
    <m/>
    <n v="0"/>
    <n v="0"/>
    <n v="0"/>
    <n v="0"/>
    <n v="0"/>
    <n v="0"/>
    <n v="0"/>
    <n v="0"/>
    <n v="0"/>
    <n v="0"/>
    <n v="0"/>
    <n v="0"/>
    <n v="0"/>
    <n v="0"/>
    <n v="0"/>
    <n v="0"/>
    <n v="0"/>
    <n v="0"/>
    <s v="MMR001CMP027"/>
    <x v="0"/>
    <x v="0"/>
    <s v="P4"/>
    <n v="0"/>
    <s v="No"/>
  </r>
  <r>
    <n v="51.7"/>
    <d v="2013-01-31T00:00:00"/>
    <x v="3"/>
    <s v="World Vision"/>
    <s v="Kachin"/>
    <s v="Waingmaw"/>
    <s v="Maina AG Church"/>
    <m/>
    <m/>
    <m/>
    <m/>
    <m/>
    <n v="128"/>
    <m/>
    <m/>
    <n v="0"/>
    <n v="0"/>
    <m/>
    <m/>
    <m/>
    <m/>
    <m/>
    <m/>
    <m/>
    <n v="0"/>
    <n v="0"/>
    <n v="0"/>
    <n v="0"/>
    <n v="0"/>
    <n v="0"/>
    <n v="0"/>
    <n v="0"/>
    <n v="0"/>
    <n v="0"/>
    <n v="0"/>
    <n v="0"/>
    <n v="0"/>
    <n v="0"/>
    <n v="0"/>
    <n v="0"/>
    <n v="0"/>
    <n v="0"/>
    <s v="MMR001CMP031"/>
    <x v="0"/>
    <x v="0"/>
    <s v="P4"/>
    <n v="0"/>
    <s v="No"/>
  </r>
  <r>
    <n v="51.7"/>
    <d v="2013-01-31T00:00:00"/>
    <x v="3"/>
    <s v="World Vision"/>
    <s v="Kachin"/>
    <s v="Waingmaw"/>
    <s v="Maina Catholic Church (St. Joseph)"/>
    <m/>
    <m/>
    <m/>
    <m/>
    <m/>
    <n v="442"/>
    <m/>
    <m/>
    <n v="0"/>
    <n v="0"/>
    <m/>
    <m/>
    <m/>
    <m/>
    <m/>
    <m/>
    <m/>
    <n v="0"/>
    <n v="0"/>
    <n v="0"/>
    <n v="0"/>
    <n v="0"/>
    <n v="0"/>
    <n v="0"/>
    <n v="0"/>
    <n v="0"/>
    <n v="0"/>
    <n v="0"/>
    <n v="0"/>
    <n v="0"/>
    <n v="0"/>
    <n v="0"/>
    <n v="0"/>
    <n v="0"/>
    <n v="0"/>
    <s v="MMR001CMP029"/>
    <x v="0"/>
    <x v="0"/>
    <s v="P4"/>
    <n v="0"/>
    <s v="No"/>
  </r>
  <r>
    <n v="51.7"/>
    <d v="2013-01-31T00:00:00"/>
    <x v="3"/>
    <s v="World Vision"/>
    <s v="Kachin"/>
    <s v="Waingmaw"/>
    <s v="Maina KBC (Bawng Ring)"/>
    <m/>
    <m/>
    <m/>
    <m/>
    <m/>
    <n v="324"/>
    <m/>
    <m/>
    <n v="0"/>
    <n v="0"/>
    <m/>
    <m/>
    <m/>
    <m/>
    <m/>
    <m/>
    <m/>
    <n v="0"/>
    <n v="0"/>
    <n v="0"/>
    <n v="0"/>
    <n v="0"/>
    <n v="0"/>
    <n v="0"/>
    <n v="0"/>
    <n v="0"/>
    <n v="0"/>
    <n v="0"/>
    <n v="0"/>
    <n v="0"/>
    <n v="0"/>
    <n v="0"/>
    <n v="0"/>
    <n v="0"/>
    <n v="0"/>
    <s v="MMR001CMP040"/>
    <x v="0"/>
    <x v="0"/>
    <s v="P4"/>
    <n v="0"/>
    <s v="No"/>
  </r>
  <r>
    <n v="51.7"/>
    <d v="2013-01-31T00:00:00"/>
    <x v="3"/>
    <s v="World Vision"/>
    <s v="Kachin"/>
    <s v="Waingmaw"/>
    <s v="Maina Lawang Baptist Church"/>
    <m/>
    <m/>
    <m/>
    <m/>
    <m/>
    <n v="94"/>
    <m/>
    <m/>
    <n v="0"/>
    <n v="0"/>
    <m/>
    <m/>
    <m/>
    <m/>
    <m/>
    <m/>
    <m/>
    <n v="0"/>
    <n v="0"/>
    <n v="0"/>
    <n v="0"/>
    <n v="0"/>
    <n v="0"/>
    <n v="0"/>
    <n v="0"/>
    <n v="0"/>
    <n v="0"/>
    <n v="0"/>
    <n v="0"/>
    <n v="0"/>
    <n v="0"/>
    <n v="0"/>
    <n v="0"/>
    <n v="0"/>
    <n v="0"/>
    <s v="MMR001CMP039"/>
    <x v="0"/>
    <x v="0"/>
    <s v="P4"/>
    <n v="0"/>
    <s v="No"/>
  </r>
  <r>
    <n v="51.7"/>
    <d v="2013-01-31T00:00:00"/>
    <x v="3"/>
    <s v="World Vision"/>
    <s v="Kachin"/>
    <s v="Waingmaw"/>
    <s v="Qtr. 2 Lhaovo Baptist Church"/>
    <m/>
    <m/>
    <m/>
    <m/>
    <m/>
    <n v="184"/>
    <m/>
    <m/>
    <n v="0"/>
    <n v="0"/>
    <m/>
    <m/>
    <m/>
    <m/>
    <m/>
    <m/>
    <m/>
    <n v="0"/>
    <n v="0"/>
    <n v="0"/>
    <n v="0"/>
    <n v="0"/>
    <n v="0"/>
    <n v="0"/>
    <n v="0"/>
    <n v="0"/>
    <n v="0"/>
    <n v="0"/>
    <n v="0"/>
    <n v="0"/>
    <n v="0"/>
    <n v="0"/>
    <n v="0"/>
    <n v="0"/>
    <n v="0"/>
    <s v="MMR001CMP032"/>
    <x v="0"/>
    <x v="0"/>
    <s v="P4"/>
    <n v="0"/>
    <s v="No"/>
  </r>
  <r>
    <n v="51.7"/>
    <d v="2013-01-31T00:00:00"/>
    <x v="3"/>
    <s v="World Vision"/>
    <s v="Kachin"/>
    <s v="Waingmaw"/>
    <s v="Qtr. 2 Myoma Baptist Church"/>
    <m/>
    <m/>
    <m/>
    <m/>
    <m/>
    <n v="242"/>
    <m/>
    <m/>
    <n v="0"/>
    <n v="0"/>
    <m/>
    <m/>
    <m/>
    <m/>
    <m/>
    <m/>
    <m/>
    <n v="0"/>
    <n v="0"/>
    <n v="0"/>
    <n v="0"/>
    <n v="0"/>
    <n v="0"/>
    <n v="0"/>
    <n v="0"/>
    <n v="0"/>
    <n v="0"/>
    <n v="0"/>
    <n v="0"/>
    <n v="0"/>
    <n v="0"/>
    <n v="0"/>
    <n v="0"/>
    <n v="0"/>
    <n v="0"/>
    <s v="MMR001CMP025"/>
    <x v="0"/>
    <x v="0"/>
    <s v="P4"/>
    <n v="0"/>
    <s v="No"/>
  </r>
  <r>
    <n v="51.7"/>
    <d v="2013-01-31T00:00:00"/>
    <x v="3"/>
    <s v="World Vision"/>
    <s v="Kachin"/>
    <s v="Waingmaw"/>
    <s v="Qtr. 3 Mu-yin  Baptist Church"/>
    <m/>
    <m/>
    <m/>
    <m/>
    <m/>
    <n v="54"/>
    <m/>
    <m/>
    <n v="0"/>
    <n v="0"/>
    <m/>
    <m/>
    <m/>
    <m/>
    <m/>
    <m/>
    <m/>
    <n v="0"/>
    <n v="0"/>
    <n v="0"/>
    <n v="0"/>
    <n v="0"/>
    <n v="0"/>
    <n v="0"/>
    <n v="0"/>
    <n v="0"/>
    <n v="0"/>
    <n v="0"/>
    <n v="0"/>
    <n v="0"/>
    <n v="0"/>
    <n v="0"/>
    <n v="0"/>
    <n v="0"/>
    <n v="0"/>
    <s v="MMR001CMP030"/>
    <x v="0"/>
    <x v="0"/>
    <s v="P4"/>
    <n v="0"/>
    <s v="No"/>
  </r>
  <r>
    <n v="51.7"/>
    <d v="2013-01-31T00:00:00"/>
    <x v="3"/>
    <s v="World Vision"/>
    <s v="Kachin"/>
    <s v="Waingmaw"/>
    <s v="Qtr. 4 Monestry (Thargaya Thayett Taw)"/>
    <m/>
    <m/>
    <m/>
    <m/>
    <m/>
    <n v="188"/>
    <m/>
    <m/>
    <n v="0"/>
    <n v="0"/>
    <m/>
    <m/>
    <m/>
    <m/>
    <m/>
    <m/>
    <m/>
    <n v="0"/>
    <n v="0"/>
    <n v="0"/>
    <n v="0"/>
    <n v="0"/>
    <n v="0"/>
    <n v="0"/>
    <n v="0"/>
    <n v="0"/>
    <n v="0"/>
    <n v="0"/>
    <n v="0"/>
    <n v="0"/>
    <n v="0"/>
    <n v="0"/>
    <n v="0"/>
    <n v="0"/>
    <n v="0"/>
    <s v="MMR001CMP026"/>
    <x v="0"/>
    <x v="0"/>
    <s v="P4"/>
    <n v="0"/>
    <s v="No"/>
  </r>
  <r>
    <n v="51.7"/>
    <d v="2013-01-31T00:00:00"/>
    <x v="3"/>
    <s v="World Vision"/>
    <s v="Kachin"/>
    <s v="Waingmaw"/>
    <s v="Shing Jai"/>
    <m/>
    <m/>
    <m/>
    <m/>
    <m/>
    <n v="358"/>
    <m/>
    <m/>
    <n v="0"/>
    <n v="0"/>
    <m/>
    <m/>
    <m/>
    <m/>
    <m/>
    <m/>
    <m/>
    <n v="0"/>
    <n v="0"/>
    <n v="0"/>
    <n v="0"/>
    <n v="0"/>
    <n v="0"/>
    <n v="0"/>
    <n v="0"/>
    <n v="0"/>
    <n v="0"/>
    <n v="0"/>
    <n v="0"/>
    <n v="0"/>
    <n v="0"/>
    <n v="0"/>
    <n v="0"/>
    <n v="0"/>
    <n v="0"/>
    <s v="MMR001CMP041"/>
    <x v="0"/>
    <x v="0"/>
    <s v="P1"/>
    <n v="0"/>
    <s v="No"/>
  </r>
  <r>
    <n v="51.7"/>
    <d v="2013-01-31T00:00:00"/>
    <x v="3"/>
    <s v="World Vision"/>
    <s v="Kachin"/>
    <s v="Waingmaw"/>
    <s v="Thargaya Lisu Baptist Church"/>
    <m/>
    <m/>
    <m/>
    <m/>
    <m/>
    <n v="122"/>
    <m/>
    <m/>
    <n v="0"/>
    <n v="0"/>
    <m/>
    <m/>
    <m/>
    <m/>
    <m/>
    <m/>
    <m/>
    <n v="0"/>
    <n v="0"/>
    <n v="0"/>
    <n v="0"/>
    <n v="0"/>
    <n v="0"/>
    <n v="0"/>
    <n v="0"/>
    <n v="0"/>
    <n v="0"/>
    <n v="0"/>
    <n v="0"/>
    <n v="0"/>
    <n v="0"/>
    <n v="0"/>
    <n v="0"/>
    <n v="0"/>
    <n v="0"/>
    <s v="MMR001CMP037"/>
    <x v="0"/>
    <x v="0"/>
    <s v="P4"/>
    <n v="0"/>
    <s v="No"/>
  </r>
  <r>
    <n v="51.7"/>
    <d v="2013-01-31T00:00:00"/>
    <x v="3"/>
    <s v="World Vision"/>
    <s v="Kachin"/>
    <s v="Waingmaw"/>
    <s v="Waingmaw AG Church"/>
    <m/>
    <m/>
    <m/>
    <m/>
    <m/>
    <n v="104"/>
    <m/>
    <m/>
    <n v="0"/>
    <n v="0"/>
    <m/>
    <m/>
    <m/>
    <m/>
    <m/>
    <m/>
    <m/>
    <n v="0"/>
    <n v="0"/>
    <n v="0"/>
    <n v="0"/>
    <n v="0"/>
    <n v="0"/>
    <n v="0"/>
    <n v="0"/>
    <n v="0"/>
    <n v="0"/>
    <n v="0"/>
    <n v="0"/>
    <n v="0"/>
    <n v="0"/>
    <n v="0"/>
    <n v="0"/>
    <n v="0"/>
    <n v="0"/>
    <s v="MMR001CMP038"/>
    <x v="0"/>
    <x v="0"/>
    <s v="P4"/>
    <n v="0"/>
    <s v="No"/>
  </r>
  <r>
    <n v="51.7"/>
    <d v="2013-01-31T00:00:00"/>
    <x v="3"/>
    <s v="World Vision"/>
    <s v="Kachin"/>
    <s v="Hpakant"/>
    <s v="Baptist Church, Naung Hmee VT"/>
    <m/>
    <m/>
    <m/>
    <m/>
    <m/>
    <n v="26"/>
    <m/>
    <m/>
    <n v="0"/>
    <n v="0"/>
    <m/>
    <m/>
    <m/>
    <m/>
    <m/>
    <m/>
    <m/>
    <n v="0"/>
    <n v="0"/>
    <n v="0"/>
    <n v="0"/>
    <n v="0"/>
    <n v="0"/>
    <n v="0"/>
    <n v="0"/>
    <n v="0"/>
    <n v="0"/>
    <n v="0"/>
    <n v="0"/>
    <n v="0"/>
    <n v="0"/>
    <n v="0"/>
    <n v="0"/>
    <n v="0"/>
    <n v="0"/>
    <s v="MMR001CMP188"/>
    <x v="0"/>
    <x v="1"/>
    <s v="P4"/>
    <s v=""/>
    <s v="No"/>
  </r>
  <r>
    <n v="51.7"/>
    <d v="2013-01-31T00:00:00"/>
    <x v="3"/>
    <s v="World Vision"/>
    <s v="Kachin"/>
    <s v="Waingmaw"/>
    <s v="Waingmaw Baptist Zonal Office"/>
    <m/>
    <m/>
    <m/>
    <m/>
    <m/>
    <n v="224"/>
    <m/>
    <m/>
    <n v="0"/>
    <n v="0"/>
    <m/>
    <m/>
    <m/>
    <m/>
    <m/>
    <m/>
    <m/>
    <n v="0"/>
    <n v="0"/>
    <n v="0"/>
    <n v="0"/>
    <n v="0"/>
    <n v="0"/>
    <n v="0"/>
    <n v="0"/>
    <n v="0"/>
    <n v="0"/>
    <n v="0"/>
    <n v="0"/>
    <n v="0"/>
    <n v="0"/>
    <n v="0"/>
    <n v="0"/>
    <n v="0"/>
    <n v="0"/>
    <s v="MMR001CMP036"/>
    <x v="0"/>
    <x v="1"/>
    <s v="P4"/>
    <n v="0"/>
    <s v="No"/>
  </r>
  <r>
    <n v="51.56666666666667"/>
    <d v="2013-02-04T00:00:00"/>
    <x v="4"/>
    <s v="MRCS"/>
    <s v="Kachin"/>
    <s v="Hpakant"/>
    <s v="5 Ward Baptist Church(lon Khin)"/>
    <m/>
    <m/>
    <m/>
    <m/>
    <m/>
    <m/>
    <n v="162"/>
    <m/>
    <n v="0"/>
    <n v="0"/>
    <m/>
    <m/>
    <m/>
    <m/>
    <m/>
    <m/>
    <m/>
    <n v="0"/>
    <n v="0"/>
    <n v="0"/>
    <n v="0"/>
    <n v="0"/>
    <n v="0"/>
    <n v="0"/>
    <n v="0"/>
    <n v="0"/>
    <n v="0"/>
    <n v="0"/>
    <n v="0"/>
    <n v="0"/>
    <n v="0"/>
    <n v="0"/>
    <n v="0"/>
    <n v="0"/>
    <n v="0"/>
    <s v="MMR001CMP179"/>
    <x v="0"/>
    <x v="1"/>
    <s v="P4"/>
    <n v="3.9248940036341615E-3"/>
    <s v="No"/>
  </r>
  <r>
    <n v="51.56666666666667"/>
    <d v="2013-02-04T00:00:00"/>
    <x v="4"/>
    <s v="MRCS"/>
    <s v="Kachin"/>
    <s v="Hpakant"/>
    <s v="5 Ward RC Church(lon Khin)"/>
    <m/>
    <m/>
    <m/>
    <m/>
    <m/>
    <m/>
    <n v="117"/>
    <m/>
    <n v="0"/>
    <n v="0"/>
    <m/>
    <m/>
    <m/>
    <m/>
    <m/>
    <m/>
    <m/>
    <n v="0"/>
    <n v="0"/>
    <n v="0"/>
    <n v="0"/>
    <n v="0"/>
    <n v="0"/>
    <n v="0"/>
    <n v="0"/>
    <n v="0"/>
    <n v="0"/>
    <n v="0"/>
    <n v="0"/>
    <n v="0"/>
    <n v="0"/>
    <n v="0"/>
    <n v="0"/>
    <n v="0"/>
    <n v="0"/>
    <s v="MMR001CMP168"/>
    <x v="0"/>
    <x v="0"/>
    <s v="P4"/>
    <n v="2.8346456692913387E-3"/>
    <s v="No"/>
  </r>
  <r>
    <n v="51.56666666666667"/>
    <d v="2013-02-04T00:00:00"/>
    <x v="4"/>
    <s v="MRCS"/>
    <s v="Kachin"/>
    <s v="Hpakant"/>
    <s v="Baptist Church, Hmaw Si Sar(Lon Khin)"/>
    <m/>
    <m/>
    <m/>
    <m/>
    <m/>
    <m/>
    <n v="106"/>
    <m/>
    <n v="0"/>
    <n v="0"/>
    <m/>
    <m/>
    <m/>
    <m/>
    <m/>
    <m/>
    <m/>
    <n v="0"/>
    <n v="0"/>
    <n v="0"/>
    <n v="0"/>
    <n v="0"/>
    <n v="0"/>
    <n v="0"/>
    <n v="0"/>
    <n v="0"/>
    <n v="0"/>
    <n v="0"/>
    <n v="0"/>
    <n v="0"/>
    <n v="0"/>
    <n v="0"/>
    <n v="0"/>
    <n v="0"/>
    <n v="0"/>
    <s v="MMR001CMP169"/>
    <x v="0"/>
    <x v="0"/>
    <s v="P4"/>
    <n v="2.5681405208964263E-3"/>
    <s v="No"/>
  </r>
  <r>
    <n v="51.56666666666667"/>
    <d v="2013-02-04T00:00:00"/>
    <x v="4"/>
    <s v="MRCS"/>
    <s v="Kachin"/>
    <s v="Hpakant"/>
    <s v="Dhama Rakhita, Nyein Chan Tar Yar Ward(Lon Khin)"/>
    <m/>
    <m/>
    <m/>
    <m/>
    <m/>
    <m/>
    <n v="58"/>
    <m/>
    <n v="0"/>
    <n v="0"/>
    <m/>
    <m/>
    <m/>
    <m/>
    <m/>
    <m/>
    <m/>
    <n v="0"/>
    <n v="0"/>
    <n v="0"/>
    <n v="0"/>
    <n v="0"/>
    <n v="0"/>
    <n v="0"/>
    <n v="0"/>
    <n v="0"/>
    <n v="0"/>
    <n v="0"/>
    <n v="0"/>
    <n v="0"/>
    <n v="0"/>
    <n v="0"/>
    <n v="0"/>
    <n v="0"/>
    <n v="0"/>
    <s v="MMR001CMP174"/>
    <x v="0"/>
    <x v="0"/>
    <s v="P4"/>
    <n v="1.4052089642640824E-3"/>
    <s v="No"/>
  </r>
  <r>
    <n v="51.56666666666667"/>
    <d v="2013-02-04T00:00:00"/>
    <x v="0"/>
    <s v="UNHCR"/>
    <s v="Kachin"/>
    <s v="Myitkyina"/>
    <s v="Pa Dauk Myaing(Pa La Na)"/>
    <m/>
    <m/>
    <n v="5"/>
    <n v="8"/>
    <n v="5"/>
    <n v="8"/>
    <n v="5"/>
    <n v="5"/>
    <n v="5"/>
    <n v="5"/>
    <m/>
    <m/>
    <m/>
    <m/>
    <m/>
    <m/>
    <m/>
    <n v="0"/>
    <n v="0"/>
    <n v="0"/>
    <n v="0"/>
    <n v="0"/>
    <n v="0"/>
    <n v="0"/>
    <n v="0"/>
    <n v="0"/>
    <n v="0"/>
    <n v="0"/>
    <n v="0"/>
    <n v="0"/>
    <n v="0"/>
    <n v="0"/>
    <n v="0"/>
    <n v="0"/>
    <n v="0"/>
    <s v="MMR001CMP162"/>
    <x v="0"/>
    <x v="0"/>
    <s v="P4"/>
    <n v="1.2122975463097663E-4"/>
    <s v="No"/>
  </r>
  <r>
    <n v="51.533333333333331"/>
    <d v="2013-02-05T00:00:00"/>
    <x v="4"/>
    <s v="MRCS"/>
    <s v="Kachin"/>
    <s v="Myitkyina"/>
    <s v="Jan Mai Kawng Baptist Church"/>
    <n v="22"/>
    <m/>
    <m/>
    <m/>
    <m/>
    <m/>
    <m/>
    <m/>
    <n v="0"/>
    <n v="0"/>
    <m/>
    <m/>
    <m/>
    <m/>
    <m/>
    <m/>
    <m/>
    <n v="0"/>
    <n v="0"/>
    <n v="0"/>
    <n v="0"/>
    <n v="0"/>
    <n v="0"/>
    <n v="0"/>
    <n v="0"/>
    <n v="0"/>
    <n v="0"/>
    <n v="0"/>
    <n v="0"/>
    <n v="0"/>
    <n v="0"/>
    <n v="0"/>
    <n v="0"/>
    <n v="0"/>
    <n v="0"/>
    <s v="MMR001CMP018"/>
    <x v="0"/>
    <x v="0"/>
    <s v="P4"/>
    <n v="0"/>
    <s v="No"/>
  </r>
  <r>
    <n v="51.533333333333331"/>
    <d v="2013-02-05T00:00:00"/>
    <x v="0"/>
    <s v="UNHCR"/>
    <s v="Kachin"/>
    <s v="Waingmaw"/>
    <s v="Maina AG Church"/>
    <m/>
    <m/>
    <n v="37"/>
    <n v="70"/>
    <n v="34"/>
    <n v="70"/>
    <n v="34"/>
    <n v="34"/>
    <n v="34"/>
    <n v="34"/>
    <m/>
    <m/>
    <m/>
    <m/>
    <m/>
    <m/>
    <m/>
    <n v="0"/>
    <n v="0"/>
    <n v="0"/>
    <n v="0"/>
    <n v="0"/>
    <n v="0"/>
    <n v="0"/>
    <n v="0"/>
    <n v="0"/>
    <n v="0"/>
    <n v="0"/>
    <n v="0"/>
    <n v="0"/>
    <n v="0"/>
    <n v="0"/>
    <n v="0"/>
    <n v="0"/>
    <n v="0"/>
    <s v="MMR001CMP031"/>
    <x v="0"/>
    <x v="0"/>
    <s v="P4"/>
    <n v="8.2014666152064838E-4"/>
    <s v="No"/>
  </r>
  <r>
    <n v="51.533333333333331"/>
    <d v="2013-02-05T00:00:00"/>
    <x v="4"/>
    <s v="MRCS"/>
    <s v="Kachin"/>
    <s v="Waingmaw"/>
    <s v="Maina Catholic Church (St. Joseph)"/>
    <n v="46"/>
    <m/>
    <m/>
    <m/>
    <m/>
    <m/>
    <m/>
    <m/>
    <n v="0"/>
    <n v="0"/>
    <m/>
    <m/>
    <m/>
    <m/>
    <m/>
    <m/>
    <m/>
    <n v="0"/>
    <n v="0"/>
    <n v="0"/>
    <n v="0"/>
    <n v="0"/>
    <n v="0"/>
    <n v="0"/>
    <n v="0"/>
    <n v="0"/>
    <n v="0"/>
    <n v="0"/>
    <n v="0"/>
    <n v="0"/>
    <n v="0"/>
    <n v="0"/>
    <n v="0"/>
    <n v="0"/>
    <n v="0"/>
    <s v="MMR001CMP029"/>
    <x v="0"/>
    <x v="0"/>
    <s v="P4"/>
    <n v="0"/>
    <s v="No"/>
  </r>
  <r>
    <n v="51.533333333333331"/>
    <d v="2013-02-05T00:00:00"/>
    <x v="0"/>
    <s v="UNHCR"/>
    <s v="Kachin"/>
    <s v="Myitkyina"/>
    <s v="Maw Hpawng Lhaovo Baptist Church"/>
    <m/>
    <m/>
    <n v="10"/>
    <n v="16"/>
    <n v="7"/>
    <n v="16"/>
    <n v="7"/>
    <n v="7"/>
    <n v="7"/>
    <n v="7"/>
    <m/>
    <m/>
    <m/>
    <m/>
    <m/>
    <m/>
    <m/>
    <n v="0"/>
    <n v="0"/>
    <n v="0"/>
    <n v="0"/>
    <n v="0"/>
    <n v="0"/>
    <n v="0"/>
    <n v="0"/>
    <n v="0"/>
    <n v="0"/>
    <n v="0"/>
    <n v="0"/>
    <n v="0"/>
    <n v="0"/>
    <n v="0"/>
    <n v="0"/>
    <n v="0"/>
    <n v="0"/>
    <s v="MMR001CMP021"/>
    <x v="0"/>
    <x v="0"/>
    <s v="P4"/>
    <n v="1.7149717029669011E-4"/>
    <s v="No"/>
  </r>
  <r>
    <n v="51.533333333333331"/>
    <d v="2013-02-05T00:00:00"/>
    <x v="4"/>
    <s v="MRCS"/>
    <s v="Kachin"/>
    <s v="Waingmaw"/>
    <s v="Qtr. 4 Monestry (Thargaya Thayett Taw)"/>
    <n v="20"/>
    <m/>
    <m/>
    <m/>
    <m/>
    <m/>
    <m/>
    <m/>
    <n v="0"/>
    <n v="0"/>
    <m/>
    <m/>
    <m/>
    <m/>
    <m/>
    <m/>
    <m/>
    <n v="0"/>
    <n v="0"/>
    <n v="0"/>
    <n v="0"/>
    <n v="0"/>
    <n v="0"/>
    <n v="0"/>
    <n v="0"/>
    <n v="0"/>
    <n v="0"/>
    <n v="0"/>
    <n v="0"/>
    <n v="0"/>
    <n v="0"/>
    <n v="0"/>
    <n v="0"/>
    <n v="0"/>
    <n v="0"/>
    <s v="MMR001CMP026"/>
    <x v="0"/>
    <x v="0"/>
    <s v="P4"/>
    <n v="0"/>
    <s v="No"/>
  </r>
  <r>
    <n v="51.533333333333331"/>
    <d v="2013-02-05T00:00:00"/>
    <x v="4"/>
    <s v="MRCS"/>
    <s v="Kachin"/>
    <s v="Myitkyina"/>
    <s v="Shatapru Sut Ngai Tawng"/>
    <n v="36"/>
    <m/>
    <m/>
    <m/>
    <m/>
    <m/>
    <m/>
    <m/>
    <n v="0"/>
    <n v="0"/>
    <m/>
    <m/>
    <m/>
    <m/>
    <m/>
    <m/>
    <m/>
    <n v="0"/>
    <n v="0"/>
    <n v="0"/>
    <n v="0"/>
    <n v="0"/>
    <n v="0"/>
    <n v="0"/>
    <n v="0"/>
    <n v="0"/>
    <n v="0"/>
    <n v="0"/>
    <n v="0"/>
    <n v="0"/>
    <n v="0"/>
    <n v="0"/>
    <n v="0"/>
    <n v="0"/>
    <n v="0"/>
    <s v="MMR001CMP006"/>
    <x v="0"/>
    <x v="0"/>
    <s v="P4"/>
    <n v="0"/>
    <s v="No"/>
  </r>
  <r>
    <n v="51.5"/>
    <d v="2013-02-06T00:00:00"/>
    <x v="0"/>
    <s v="UNHCR"/>
    <s v="Kachin"/>
    <s v="Waingmaw"/>
    <s v="Qtr. 2 Lhaovo Baptist Church"/>
    <m/>
    <m/>
    <n v="17"/>
    <n v="20"/>
    <n v="15"/>
    <n v="20"/>
    <n v="14"/>
    <n v="11"/>
    <n v="11"/>
    <n v="11"/>
    <m/>
    <m/>
    <m/>
    <m/>
    <m/>
    <m/>
    <m/>
    <n v="0"/>
    <n v="0"/>
    <n v="0"/>
    <n v="0"/>
    <n v="0"/>
    <n v="0"/>
    <n v="0"/>
    <n v="0"/>
    <n v="0"/>
    <n v="0"/>
    <n v="0"/>
    <n v="0"/>
    <n v="0"/>
    <n v="0"/>
    <n v="0"/>
    <n v="0"/>
    <n v="0"/>
    <n v="0"/>
    <s v="MMR001CMP032"/>
    <x v="0"/>
    <x v="0"/>
    <s v="P4"/>
    <n v="3.4376918354818908E-4"/>
    <s v="No"/>
  </r>
  <r>
    <n v="51.4"/>
    <d v="2013-02-09T00:00:00"/>
    <x v="4"/>
    <s v="MRCS"/>
    <s v="Kachin"/>
    <s v="Myitkyina"/>
    <s v="Jan Mai Kawng Baptist Church"/>
    <m/>
    <m/>
    <m/>
    <m/>
    <n v="177"/>
    <n v="10"/>
    <n v="10"/>
    <m/>
    <n v="0"/>
    <n v="0"/>
    <m/>
    <m/>
    <m/>
    <m/>
    <m/>
    <m/>
    <m/>
    <n v="0"/>
    <n v="0"/>
    <n v="0"/>
    <n v="0"/>
    <n v="0"/>
    <n v="0"/>
    <n v="0"/>
    <n v="0"/>
    <n v="0"/>
    <n v="0"/>
    <n v="0"/>
    <n v="0"/>
    <n v="0"/>
    <n v="0"/>
    <n v="0"/>
    <n v="0"/>
    <n v="0"/>
    <n v="0"/>
    <s v="MMR001CMP018"/>
    <x v="0"/>
    <x v="0"/>
    <s v="P4"/>
    <n v="2.4554941682013506E-4"/>
    <s v="No"/>
  </r>
  <r>
    <n v="51.4"/>
    <d v="2013-02-09T00:00:00"/>
    <x v="4"/>
    <s v="MRCS"/>
    <s v="Kachin"/>
    <s v="Myitkyina"/>
    <s v="Shatapru Sut Ngai Tawng"/>
    <m/>
    <m/>
    <m/>
    <m/>
    <n v="109"/>
    <n v="10"/>
    <n v="10"/>
    <m/>
    <n v="0"/>
    <n v="0"/>
    <m/>
    <m/>
    <m/>
    <m/>
    <m/>
    <m/>
    <m/>
    <n v="0"/>
    <n v="0"/>
    <n v="0"/>
    <n v="0"/>
    <n v="0"/>
    <n v="0"/>
    <n v="0"/>
    <n v="0"/>
    <n v="0"/>
    <n v="0"/>
    <n v="0"/>
    <n v="0"/>
    <n v="0"/>
    <n v="0"/>
    <n v="0"/>
    <n v="0"/>
    <n v="0"/>
    <n v="0"/>
    <s v="MMR001CMP006"/>
    <x v="0"/>
    <x v="0"/>
    <s v="P4"/>
    <n v="2.4536264599077438E-4"/>
    <s v="No"/>
  </r>
  <r>
    <n v="51.366666666666667"/>
    <d v="2013-02-10T00:00:00"/>
    <x v="4"/>
    <s v="MRCS"/>
    <s v="Kachin"/>
    <s v="Mohnyin"/>
    <s v="St. Patrick Catholic Church "/>
    <m/>
    <m/>
    <m/>
    <m/>
    <n v="20"/>
    <m/>
    <n v="12"/>
    <m/>
    <n v="0"/>
    <n v="0"/>
    <m/>
    <m/>
    <m/>
    <m/>
    <m/>
    <m/>
    <m/>
    <n v="0"/>
    <n v="0"/>
    <n v="0"/>
    <n v="0"/>
    <n v="0"/>
    <n v="0"/>
    <n v="0"/>
    <n v="0"/>
    <n v="0"/>
    <n v="0"/>
    <n v="0"/>
    <n v="0"/>
    <n v="0"/>
    <n v="0"/>
    <n v="0"/>
    <n v="0"/>
    <n v="0"/>
    <n v="0"/>
    <s v="MMR001CMP080"/>
    <x v="0"/>
    <x v="0"/>
    <s v="P4"/>
    <n v="2.9224811865273618E-4"/>
    <s v="No"/>
  </r>
  <r>
    <n v="51.366666666666667"/>
    <d v="2013-02-10T00:00:00"/>
    <x v="4"/>
    <s v="MRCS"/>
    <s v="Kachin"/>
    <s v="Mohnyin"/>
    <s v="Nant Mun"/>
    <m/>
    <m/>
    <m/>
    <m/>
    <n v="36"/>
    <m/>
    <n v="22"/>
    <m/>
    <n v="0"/>
    <n v="0"/>
    <m/>
    <m/>
    <m/>
    <m/>
    <m/>
    <m/>
    <m/>
    <n v="0"/>
    <n v="0"/>
    <n v="0"/>
    <n v="0"/>
    <n v="0"/>
    <n v="0"/>
    <n v="0"/>
    <n v="0"/>
    <n v="0"/>
    <n v="0"/>
    <n v="0"/>
    <n v="0"/>
    <n v="0"/>
    <n v="0"/>
    <n v="0"/>
    <n v="0"/>
    <n v="0"/>
    <n v="0"/>
    <s v="MMR001CMP081"/>
    <x v="0"/>
    <x v="1"/>
    <s v="P4"/>
    <n v="5.3699138372916109E-4"/>
    <s v="No"/>
  </r>
  <r>
    <n v="51.1"/>
    <d v="2013-02-18T00:00:00"/>
    <x v="0"/>
    <s v="UNHCR"/>
    <s v="Kachin"/>
    <s v="Hpakant"/>
    <s v="Hlaing Naung Baptist"/>
    <m/>
    <m/>
    <n v="30"/>
    <n v="0"/>
    <n v="0"/>
    <n v="0"/>
    <n v="0"/>
    <n v="0"/>
    <m/>
    <m/>
    <m/>
    <m/>
    <m/>
    <m/>
    <m/>
    <m/>
    <m/>
    <n v="0"/>
    <n v="0"/>
    <n v="0"/>
    <n v="0"/>
    <n v="0"/>
    <n v="0"/>
    <n v="0"/>
    <n v="0"/>
    <n v="0"/>
    <n v="0"/>
    <n v="0"/>
    <n v="0"/>
    <n v="0"/>
    <n v="0"/>
    <n v="0"/>
    <n v="0"/>
    <n v="0"/>
    <n v="0"/>
    <s v="MMR001CMP148"/>
    <x v="0"/>
    <x v="0"/>
    <s v="P4"/>
    <n v="0"/>
    <s v="No"/>
  </r>
  <r>
    <n v="51.1"/>
    <d v="2013-02-18T00:00:00"/>
    <x v="0"/>
    <s v="KBC"/>
    <s v="Shan_North"/>
    <s v="Kutkai"/>
    <s v="Kutkai downtown (KBC Church)"/>
    <m/>
    <m/>
    <n v="120"/>
    <n v="120"/>
    <n v="60"/>
    <n v="120"/>
    <n v="60"/>
    <n v="60"/>
    <n v="60"/>
    <n v="60"/>
    <m/>
    <m/>
    <m/>
    <m/>
    <m/>
    <m/>
    <m/>
    <n v="0"/>
    <n v="0"/>
    <n v="0"/>
    <n v="0"/>
    <n v="0"/>
    <n v="0"/>
    <n v="0"/>
    <n v="0"/>
    <n v="0"/>
    <n v="0"/>
    <n v="0"/>
    <n v="0"/>
    <n v="0"/>
    <n v="0"/>
    <n v="0"/>
    <n v="0"/>
    <n v="0"/>
    <n v="0"/>
    <s v="MMR015CMP016"/>
    <x v="0"/>
    <x v="0"/>
    <s v="P3"/>
    <n v="1.4547570555717194E-3"/>
    <s v="No"/>
  </r>
  <r>
    <n v="51.1"/>
    <d v="2013-02-18T00:00:00"/>
    <x v="0"/>
    <s v="KBC"/>
    <s v="Kachin"/>
    <s v="Mansi"/>
    <s v="Man Wing Baptist Church"/>
    <m/>
    <m/>
    <n v="221"/>
    <n v="221"/>
    <n v="110"/>
    <n v="221"/>
    <n v="110"/>
    <n v="110"/>
    <n v="110"/>
    <n v="110"/>
    <m/>
    <m/>
    <m/>
    <m/>
    <m/>
    <m/>
    <m/>
    <n v="0"/>
    <n v="0"/>
    <n v="0"/>
    <n v="0"/>
    <n v="0"/>
    <n v="0"/>
    <n v="0"/>
    <n v="0"/>
    <n v="0"/>
    <n v="0"/>
    <n v="0"/>
    <n v="0"/>
    <n v="0"/>
    <n v="0"/>
    <n v="0"/>
    <n v="0"/>
    <n v="0"/>
    <n v="0"/>
    <s v="MMR001CMP133"/>
    <x v="0"/>
    <x v="0"/>
    <s v="P4"/>
    <n v="2.6868588177821201E-3"/>
    <s v="No"/>
  </r>
  <r>
    <n v="51.1"/>
    <d v="2013-02-18T00:00:00"/>
    <x v="0"/>
    <s v="KBC"/>
    <s v="Shan_North"/>
    <s v="Manton"/>
    <s v="Mandung - Jinghpaw"/>
    <m/>
    <m/>
    <n v="57"/>
    <n v="57"/>
    <n v="29"/>
    <n v="57"/>
    <n v="29"/>
    <n v="29"/>
    <n v="29"/>
    <n v="29"/>
    <m/>
    <m/>
    <m/>
    <m/>
    <m/>
    <m/>
    <m/>
    <n v="0"/>
    <n v="0"/>
    <n v="0"/>
    <n v="0"/>
    <n v="0"/>
    <n v="0"/>
    <n v="0"/>
    <n v="0"/>
    <n v="0"/>
    <n v="0"/>
    <n v="0"/>
    <n v="0"/>
    <n v="0"/>
    <n v="0"/>
    <n v="0"/>
    <n v="0"/>
    <n v="0"/>
    <n v="0"/>
    <s v="MMR015CMP009"/>
    <x v="0"/>
    <x v="0"/>
    <s v="P2"/>
    <n v="7.0731707317073169E-4"/>
    <s v="No"/>
  </r>
  <r>
    <n v="51.1"/>
    <d v="2013-02-18T00:00:00"/>
    <x v="0"/>
    <s v="KBC"/>
    <s v="Shan_North"/>
    <s v="Kutkai"/>
    <s v="Mungji Pa Dabang (Baptist Church)         "/>
    <m/>
    <m/>
    <n v="93"/>
    <n v="93"/>
    <n v="46"/>
    <n v="93"/>
    <n v="46"/>
    <n v="46"/>
    <n v="46"/>
    <n v="46"/>
    <m/>
    <m/>
    <m/>
    <m/>
    <m/>
    <m/>
    <m/>
    <n v="0"/>
    <n v="0"/>
    <n v="0"/>
    <n v="0"/>
    <n v="0"/>
    <n v="0"/>
    <n v="0"/>
    <n v="0"/>
    <n v="0"/>
    <n v="0"/>
    <n v="0"/>
    <n v="0"/>
    <n v="0"/>
    <n v="0"/>
    <n v="0"/>
    <n v="0"/>
    <n v="0"/>
    <n v="0"/>
    <s v="MMR015CMP006"/>
    <x v="0"/>
    <x v="0"/>
    <s v="P1"/>
    <n v="1.1278103317233432E-3"/>
    <s v="No"/>
  </r>
  <r>
    <n v="51.1"/>
    <d v="2013-02-18T00:00:00"/>
    <x v="0"/>
    <s v="KBC"/>
    <s v="Shan_North"/>
    <s v="Namhkan"/>
    <s v="Nam Hkam - Nay Win Ni (Palawng)"/>
    <m/>
    <m/>
    <n v="118"/>
    <n v="118"/>
    <n v="59"/>
    <n v="118"/>
    <n v="59"/>
    <n v="59"/>
    <n v="59"/>
    <n v="59"/>
    <m/>
    <m/>
    <m/>
    <m/>
    <m/>
    <m/>
    <m/>
    <n v="0"/>
    <n v="0"/>
    <n v="0"/>
    <n v="0"/>
    <n v="0"/>
    <n v="0"/>
    <n v="0"/>
    <n v="0"/>
    <n v="0"/>
    <n v="0"/>
    <n v="0"/>
    <n v="0"/>
    <n v="0"/>
    <n v="0"/>
    <n v="0"/>
    <n v="0"/>
    <n v="0"/>
    <n v="0"/>
    <s v="MMR015CMP004"/>
    <x v="0"/>
    <x v="0"/>
    <s v="P3"/>
    <n v="1.4179624600447018E-3"/>
    <s v="No"/>
  </r>
  <r>
    <n v="51.1"/>
    <d v="2013-02-18T00:00:00"/>
    <x v="0"/>
    <s v="KBC"/>
    <s v="Shan_North"/>
    <s v="Namhkan"/>
    <s v="Nam Hkam (KBC Jaw Wang)"/>
    <m/>
    <m/>
    <n v="139"/>
    <n v="139"/>
    <n v="70"/>
    <n v="139"/>
    <n v="70"/>
    <n v="70"/>
    <n v="70"/>
    <n v="70"/>
    <m/>
    <m/>
    <m/>
    <m/>
    <m/>
    <m/>
    <m/>
    <n v="0"/>
    <n v="0"/>
    <n v="0"/>
    <n v="0"/>
    <n v="0"/>
    <n v="0"/>
    <n v="0"/>
    <n v="0"/>
    <n v="0"/>
    <n v="0"/>
    <n v="0"/>
    <n v="0"/>
    <n v="0"/>
    <n v="0"/>
    <n v="0"/>
    <n v="0"/>
    <n v="0"/>
    <n v="0"/>
    <s v="MMR015CMP001"/>
    <x v="0"/>
    <x v="0"/>
    <s v="P3"/>
    <n v="1.7124125446450413E-3"/>
    <s v="No"/>
  </r>
  <r>
    <n v="51.1"/>
    <d v="2013-02-18T00:00:00"/>
    <x v="0"/>
    <s v="KBC"/>
    <s v="Shan_North"/>
    <s v="Kutkai"/>
    <s v="Nam Hpak Ka Mare "/>
    <m/>
    <m/>
    <n v="86"/>
    <n v="86"/>
    <n v="43"/>
    <n v="86"/>
    <n v="43"/>
    <n v="43"/>
    <n v="43"/>
    <n v="43"/>
    <m/>
    <m/>
    <m/>
    <m/>
    <m/>
    <m/>
    <m/>
    <n v="0"/>
    <n v="0"/>
    <n v="0"/>
    <n v="0"/>
    <n v="0"/>
    <n v="0"/>
    <n v="0"/>
    <n v="0"/>
    <n v="0"/>
    <n v="0"/>
    <n v="0"/>
    <n v="0"/>
    <n v="0"/>
    <n v="0"/>
    <n v="0"/>
    <n v="0"/>
    <n v="0"/>
    <n v="0"/>
    <s v="MMR015CMP007"/>
    <x v="0"/>
    <x v="0"/>
    <s v="P3"/>
    <n v="1.0519105631390969E-3"/>
    <s v="No"/>
  </r>
  <r>
    <n v="51.1"/>
    <d v="2013-02-18T00:00:00"/>
    <x v="0"/>
    <s v="KBC"/>
    <s v="Shan_North"/>
    <s v="Namtu"/>
    <s v="Nam Tu RC"/>
    <m/>
    <m/>
    <n v="90"/>
    <n v="90"/>
    <n v="45"/>
    <n v="90"/>
    <n v="45"/>
    <n v="45"/>
    <n v="45"/>
    <n v="45"/>
    <m/>
    <m/>
    <m/>
    <m/>
    <m/>
    <m/>
    <m/>
    <n v="0"/>
    <n v="0"/>
    <n v="0"/>
    <n v="0"/>
    <n v="0"/>
    <n v="0"/>
    <n v="0"/>
    <n v="0"/>
    <n v="0"/>
    <n v="0"/>
    <n v="0"/>
    <n v="0"/>
    <n v="0"/>
    <n v="0"/>
    <n v="0"/>
    <n v="0"/>
    <n v="0"/>
    <n v="0"/>
    <s v="MMR015CMP210"/>
    <x v="0"/>
    <x v="0"/>
    <s v="P3"/>
    <s v=""/>
    <s v="No"/>
  </r>
  <r>
    <n v="51.1"/>
    <d v="2013-02-18T00:00:00"/>
    <x v="0"/>
    <s v="KBC"/>
    <s v="Shan_North"/>
    <s v="Muse"/>
    <s v="Munekoe Pa (Giwang) - Hka San (Mung  Go  Pa ) "/>
    <m/>
    <m/>
    <n v="60"/>
    <n v="60"/>
    <n v="30"/>
    <n v="60"/>
    <n v="30"/>
    <n v="30"/>
    <n v="30"/>
    <n v="30"/>
    <m/>
    <m/>
    <m/>
    <m/>
    <m/>
    <m/>
    <m/>
    <n v="0"/>
    <n v="0"/>
    <n v="0"/>
    <n v="0"/>
    <n v="0"/>
    <n v="0"/>
    <n v="0"/>
    <n v="0"/>
    <n v="0"/>
    <n v="0"/>
    <n v="0"/>
    <n v="0"/>
    <n v="0"/>
    <n v="0"/>
    <n v="0"/>
    <n v="0"/>
    <n v="0"/>
    <n v="0"/>
    <s v="MMR015CMP012"/>
    <x v="0"/>
    <x v="1"/>
    <s v="P1"/>
    <n v="7.3008688033876035E-4"/>
    <s v="No"/>
  </r>
  <r>
    <n v="51.1"/>
    <d v="2013-02-18T00:00:00"/>
    <x v="0"/>
    <s v="KBC"/>
    <s v="Shan_North"/>
    <s v="Namhkan"/>
    <s v="Nam Hkawng"/>
    <m/>
    <m/>
    <n v="16"/>
    <n v="16"/>
    <n v="8"/>
    <n v="16"/>
    <n v="8"/>
    <n v="8"/>
    <n v="8"/>
    <n v="8"/>
    <m/>
    <m/>
    <m/>
    <m/>
    <m/>
    <m/>
    <m/>
    <n v="0"/>
    <n v="0"/>
    <n v="0"/>
    <n v="0"/>
    <n v="0"/>
    <n v="0"/>
    <n v="0"/>
    <n v="0"/>
    <n v="0"/>
    <n v="0"/>
    <n v="0"/>
    <n v="0"/>
    <n v="0"/>
    <n v="0"/>
    <n v="0"/>
    <n v="0"/>
    <n v="0"/>
    <n v="0"/>
    <s v="MMR015CMP139"/>
    <x v="0"/>
    <x v="0"/>
    <s v="P2"/>
    <n v="1.961409272562336E-4"/>
    <s v="No"/>
  </r>
  <r>
    <n v="51.06666666666667"/>
    <d v="2013-02-19T00:00:00"/>
    <x v="0"/>
    <s v="UNHCR"/>
    <s v="Kachin"/>
    <s v="Hpakant"/>
    <s v="5 Ward Baptist Church(lon Khin)"/>
    <m/>
    <m/>
    <n v="18"/>
    <n v="30"/>
    <n v="17"/>
    <n v="64"/>
    <n v="17"/>
    <n v="17"/>
    <n v="17"/>
    <n v="17"/>
    <m/>
    <m/>
    <m/>
    <m/>
    <m/>
    <m/>
    <m/>
    <n v="0"/>
    <n v="0"/>
    <n v="0"/>
    <n v="0"/>
    <n v="0"/>
    <n v="0"/>
    <n v="0"/>
    <n v="0"/>
    <n v="0"/>
    <n v="0"/>
    <n v="0"/>
    <n v="0"/>
    <n v="0"/>
    <n v="0"/>
    <n v="0"/>
    <n v="0"/>
    <n v="0"/>
    <n v="0"/>
    <s v="MMR001CMP179"/>
    <x v="0"/>
    <x v="1"/>
    <s v="P4"/>
    <n v="4.1187159297395516E-4"/>
    <s v="No"/>
  </r>
  <r>
    <n v="51.06666666666667"/>
    <d v="2013-02-19T00:00:00"/>
    <x v="0"/>
    <s v="UNHCR"/>
    <s v="Kachin"/>
    <s v="Hpakant"/>
    <s v="Dhama Rakhita, Nyein Chan Tar Yar Ward(Lon Khin)"/>
    <m/>
    <m/>
    <n v="74"/>
    <n v="105"/>
    <n v="59"/>
    <n v="105"/>
    <n v="59"/>
    <n v="59"/>
    <n v="59"/>
    <n v="59"/>
    <m/>
    <m/>
    <m/>
    <m/>
    <m/>
    <m/>
    <m/>
    <n v="0"/>
    <n v="0"/>
    <n v="0"/>
    <n v="0"/>
    <n v="0"/>
    <n v="0"/>
    <n v="0"/>
    <n v="0"/>
    <n v="0"/>
    <n v="0"/>
    <n v="0"/>
    <n v="0"/>
    <n v="0"/>
    <n v="0"/>
    <n v="0"/>
    <n v="0"/>
    <n v="0"/>
    <n v="0"/>
    <s v="MMR001CMP174"/>
    <x v="0"/>
    <x v="0"/>
    <s v="P4"/>
    <n v="1.4294367050272563E-3"/>
    <s v="No"/>
  </r>
  <r>
    <n v="51.06666666666667"/>
    <d v="2013-02-19T00:00:00"/>
    <x v="0"/>
    <s v="UNHCR"/>
    <s v="Kachin"/>
    <s v="Hpakant"/>
    <s v="Nam Ma Phyit, COC"/>
    <m/>
    <m/>
    <n v="19"/>
    <n v="30"/>
    <n v="18"/>
    <n v="68"/>
    <n v="18"/>
    <n v="18"/>
    <n v="18"/>
    <n v="18"/>
    <m/>
    <m/>
    <m/>
    <m/>
    <m/>
    <m/>
    <m/>
    <n v="0"/>
    <n v="0"/>
    <n v="0"/>
    <n v="0"/>
    <n v="0"/>
    <n v="0"/>
    <n v="0"/>
    <n v="0"/>
    <n v="0"/>
    <n v="0"/>
    <n v="0"/>
    <n v="0"/>
    <n v="0"/>
    <n v="0"/>
    <n v="0"/>
    <n v="0"/>
    <n v="0"/>
    <n v="0"/>
    <s v="MMR001CMP192"/>
    <x v="0"/>
    <x v="0"/>
    <s v="P4"/>
    <n v="4.3609933373712904E-4"/>
    <s v="No"/>
  </r>
  <r>
    <n v="51.06666666666667"/>
    <d v="2013-02-19T00:00:00"/>
    <x v="0"/>
    <s v="UNHCR"/>
    <s v="Kachin"/>
    <s v="Hpakant"/>
    <s v="1 Ward, Sein Yadanar Company(Lon Khin)"/>
    <m/>
    <m/>
    <n v="3"/>
    <n v="7"/>
    <n v="4"/>
    <n v="7"/>
    <n v="4"/>
    <n v="4"/>
    <n v="4"/>
    <n v="4"/>
    <m/>
    <m/>
    <m/>
    <m/>
    <m/>
    <m/>
    <m/>
    <n v="0"/>
    <n v="0"/>
    <n v="0"/>
    <n v="0"/>
    <n v="0"/>
    <n v="0"/>
    <n v="0"/>
    <n v="0"/>
    <n v="0"/>
    <n v="0"/>
    <n v="0"/>
    <n v="0"/>
    <n v="0"/>
    <n v="0"/>
    <n v="0"/>
    <n v="0"/>
    <n v="0"/>
    <n v="0"/>
    <s v="MMR001CMP171"/>
    <x v="0"/>
    <x v="1"/>
    <s v=""/>
    <s v=""/>
    <s v="No"/>
  </r>
  <r>
    <n v="51.06666666666667"/>
    <d v="2013-02-19T00:00:00"/>
    <x v="0"/>
    <s v="UNHCR"/>
    <s v="Kachin"/>
    <s v="Hpakant"/>
    <s v="Anglican Church, Hmaw Si Sar"/>
    <m/>
    <m/>
    <n v="1"/>
    <n v="6"/>
    <n v="3"/>
    <n v="15"/>
    <n v="4"/>
    <n v="4"/>
    <n v="4"/>
    <n v="4"/>
    <m/>
    <m/>
    <m/>
    <m/>
    <m/>
    <m/>
    <m/>
    <n v="0"/>
    <n v="0"/>
    <n v="0"/>
    <n v="0"/>
    <n v="0"/>
    <n v="0"/>
    <n v="0"/>
    <n v="0"/>
    <n v="0"/>
    <n v="0"/>
    <n v="0"/>
    <n v="0"/>
    <n v="0"/>
    <n v="0"/>
    <n v="0"/>
    <n v="0"/>
    <n v="0"/>
    <n v="0"/>
    <s v="MMR001CMP173"/>
    <x v="0"/>
    <x v="1"/>
    <s v=""/>
    <s v=""/>
    <s v="No"/>
  </r>
  <r>
    <n v="51.06666666666667"/>
    <d v="2013-02-19T00:00:00"/>
    <x v="0"/>
    <s v="UNHCR"/>
    <s v="Kachin"/>
    <s v="Hpakant"/>
    <s v="Anglican Church, Hmaw Si Sar"/>
    <m/>
    <m/>
    <n v="92"/>
    <n v="130"/>
    <n v="67"/>
    <n v="130"/>
    <n v="67"/>
    <n v="67"/>
    <n v="67"/>
    <n v="67"/>
    <m/>
    <m/>
    <m/>
    <m/>
    <m/>
    <m/>
    <m/>
    <n v="0"/>
    <n v="0"/>
    <n v="0"/>
    <n v="0"/>
    <n v="0"/>
    <n v="0"/>
    <n v="0"/>
    <n v="0"/>
    <n v="0"/>
    <n v="0"/>
    <n v="0"/>
    <n v="0"/>
    <n v="0"/>
    <n v="0"/>
    <n v="0"/>
    <n v="0"/>
    <n v="0"/>
    <n v="0"/>
    <s v="MMR001CMP173"/>
    <x v="0"/>
    <x v="1"/>
    <s v=""/>
    <s v=""/>
    <s v="No"/>
  </r>
  <r>
    <n v="51.06666666666667"/>
    <d v="2013-02-19T00:00:00"/>
    <x v="0"/>
    <s v="UNHCR"/>
    <s v="Kachin"/>
    <s v="Hpakant"/>
    <s v="Away Yar Rama Monastery, Ka Day village"/>
    <m/>
    <m/>
    <n v="8"/>
    <n v="16"/>
    <n v="8"/>
    <n v="16"/>
    <n v="8"/>
    <n v="8"/>
    <n v="8"/>
    <n v="8"/>
    <m/>
    <m/>
    <m/>
    <m/>
    <m/>
    <m/>
    <m/>
    <n v="0"/>
    <n v="0"/>
    <n v="0"/>
    <n v="0"/>
    <n v="0"/>
    <n v="0"/>
    <n v="0"/>
    <n v="0"/>
    <n v="0"/>
    <n v="0"/>
    <n v="0"/>
    <n v="0"/>
    <n v="0"/>
    <n v="0"/>
    <n v="0"/>
    <n v="0"/>
    <n v="0"/>
    <n v="0"/>
    <s v="MMR001CMP170"/>
    <x v="0"/>
    <x v="1"/>
    <s v=""/>
    <s v=""/>
    <s v="No"/>
  </r>
  <r>
    <n v="51.06666666666667"/>
    <d v="2013-02-19T00:00:00"/>
    <x v="0"/>
    <s v="UNHCR"/>
    <s v="Kachin"/>
    <s v="Hpakant"/>
    <s v="May Di Ka Rama Monastery(Lon Khin)"/>
    <m/>
    <m/>
    <n v="9"/>
    <n v="21"/>
    <n v="9"/>
    <n v="21"/>
    <n v="9"/>
    <n v="9"/>
    <n v="9"/>
    <n v="9"/>
    <m/>
    <m/>
    <m/>
    <m/>
    <m/>
    <m/>
    <m/>
    <n v="0"/>
    <n v="0"/>
    <n v="0"/>
    <n v="0"/>
    <n v="0"/>
    <n v="0"/>
    <n v="0"/>
    <n v="0"/>
    <n v="0"/>
    <n v="0"/>
    <n v="0"/>
    <n v="0"/>
    <n v="0"/>
    <n v="0"/>
    <n v="0"/>
    <n v="0"/>
    <n v="0"/>
    <n v="0"/>
    <s v="MMR001CMP178"/>
    <x v="0"/>
    <x v="1"/>
    <s v=""/>
    <s v=""/>
    <s v="No"/>
  </r>
  <r>
    <n v="51.06666666666667"/>
    <d v="2013-02-19T00:00:00"/>
    <x v="0"/>
    <s v="UNHCR"/>
    <s v="Kachin"/>
    <s v="Hpakant"/>
    <s v="Wrad(5) Christian Association"/>
    <m/>
    <m/>
    <n v="2"/>
    <n v="3"/>
    <n v="2"/>
    <n v="7"/>
    <n v="2"/>
    <n v="2"/>
    <n v="2"/>
    <n v="2"/>
    <m/>
    <m/>
    <m/>
    <m/>
    <m/>
    <m/>
    <m/>
    <n v="0"/>
    <n v="0"/>
    <n v="0"/>
    <n v="0"/>
    <n v="0"/>
    <n v="0"/>
    <n v="0"/>
    <n v="0"/>
    <n v="0"/>
    <n v="0"/>
    <n v="0"/>
    <n v="0"/>
    <n v="0"/>
    <n v="0"/>
    <n v="0"/>
    <n v="0"/>
    <n v="0"/>
    <n v="0"/>
    <s v="MMR001CMP175"/>
    <x v="0"/>
    <x v="1"/>
    <s v=""/>
    <s v=""/>
    <s v="No"/>
  </r>
  <r>
    <n v="51.033333333333331"/>
    <d v="2013-02-20T00:00:00"/>
    <x v="0"/>
    <s v="UNHCR"/>
    <s v="Kachin"/>
    <s v="Hpakant"/>
    <s v="AG Church, Maw Wan"/>
    <m/>
    <m/>
    <m/>
    <n v="59"/>
    <n v="28"/>
    <n v="0"/>
    <n v="28"/>
    <n v="28"/>
    <n v="28"/>
    <n v="28"/>
    <m/>
    <m/>
    <m/>
    <m/>
    <m/>
    <m/>
    <m/>
    <n v="0"/>
    <n v="0"/>
    <n v="0"/>
    <n v="0"/>
    <n v="0"/>
    <n v="0"/>
    <n v="0"/>
    <n v="0"/>
    <n v="0"/>
    <n v="0"/>
    <n v="0"/>
    <n v="0"/>
    <n v="0"/>
    <n v="0"/>
    <n v="0"/>
    <n v="0"/>
    <n v="0"/>
    <n v="0"/>
    <s v="MMR001CMP190"/>
    <x v="0"/>
    <x v="0"/>
    <s v="P4"/>
    <n v="6.783767413688674E-4"/>
    <s v="No"/>
  </r>
  <r>
    <n v="51.033333333333331"/>
    <d v="2013-02-20T00:00:00"/>
    <x v="0"/>
    <s v="UNHCR"/>
    <s v="Kachin"/>
    <s v="Hpakant"/>
    <s v="Lisu Baptist Church, Maw Wan Ward"/>
    <m/>
    <m/>
    <n v="12"/>
    <n v="20"/>
    <n v="8"/>
    <n v="20"/>
    <n v="8"/>
    <n v="8"/>
    <n v="8"/>
    <n v="8"/>
    <m/>
    <m/>
    <m/>
    <m/>
    <m/>
    <m/>
    <m/>
    <n v="0"/>
    <n v="0"/>
    <n v="0"/>
    <n v="0"/>
    <n v="0"/>
    <n v="0"/>
    <n v="0"/>
    <n v="0"/>
    <n v="0"/>
    <n v="0"/>
    <n v="0"/>
    <n v="0"/>
    <n v="0"/>
    <n v="0"/>
    <n v="0"/>
    <n v="0"/>
    <n v="0"/>
    <n v="0"/>
    <s v="MMR001CMP167"/>
    <x v="0"/>
    <x v="0"/>
    <s v="P4"/>
    <n v="1.9382192610539067E-4"/>
    <s v="No"/>
  </r>
  <r>
    <n v="51.033333333333331"/>
    <d v="2013-02-20T00:00:00"/>
    <x v="0"/>
    <s v="UNHCR"/>
    <s v="Kachin"/>
    <s v="Hpakant"/>
    <s v="Nant Ma Hpit Catholic Church"/>
    <m/>
    <m/>
    <n v="35"/>
    <n v="0"/>
    <n v="0"/>
    <n v="0"/>
    <n v="0"/>
    <n v="0"/>
    <m/>
    <m/>
    <m/>
    <m/>
    <m/>
    <m/>
    <m/>
    <m/>
    <m/>
    <n v="0"/>
    <n v="0"/>
    <n v="0"/>
    <n v="0"/>
    <n v="0"/>
    <n v="0"/>
    <n v="0"/>
    <n v="0"/>
    <n v="0"/>
    <n v="0"/>
    <n v="0"/>
    <n v="0"/>
    <n v="0"/>
    <n v="0"/>
    <n v="0"/>
    <n v="0"/>
    <n v="0"/>
    <n v="0"/>
    <s v="MMR001CMP103"/>
    <x v="0"/>
    <x v="0"/>
    <s v="P4"/>
    <n v="0"/>
    <s v="No"/>
  </r>
  <r>
    <n v="51.033333333333331"/>
    <d v="2013-02-20T00:00:00"/>
    <x v="0"/>
    <s v="UNHCR"/>
    <s v="Kachin"/>
    <s v="Hpakant"/>
    <s v="Nant Ma Hpit Catholic Church"/>
    <m/>
    <m/>
    <n v="32"/>
    <n v="64"/>
    <n v="33"/>
    <n v="64"/>
    <n v="33"/>
    <n v="33"/>
    <n v="33"/>
    <n v="33"/>
    <m/>
    <m/>
    <m/>
    <m/>
    <m/>
    <m/>
    <m/>
    <n v="0"/>
    <n v="0"/>
    <n v="0"/>
    <n v="0"/>
    <n v="0"/>
    <n v="0"/>
    <n v="0"/>
    <n v="0"/>
    <n v="0"/>
    <n v="0"/>
    <n v="0"/>
    <n v="0"/>
    <n v="0"/>
    <n v="0"/>
    <n v="0"/>
    <n v="0"/>
    <n v="0"/>
    <n v="0"/>
    <s v="MMR001CMP103"/>
    <x v="0"/>
    <x v="0"/>
    <s v="P4"/>
    <n v="7.954298937016415E-4"/>
    <s v="No"/>
  </r>
  <r>
    <n v="51.033333333333331"/>
    <d v="2013-02-20T00:00:00"/>
    <x v="0"/>
    <s v="UNHCR"/>
    <s v="Kachin"/>
    <s v="Hpakant"/>
    <s v="Yumar Baptist Church"/>
    <m/>
    <m/>
    <n v="46"/>
    <n v="0"/>
    <n v="0"/>
    <n v="0"/>
    <n v="0"/>
    <n v="0"/>
    <m/>
    <m/>
    <m/>
    <m/>
    <m/>
    <m/>
    <m/>
    <m/>
    <m/>
    <n v="0"/>
    <n v="0"/>
    <n v="0"/>
    <n v="0"/>
    <n v="0"/>
    <n v="0"/>
    <n v="0"/>
    <n v="0"/>
    <n v="0"/>
    <n v="0"/>
    <n v="0"/>
    <n v="0"/>
    <n v="0"/>
    <n v="0"/>
    <n v="0"/>
    <n v="0"/>
    <n v="0"/>
    <n v="0"/>
    <s v="MMR001CMP105"/>
    <x v="0"/>
    <x v="0"/>
    <s v="P4"/>
    <n v="0"/>
    <s v="No"/>
  </r>
  <r>
    <n v="51.033333333333331"/>
    <d v="2013-02-20T00:00:00"/>
    <x v="0"/>
    <s v="UNHCR"/>
    <s v="Kachin"/>
    <s v="Hpakant"/>
    <s v="Aye Mya Tharyar Church of Christ "/>
    <m/>
    <m/>
    <n v="18"/>
    <n v="0"/>
    <n v="0"/>
    <n v="0"/>
    <n v="0"/>
    <n v="0"/>
    <m/>
    <m/>
    <m/>
    <m/>
    <m/>
    <m/>
    <m/>
    <m/>
    <m/>
    <n v="0"/>
    <n v="0"/>
    <n v="0"/>
    <n v="0"/>
    <n v="0"/>
    <n v="0"/>
    <n v="0"/>
    <n v="0"/>
    <n v="0"/>
    <n v="0"/>
    <n v="0"/>
    <n v="0"/>
    <n v="0"/>
    <n v="0"/>
    <n v="0"/>
    <n v="0"/>
    <n v="0"/>
    <n v="0"/>
    <s v="MMR001CMP092"/>
    <x v="0"/>
    <x v="1"/>
    <s v=""/>
    <s v=""/>
    <s v="No"/>
  </r>
  <r>
    <n v="51.033333333333331"/>
    <d v="2013-02-20T00:00:00"/>
    <x v="0"/>
    <s v="UNHCR"/>
    <s v="Kachin"/>
    <s v="Hpakant"/>
    <s v="Chin(Zomi) Baptist Church"/>
    <m/>
    <m/>
    <n v="13"/>
    <n v="28"/>
    <n v="15"/>
    <n v="28"/>
    <n v="15"/>
    <n v="15"/>
    <n v="15"/>
    <n v="15"/>
    <m/>
    <m/>
    <m/>
    <m/>
    <m/>
    <m/>
    <m/>
    <n v="0"/>
    <n v="0"/>
    <n v="0"/>
    <n v="0"/>
    <n v="0"/>
    <n v="0"/>
    <n v="0"/>
    <n v="0"/>
    <n v="0"/>
    <n v="0"/>
    <n v="0"/>
    <n v="0"/>
    <n v="0"/>
    <n v="0"/>
    <n v="0"/>
    <n v="0"/>
    <n v="0"/>
    <n v="0"/>
    <s v="MMR001CMP086"/>
    <x v="0"/>
    <x v="1"/>
    <s v=""/>
    <s v=""/>
    <s v="No"/>
  </r>
  <r>
    <n v="51.033333333333331"/>
    <d v="2013-02-20T00:00:00"/>
    <x v="0"/>
    <s v="UNHCR"/>
    <s v="Kachin"/>
    <s v="Hpakant"/>
    <s v="Mashi Kahtawng Baptist  Church"/>
    <m/>
    <m/>
    <n v="74"/>
    <n v="0"/>
    <n v="0"/>
    <n v="0"/>
    <n v="0"/>
    <n v="0"/>
    <m/>
    <m/>
    <m/>
    <m/>
    <m/>
    <m/>
    <m/>
    <m/>
    <m/>
    <n v="0"/>
    <n v="0"/>
    <n v="0"/>
    <n v="0"/>
    <n v="0"/>
    <n v="0"/>
    <n v="0"/>
    <n v="0"/>
    <n v="0"/>
    <n v="0"/>
    <n v="0"/>
    <n v="0"/>
    <n v="0"/>
    <n v="0"/>
    <n v="0"/>
    <n v="0"/>
    <n v="0"/>
    <n v="0"/>
    <s v="MMR001CMP094"/>
    <x v="0"/>
    <x v="1"/>
    <s v=""/>
    <s v=""/>
    <s v="No"/>
  </r>
  <r>
    <n v="51.033333333333331"/>
    <d v="2013-02-20T00:00:00"/>
    <x v="0"/>
    <s v="UNHCR"/>
    <s v="Kachin"/>
    <s v="Hpakant"/>
    <s v="Mashi Kahtawng Catholic Church"/>
    <m/>
    <m/>
    <n v="16"/>
    <n v="26"/>
    <n v="13"/>
    <n v="26"/>
    <n v="13"/>
    <n v="13"/>
    <n v="13"/>
    <n v="13"/>
    <m/>
    <m/>
    <m/>
    <m/>
    <m/>
    <m/>
    <m/>
    <n v="0"/>
    <n v="0"/>
    <n v="0"/>
    <n v="0"/>
    <n v="0"/>
    <n v="0"/>
    <n v="0"/>
    <n v="0"/>
    <n v="0"/>
    <n v="0"/>
    <n v="0"/>
    <n v="0"/>
    <n v="0"/>
    <n v="0"/>
    <n v="0"/>
    <n v="0"/>
    <n v="0"/>
    <n v="0"/>
    <s v="MMR001CMP093"/>
    <x v="0"/>
    <x v="1"/>
    <s v=""/>
    <s v=""/>
    <s v="No"/>
  </r>
  <r>
    <n v="51.033333333333331"/>
    <d v="2013-02-20T00:00:00"/>
    <x v="0"/>
    <s v="UNHCR"/>
    <s v="Kachin"/>
    <s v="Hpakant"/>
    <s v="Maw Wan, Kachin Baptist Church"/>
    <m/>
    <m/>
    <n v="85"/>
    <n v="138"/>
    <n v="65"/>
    <n v="138"/>
    <n v="65"/>
    <n v="65"/>
    <n v="65"/>
    <n v="65"/>
    <m/>
    <m/>
    <m/>
    <m/>
    <m/>
    <m/>
    <m/>
    <n v="0"/>
    <n v="0"/>
    <n v="0"/>
    <n v="0"/>
    <n v="0"/>
    <n v="0"/>
    <n v="0"/>
    <n v="0"/>
    <n v="0"/>
    <n v="0"/>
    <n v="0"/>
    <n v="0"/>
    <n v="0"/>
    <n v="0"/>
    <n v="0"/>
    <n v="0"/>
    <n v="0"/>
    <n v="0"/>
    <s v="MMR001CMP085"/>
    <x v="0"/>
    <x v="1"/>
    <s v=""/>
    <s v=""/>
    <s v="No"/>
  </r>
  <r>
    <n v="51.033333333333331"/>
    <d v="2013-02-20T00:00:00"/>
    <x v="0"/>
    <s v="UNHCR"/>
    <s v="Kachin"/>
    <s v="Hpakant"/>
    <s v="Nga Pyaw Taw Baptist Nursery School "/>
    <m/>
    <m/>
    <n v="175"/>
    <n v="0"/>
    <n v="0"/>
    <n v="0"/>
    <n v="0"/>
    <n v="0"/>
    <m/>
    <m/>
    <m/>
    <m/>
    <m/>
    <m/>
    <m/>
    <m/>
    <m/>
    <n v="0"/>
    <n v="0"/>
    <n v="0"/>
    <n v="0"/>
    <n v="0"/>
    <n v="0"/>
    <n v="0"/>
    <n v="0"/>
    <n v="0"/>
    <n v="0"/>
    <n v="0"/>
    <n v="0"/>
    <n v="0"/>
    <n v="0"/>
    <n v="0"/>
    <n v="0"/>
    <n v="0"/>
    <n v="0"/>
    <s v="MMR001CMP082"/>
    <x v="0"/>
    <x v="1"/>
    <s v=""/>
    <n v="0"/>
    <s v="No"/>
  </r>
  <r>
    <n v="51.033333333333331"/>
    <d v="2013-02-20T00:00:00"/>
    <x v="0"/>
    <s v="UNHCR"/>
    <s v="Kachin"/>
    <s v="Hpakant"/>
    <s v="Nga Pyaw Taw Roman Catholic Church"/>
    <m/>
    <m/>
    <n v="38"/>
    <n v="89"/>
    <n v="44"/>
    <n v="89"/>
    <n v="44"/>
    <n v="44"/>
    <n v="44"/>
    <n v="44"/>
    <m/>
    <m/>
    <m/>
    <m/>
    <m/>
    <m/>
    <m/>
    <n v="0"/>
    <n v="0"/>
    <n v="0"/>
    <n v="0"/>
    <n v="0"/>
    <n v="0"/>
    <n v="0"/>
    <n v="0"/>
    <n v="0"/>
    <n v="0"/>
    <n v="0"/>
    <n v="0"/>
    <n v="0"/>
    <n v="0"/>
    <n v="0"/>
    <n v="0"/>
    <n v="0"/>
    <n v="0"/>
    <s v="MMR001CMP083"/>
    <x v="0"/>
    <x v="1"/>
    <s v=""/>
    <s v=""/>
    <s v="No"/>
  </r>
  <r>
    <n v="51.033333333333331"/>
    <d v="2013-02-20T00:00:00"/>
    <x v="0"/>
    <s v="UNHCR"/>
    <s v="Kachin"/>
    <s v="Hpakant"/>
    <s v="Zomee Baptist Church camp, Hmaw Wan"/>
    <m/>
    <m/>
    <m/>
    <n v="11"/>
    <n v="6"/>
    <n v="0"/>
    <n v="6"/>
    <n v="6"/>
    <n v="6"/>
    <n v="6"/>
    <m/>
    <m/>
    <m/>
    <m/>
    <m/>
    <m/>
    <m/>
    <n v="0"/>
    <n v="0"/>
    <n v="0"/>
    <n v="0"/>
    <n v="0"/>
    <n v="0"/>
    <n v="0"/>
    <n v="0"/>
    <n v="0"/>
    <n v="0"/>
    <n v="0"/>
    <n v="0"/>
    <n v="0"/>
    <n v="0"/>
    <n v="0"/>
    <n v="0"/>
    <n v="0"/>
    <n v="0"/>
    <s v="MMR001CMP201"/>
    <x v="0"/>
    <x v="1"/>
    <s v=""/>
    <s v=""/>
    <s v="No"/>
  </r>
  <r>
    <n v="50.866666666666667"/>
    <d v="2013-02-25T00:00:00"/>
    <x v="0"/>
    <s v="Chipwe CM"/>
    <s v="Kachin"/>
    <s v="Chipwi"/>
    <s v="Chipwi KBC camp"/>
    <m/>
    <m/>
    <n v="11"/>
    <n v="17"/>
    <n v="7"/>
    <n v="17"/>
    <n v="7"/>
    <n v="7"/>
    <n v="7"/>
    <n v="7"/>
    <m/>
    <m/>
    <m/>
    <m/>
    <m/>
    <m/>
    <m/>
    <n v="0"/>
    <n v="0"/>
    <n v="0"/>
    <n v="0"/>
    <n v="0"/>
    <n v="0"/>
    <n v="0"/>
    <n v="0"/>
    <n v="0"/>
    <n v="0"/>
    <n v="0"/>
    <n v="0"/>
    <n v="0"/>
    <n v="0"/>
    <n v="0"/>
    <n v="0"/>
    <n v="0"/>
    <n v="0"/>
    <s v="MMR001CMP042"/>
    <x v="0"/>
    <x v="0"/>
    <s v="P1"/>
    <n v="1.6972165648336727E-4"/>
    <s v="No"/>
  </r>
  <r>
    <n v="50.866666666666667"/>
    <d v="2013-02-25T00:00:00"/>
    <x v="4"/>
    <s v="MRCS"/>
    <s v="Kachin"/>
    <s v="Waingmaw"/>
    <s v="Hkat Cho "/>
    <m/>
    <m/>
    <m/>
    <m/>
    <n v="1"/>
    <m/>
    <m/>
    <m/>
    <n v="0"/>
    <n v="0"/>
    <m/>
    <m/>
    <m/>
    <m/>
    <m/>
    <m/>
    <m/>
    <n v="0"/>
    <n v="0"/>
    <n v="0"/>
    <n v="0"/>
    <n v="0"/>
    <n v="0"/>
    <n v="0"/>
    <n v="0"/>
    <n v="0"/>
    <n v="0"/>
    <n v="0"/>
    <n v="0"/>
    <n v="0"/>
    <n v="0"/>
    <n v="0"/>
    <n v="0"/>
    <n v="0"/>
    <n v="0"/>
    <s v="MMR001CMP028"/>
    <x v="0"/>
    <x v="0"/>
    <s v="P4"/>
    <n v="0"/>
    <s v="No"/>
  </r>
  <r>
    <n v="50.866666666666667"/>
    <d v="2013-02-25T00:00:00"/>
    <x v="0"/>
    <s v="Chipwe CM"/>
    <s v="Kachin"/>
    <s v="Chipwi"/>
    <s v="Hpare Hkyer - BP6"/>
    <m/>
    <m/>
    <n v="11"/>
    <n v="17"/>
    <n v="7"/>
    <n v="17"/>
    <n v="7"/>
    <n v="7"/>
    <n v="7"/>
    <n v="7"/>
    <m/>
    <m/>
    <m/>
    <m/>
    <m/>
    <m/>
    <m/>
    <n v="0"/>
    <n v="0"/>
    <n v="0"/>
    <n v="0"/>
    <n v="0"/>
    <n v="0"/>
    <n v="0"/>
    <n v="0"/>
    <n v="0"/>
    <n v="0"/>
    <n v="0"/>
    <n v="0"/>
    <n v="0"/>
    <n v="0"/>
    <n v="0"/>
    <n v="0"/>
    <n v="0"/>
    <n v="0"/>
    <s v="MMR001CMP043"/>
    <x v="0"/>
    <x v="0"/>
    <s v="P1"/>
    <n v="1.7060687301974166E-4"/>
    <s v="No"/>
  </r>
  <r>
    <n v="50.866666666666667"/>
    <d v="2013-02-25T00:00:00"/>
    <x v="0"/>
    <s v="Chipwe CM"/>
    <s v="Kachin"/>
    <s v="Chipwi"/>
    <s v="Lan Jaw "/>
    <m/>
    <m/>
    <n v="11"/>
    <n v="17"/>
    <n v="7"/>
    <n v="17"/>
    <n v="7"/>
    <n v="7"/>
    <n v="7"/>
    <n v="7"/>
    <m/>
    <m/>
    <m/>
    <m/>
    <m/>
    <m/>
    <m/>
    <n v="0"/>
    <n v="0"/>
    <n v="0"/>
    <n v="0"/>
    <n v="0"/>
    <n v="0"/>
    <n v="0"/>
    <n v="0"/>
    <n v="0"/>
    <n v="0"/>
    <n v="0"/>
    <n v="0"/>
    <n v="0"/>
    <n v="0"/>
    <n v="0"/>
    <n v="0"/>
    <n v="0"/>
    <n v="0"/>
    <s v="MMR001CMP045"/>
    <x v="0"/>
    <x v="0"/>
    <s v="P1"/>
    <s v=""/>
    <s v="No"/>
  </r>
  <r>
    <n v="50.866666666666667"/>
    <d v="2013-02-25T00:00:00"/>
    <x v="0"/>
    <s v="Chipwe CM"/>
    <s v="Kachin"/>
    <s v="Chipwi"/>
    <s v="Lhaovao Baptist Church (LBC)"/>
    <m/>
    <m/>
    <n v="12"/>
    <n v="17"/>
    <n v="7"/>
    <n v="17"/>
    <n v="7"/>
    <n v="7"/>
    <n v="7"/>
    <n v="7"/>
    <m/>
    <m/>
    <m/>
    <m/>
    <m/>
    <m/>
    <m/>
    <n v="0"/>
    <n v="0"/>
    <n v="0"/>
    <n v="0"/>
    <n v="0"/>
    <n v="0"/>
    <n v="0"/>
    <n v="0"/>
    <n v="0"/>
    <n v="0"/>
    <n v="0"/>
    <n v="0"/>
    <n v="0"/>
    <n v="0"/>
    <n v="0"/>
    <n v="0"/>
    <n v="0"/>
    <n v="0"/>
    <s v="MMR001CMP195"/>
    <x v="0"/>
    <x v="0"/>
    <s v="P1"/>
    <n v="1.7098192476795311E-4"/>
    <s v="No"/>
  </r>
  <r>
    <n v="50.866666666666667"/>
    <d v="2013-02-25T00:00:00"/>
    <x v="4"/>
    <s v="MRCS"/>
    <s v="Kachin"/>
    <s v="Waingmaw"/>
    <s v="Maina KBC (Bawng Ring)"/>
    <m/>
    <m/>
    <n v="235"/>
    <m/>
    <n v="174"/>
    <m/>
    <n v="61"/>
    <m/>
    <n v="0"/>
    <n v="0"/>
    <m/>
    <m/>
    <m/>
    <m/>
    <m/>
    <m/>
    <m/>
    <n v="0"/>
    <n v="0"/>
    <n v="0"/>
    <n v="0"/>
    <n v="0"/>
    <n v="0"/>
    <n v="0"/>
    <n v="0"/>
    <n v="0"/>
    <n v="0"/>
    <n v="0"/>
    <n v="0"/>
    <n v="0"/>
    <n v="0"/>
    <n v="0"/>
    <n v="0"/>
    <n v="0"/>
    <n v="0"/>
    <s v="MMR001CMP040"/>
    <x v="0"/>
    <x v="0"/>
    <s v="P4"/>
    <n v="1.4855946031514088E-3"/>
    <s v="No"/>
  </r>
  <r>
    <n v="50.866666666666667"/>
    <d v="2013-02-25T00:00:00"/>
    <x v="0"/>
    <s v="Chipwe CM"/>
    <s v="Kachin"/>
    <s v="Chipwi"/>
    <s v="Gant Gwin"/>
    <m/>
    <m/>
    <n v="11"/>
    <n v="17"/>
    <n v="7"/>
    <n v="17"/>
    <n v="7"/>
    <n v="7"/>
    <n v="7"/>
    <n v="7"/>
    <m/>
    <m/>
    <m/>
    <m/>
    <m/>
    <m/>
    <m/>
    <n v="0"/>
    <n v="0"/>
    <n v="0"/>
    <n v="0"/>
    <n v="0"/>
    <n v="0"/>
    <n v="0"/>
    <n v="0"/>
    <n v="0"/>
    <n v="0"/>
    <n v="0"/>
    <n v="0"/>
    <n v="0"/>
    <n v="0"/>
    <n v="0"/>
    <n v="0"/>
    <n v="0"/>
    <n v="0"/>
    <s v="MMR001CMP046"/>
    <x v="0"/>
    <x v="1"/>
    <s v="P1"/>
    <s v=""/>
    <s v="No"/>
  </r>
  <r>
    <n v="50.866666666666667"/>
    <d v="2013-02-25T00:00:00"/>
    <x v="0"/>
    <s v="Chipwe CM"/>
    <s v="Kachin"/>
    <s v="Chipwi"/>
    <s v="Women's Affairs Association Building"/>
    <m/>
    <m/>
    <n v="12"/>
    <n v="18"/>
    <n v="8"/>
    <n v="18"/>
    <n v="8"/>
    <n v="8"/>
    <n v="8"/>
    <n v="8"/>
    <m/>
    <m/>
    <m/>
    <m/>
    <m/>
    <m/>
    <m/>
    <n v="0"/>
    <n v="0"/>
    <n v="0"/>
    <n v="0"/>
    <n v="0"/>
    <n v="0"/>
    <n v="0"/>
    <n v="0"/>
    <n v="0"/>
    <n v="0"/>
    <n v="0"/>
    <n v="0"/>
    <n v="0"/>
    <n v="0"/>
    <n v="0"/>
    <n v="0"/>
    <n v="0"/>
    <n v="0"/>
    <s v="MMR001CMP044"/>
    <x v="0"/>
    <x v="1"/>
    <s v=""/>
    <s v=""/>
    <s v="No"/>
  </r>
  <r>
    <n v="50.833333333333336"/>
    <d v="2013-02-26T00:00:00"/>
    <x v="4"/>
    <s v="MRCS"/>
    <s v="Kachin"/>
    <s v="Waingmaw"/>
    <s v="Hkat Cho "/>
    <m/>
    <m/>
    <n v="136"/>
    <m/>
    <n v="66"/>
    <m/>
    <n v="70"/>
    <m/>
    <n v="0"/>
    <n v="0"/>
    <m/>
    <m/>
    <m/>
    <m/>
    <m/>
    <m/>
    <m/>
    <n v="0"/>
    <n v="0"/>
    <n v="0"/>
    <n v="0"/>
    <n v="0"/>
    <n v="0"/>
    <n v="0"/>
    <n v="0"/>
    <n v="0"/>
    <n v="0"/>
    <n v="0"/>
    <n v="0"/>
    <n v="0"/>
    <n v="0"/>
    <n v="0"/>
    <n v="0"/>
    <n v="0"/>
    <n v="0"/>
    <s v="MMR001CMP028"/>
    <x v="0"/>
    <x v="0"/>
    <s v="P4"/>
    <n v="1.7201130359995086E-3"/>
    <s v="No"/>
  </r>
  <r>
    <n v="50.833333333333336"/>
    <d v="2013-02-26T00:00:00"/>
    <x v="4"/>
    <s v="MRCS"/>
    <s v="Kachin"/>
    <s v="Myitkyina"/>
    <s v="Jan Mai Kawng Catholic Church"/>
    <m/>
    <m/>
    <n v="99"/>
    <m/>
    <n v="99"/>
    <m/>
    <m/>
    <m/>
    <n v="0"/>
    <n v="0"/>
    <m/>
    <m/>
    <m/>
    <m/>
    <m/>
    <m/>
    <m/>
    <n v="0"/>
    <n v="0"/>
    <n v="0"/>
    <n v="0"/>
    <n v="0"/>
    <n v="0"/>
    <n v="0"/>
    <n v="0"/>
    <n v="0"/>
    <n v="0"/>
    <n v="0"/>
    <n v="0"/>
    <n v="0"/>
    <n v="0"/>
    <n v="0"/>
    <n v="0"/>
    <n v="0"/>
    <n v="0"/>
    <s v="MMR001CMP019"/>
    <x v="0"/>
    <x v="0"/>
    <s v="P4"/>
    <n v="0"/>
    <s v="No"/>
  </r>
  <r>
    <n v="50.8"/>
    <d v="2013-02-27T00:00:00"/>
    <x v="0"/>
    <s v="UNHCR"/>
    <s v="Kachin"/>
    <s v="Waingmaw"/>
    <s v="Maina AG Church"/>
    <m/>
    <m/>
    <n v="23"/>
    <n v="40"/>
    <n v="18"/>
    <n v="40"/>
    <n v="18"/>
    <n v="18"/>
    <n v="18"/>
    <n v="18"/>
    <m/>
    <m/>
    <m/>
    <m/>
    <m/>
    <m/>
    <m/>
    <n v="0"/>
    <n v="0"/>
    <n v="0"/>
    <n v="0"/>
    <n v="0"/>
    <n v="0"/>
    <n v="0"/>
    <n v="0"/>
    <n v="0"/>
    <n v="0"/>
    <n v="0"/>
    <n v="0"/>
    <n v="0"/>
    <n v="0"/>
    <n v="0"/>
    <n v="0"/>
    <n v="0"/>
    <n v="0"/>
    <s v="MMR001CMP031"/>
    <x v="0"/>
    <x v="0"/>
    <s v="P4"/>
    <n v="4.3419529139328446E-4"/>
    <s v="No"/>
  </r>
  <r>
    <n v="50.8"/>
    <d v="2013-02-27T00:00:00"/>
    <x v="1"/>
    <s v="Solidarities"/>
    <s v="Kachin"/>
    <s v="Mansi"/>
    <s v="Man Wing Baptist Church"/>
    <n v="595"/>
    <m/>
    <m/>
    <m/>
    <m/>
    <m/>
    <m/>
    <m/>
    <n v="0"/>
    <n v="0"/>
    <m/>
    <m/>
    <m/>
    <m/>
    <m/>
    <m/>
    <m/>
    <n v="0"/>
    <n v="0"/>
    <n v="0"/>
    <n v="0"/>
    <n v="0"/>
    <n v="0"/>
    <n v="0"/>
    <n v="0"/>
    <n v="0"/>
    <n v="0"/>
    <n v="0"/>
    <n v="0"/>
    <n v="0"/>
    <n v="0"/>
    <n v="0"/>
    <n v="0"/>
    <n v="0"/>
    <n v="0"/>
    <s v="MMR001CMP133"/>
    <x v="0"/>
    <x v="0"/>
    <s v="P4"/>
    <n v="0"/>
    <s v="No"/>
  </r>
  <r>
    <n v="50.7"/>
    <d v="2013-03-02T00:00:00"/>
    <x v="1"/>
    <s v="Solidarities"/>
    <s v="Kachin"/>
    <s v="Momauk"/>
    <s v="Loi Je Baptist Church"/>
    <n v="3"/>
    <m/>
    <m/>
    <m/>
    <m/>
    <m/>
    <m/>
    <m/>
    <n v="0"/>
    <n v="0"/>
    <m/>
    <m/>
    <m/>
    <m/>
    <m/>
    <m/>
    <m/>
    <n v="0"/>
    <n v="0"/>
    <n v="0"/>
    <n v="0"/>
    <n v="0"/>
    <n v="0"/>
    <n v="0"/>
    <n v="0"/>
    <n v="0"/>
    <n v="0"/>
    <n v="0"/>
    <n v="0"/>
    <n v="0"/>
    <n v="0"/>
    <n v="0"/>
    <n v="0"/>
    <n v="0"/>
    <n v="0"/>
    <s v="MMR001CMP071"/>
    <x v="0"/>
    <x v="0"/>
    <s v="P3"/>
    <n v="0"/>
    <s v="No"/>
  </r>
  <r>
    <n v="50.7"/>
    <d v="2013-03-02T00:00:00"/>
    <x v="1"/>
    <s v="Solidarities"/>
    <s v="Kachin"/>
    <s v="Momauk"/>
    <s v="Loi Je Lisu Camp"/>
    <n v="368"/>
    <m/>
    <m/>
    <m/>
    <m/>
    <m/>
    <m/>
    <m/>
    <n v="0"/>
    <n v="0"/>
    <m/>
    <m/>
    <m/>
    <m/>
    <m/>
    <m/>
    <m/>
    <n v="0"/>
    <n v="0"/>
    <n v="0"/>
    <n v="0"/>
    <n v="0"/>
    <n v="0"/>
    <n v="0"/>
    <n v="0"/>
    <n v="0"/>
    <n v="0"/>
    <n v="0"/>
    <n v="0"/>
    <n v="0"/>
    <n v="0"/>
    <n v="0"/>
    <n v="0"/>
    <n v="0"/>
    <n v="0"/>
    <s v="MMR001CMP070"/>
    <x v="0"/>
    <x v="0"/>
    <s v="P3"/>
    <n v="0"/>
    <s v="No"/>
  </r>
  <r>
    <n v="50.7"/>
    <d v="2013-03-02T00:00:00"/>
    <x v="1"/>
    <s v="Solidarities"/>
    <s v="Kachin"/>
    <s v="Mansi"/>
    <s v="Man Wing Catholic Church"/>
    <n v="1542"/>
    <m/>
    <m/>
    <m/>
    <m/>
    <m/>
    <m/>
    <m/>
    <n v="0"/>
    <n v="0"/>
    <m/>
    <m/>
    <m/>
    <m/>
    <m/>
    <m/>
    <m/>
    <n v="0"/>
    <n v="0"/>
    <n v="0"/>
    <n v="0"/>
    <n v="0"/>
    <n v="0"/>
    <n v="0"/>
    <n v="0"/>
    <n v="0"/>
    <n v="0"/>
    <n v="0"/>
    <n v="0"/>
    <n v="0"/>
    <n v="0"/>
    <n v="0"/>
    <n v="0"/>
    <n v="0"/>
    <n v="0"/>
    <s v="MMR001CMP132"/>
    <x v="0"/>
    <x v="0"/>
    <s v="P4"/>
    <n v="0"/>
    <s v="No"/>
  </r>
  <r>
    <n v="50.666666666666664"/>
    <d v="2013-03-03T00:00:00"/>
    <x v="1"/>
    <s v="Solidarities"/>
    <s v="Kachin"/>
    <s v="Momauk"/>
    <s v="Seng Ja "/>
    <n v="33"/>
    <m/>
    <m/>
    <m/>
    <m/>
    <m/>
    <m/>
    <m/>
    <n v="0"/>
    <n v="0"/>
    <m/>
    <m/>
    <m/>
    <m/>
    <m/>
    <m/>
    <m/>
    <n v="0"/>
    <n v="0"/>
    <n v="0"/>
    <n v="0"/>
    <n v="0"/>
    <n v="0"/>
    <n v="0"/>
    <n v="0"/>
    <n v="0"/>
    <n v="0"/>
    <n v="0"/>
    <n v="0"/>
    <n v="0"/>
    <n v="0"/>
    <n v="0"/>
    <n v="0"/>
    <n v="0"/>
    <n v="0"/>
    <s v="MMR001CMP073"/>
    <x v="0"/>
    <x v="0"/>
    <s v="P3"/>
    <n v="0"/>
    <s v="No"/>
  </r>
  <r>
    <n v="50.56666666666667"/>
    <d v="2013-03-06T00:00:00"/>
    <x v="0"/>
    <s v="UNHCR"/>
    <s v="Kachin"/>
    <s v="Waingmaw"/>
    <s v="Maina KBC (Bawng Ring)"/>
    <m/>
    <m/>
    <n v="34"/>
    <n v="73"/>
    <n v="38"/>
    <n v="73"/>
    <n v="38"/>
    <n v="33"/>
    <n v="33"/>
    <n v="33"/>
    <m/>
    <m/>
    <m/>
    <m/>
    <m/>
    <m/>
    <m/>
    <n v="0"/>
    <n v="0"/>
    <n v="0"/>
    <n v="0"/>
    <n v="0"/>
    <n v="0"/>
    <n v="0"/>
    <n v="0"/>
    <n v="0"/>
    <n v="0"/>
    <n v="0"/>
    <n v="0"/>
    <n v="0"/>
    <n v="0"/>
    <n v="0"/>
    <n v="0"/>
    <n v="0"/>
    <n v="0"/>
    <s v="MMR001CMP040"/>
    <x v="0"/>
    <x v="0"/>
    <s v="P4"/>
    <n v="9.2545237573366456E-4"/>
    <s v="No"/>
  </r>
  <r>
    <n v="50.56666666666667"/>
    <d v="2013-03-06T00:00:00"/>
    <x v="0"/>
    <s v="UNHCR"/>
    <s v="Kachin"/>
    <s v="Waingmaw"/>
    <s v="Qtr. 2 Lhaovo Baptist Church"/>
    <m/>
    <m/>
    <n v="6"/>
    <n v="11"/>
    <n v="5"/>
    <n v="11"/>
    <n v="5"/>
    <n v="5"/>
    <n v="5"/>
    <n v="5"/>
    <m/>
    <m/>
    <m/>
    <m/>
    <m/>
    <m/>
    <m/>
    <n v="0"/>
    <n v="0"/>
    <n v="0"/>
    <n v="0"/>
    <n v="0"/>
    <n v="0"/>
    <n v="0"/>
    <n v="0"/>
    <n v="0"/>
    <n v="0"/>
    <n v="0"/>
    <n v="0"/>
    <n v="0"/>
    <n v="0"/>
    <n v="0"/>
    <n v="0"/>
    <n v="0"/>
    <n v="0"/>
    <s v="MMR001CMP032"/>
    <x v="0"/>
    <x v="0"/>
    <s v="P4"/>
    <n v="1.2277470841006753E-4"/>
    <s v="No"/>
  </r>
  <r>
    <n v="50.1"/>
    <d v="2013-03-20T00:00:00"/>
    <x v="0"/>
    <s v="UNHCR"/>
    <s v="Kachin"/>
    <s v="Hpakant"/>
    <s v="AG Church, Maw Wan"/>
    <m/>
    <m/>
    <n v="24"/>
    <n v="17"/>
    <n v="17"/>
    <n v="41"/>
    <n v="17"/>
    <n v="41"/>
    <n v="41"/>
    <n v="41"/>
    <m/>
    <m/>
    <m/>
    <m/>
    <m/>
    <m/>
    <m/>
    <n v="0"/>
    <n v="0"/>
    <n v="0"/>
    <n v="0"/>
    <n v="0"/>
    <n v="0"/>
    <n v="0"/>
    <n v="0"/>
    <n v="0"/>
    <n v="0"/>
    <n v="0"/>
    <n v="0"/>
    <n v="0"/>
    <n v="0"/>
    <n v="0"/>
    <n v="0"/>
    <n v="0"/>
    <n v="0"/>
    <s v="MMR001CMP190"/>
    <x v="0"/>
    <x v="0"/>
    <s v="P4"/>
    <n v="4.1187159297395516E-4"/>
    <s v="No"/>
  </r>
  <r>
    <n v="50.1"/>
    <d v="2013-03-20T00:00:00"/>
    <x v="0"/>
    <s v="UNHCR"/>
    <s v="Kachin"/>
    <s v="Hpakant"/>
    <s v="Chin Church, Seik Mu"/>
    <m/>
    <m/>
    <n v="3"/>
    <n v="8"/>
    <n v="8"/>
    <n v="15"/>
    <n v="8"/>
    <n v="15"/>
    <n v="15"/>
    <n v="15"/>
    <m/>
    <m/>
    <m/>
    <m/>
    <m/>
    <m/>
    <m/>
    <n v="0"/>
    <n v="0"/>
    <n v="0"/>
    <n v="0"/>
    <n v="0"/>
    <n v="0"/>
    <n v="0"/>
    <n v="0"/>
    <n v="0"/>
    <n v="0"/>
    <n v="0"/>
    <n v="0"/>
    <n v="0"/>
    <n v="0"/>
    <n v="0"/>
    <n v="0"/>
    <n v="0"/>
    <n v="0"/>
    <s v="MMR001CMP109"/>
    <x v="0"/>
    <x v="0"/>
    <s v="P4"/>
    <n v="1.9283148938221612E-4"/>
    <s v="No"/>
  </r>
  <r>
    <n v="50.1"/>
    <d v="2013-03-20T00:00:00"/>
    <x v="0"/>
    <s v="UNHCR"/>
    <s v="Kachin"/>
    <s v="Hpakant"/>
    <s v="Lisu Baptist Church, Maw Wan Ward"/>
    <m/>
    <m/>
    <n v="32"/>
    <n v="27"/>
    <n v="27"/>
    <n v="66"/>
    <n v="27"/>
    <n v="66"/>
    <n v="66"/>
    <n v="66"/>
    <m/>
    <m/>
    <m/>
    <m/>
    <m/>
    <m/>
    <m/>
    <n v="0"/>
    <n v="0"/>
    <n v="0"/>
    <n v="0"/>
    <n v="0"/>
    <n v="0"/>
    <n v="0"/>
    <n v="0"/>
    <n v="0"/>
    <n v="0"/>
    <n v="0"/>
    <n v="0"/>
    <n v="0"/>
    <n v="0"/>
    <n v="0"/>
    <n v="0"/>
    <n v="0"/>
    <n v="0"/>
    <s v="MMR001CMP167"/>
    <x v="0"/>
    <x v="0"/>
    <s v="P4"/>
    <n v="6.5414900060569347E-4"/>
    <s v="No"/>
  </r>
  <r>
    <n v="50.1"/>
    <d v="2013-03-20T00:00:00"/>
    <x v="0"/>
    <s v="UNHCR"/>
    <s v="Kachin"/>
    <s v="Hpakant"/>
    <s v="Maw Wan, Mu-yin Baptist Church"/>
    <m/>
    <m/>
    <n v="17"/>
    <n v="17"/>
    <n v="17"/>
    <n v="41"/>
    <n v="17"/>
    <n v="41"/>
    <n v="41"/>
    <n v="41"/>
    <m/>
    <m/>
    <m/>
    <m/>
    <m/>
    <m/>
    <m/>
    <n v="0"/>
    <n v="0"/>
    <n v="0"/>
    <n v="0"/>
    <n v="0"/>
    <n v="0"/>
    <n v="0"/>
    <n v="0"/>
    <n v="0"/>
    <n v="0"/>
    <n v="0"/>
    <n v="0"/>
    <n v="0"/>
    <n v="0"/>
    <n v="0"/>
    <n v="0"/>
    <n v="0"/>
    <n v="0"/>
    <s v="MMR001CMP091"/>
    <x v="0"/>
    <x v="0"/>
    <s v="P4"/>
    <n v="4.1340401731433294E-4"/>
    <s v="No"/>
  </r>
  <r>
    <n v="50.1"/>
    <d v="2013-03-20T00:00:00"/>
    <x v="0"/>
    <s v="UNHCR"/>
    <s v="Kachin"/>
    <s v="Hpakant"/>
    <s v="Ward 2 Sai Taung Baptist Church, Seik Mu "/>
    <m/>
    <m/>
    <n v="124"/>
    <n v="117"/>
    <n v="121"/>
    <n v="227"/>
    <n v="122"/>
    <n v="263"/>
    <n v="263"/>
    <n v="263"/>
    <m/>
    <m/>
    <m/>
    <m/>
    <m/>
    <m/>
    <m/>
    <n v="0"/>
    <n v="0"/>
    <n v="0"/>
    <n v="0"/>
    <n v="0"/>
    <n v="0"/>
    <n v="0"/>
    <n v="0"/>
    <n v="0"/>
    <n v="0"/>
    <n v="0"/>
    <n v="0"/>
    <n v="0"/>
    <n v="0"/>
    <n v="0"/>
    <n v="0"/>
    <n v="0"/>
    <n v="0"/>
    <s v="MMR001CMP184"/>
    <x v="0"/>
    <x v="0"/>
    <s v="P4"/>
    <n v="2.9557843731072078E-3"/>
    <s v="No"/>
  </r>
  <r>
    <n v="50.1"/>
    <d v="2013-03-20T00:00:00"/>
    <x v="0"/>
    <s v="UNHCR"/>
    <s v="Kachin"/>
    <s v="Hpakant"/>
    <s v="Anglican Church, Hmaw Si Sar"/>
    <m/>
    <m/>
    <n v="38"/>
    <n v="11"/>
    <n v="11"/>
    <n v="87"/>
    <n v="11"/>
    <n v="26"/>
    <n v="26"/>
    <n v="26"/>
    <m/>
    <m/>
    <m/>
    <m/>
    <m/>
    <m/>
    <m/>
    <n v="0"/>
    <n v="0"/>
    <n v="0"/>
    <n v="0"/>
    <n v="0"/>
    <n v="0"/>
    <n v="0"/>
    <n v="0"/>
    <n v="0"/>
    <n v="0"/>
    <n v="0"/>
    <n v="0"/>
    <n v="0"/>
    <n v="0"/>
    <n v="0"/>
    <n v="0"/>
    <n v="0"/>
    <n v="0"/>
    <s v="MMR001CMP173"/>
    <x v="0"/>
    <x v="1"/>
    <s v=""/>
    <s v=""/>
    <s v="No"/>
  </r>
  <r>
    <n v="50.1"/>
    <d v="2013-03-20T00:00:00"/>
    <x v="0"/>
    <s v="UNHCR"/>
    <s v="Kachin"/>
    <s v="Hpakant"/>
    <s v="Chin(Zomi) Baptist Church"/>
    <m/>
    <m/>
    <n v="9"/>
    <n v="6"/>
    <n v="6"/>
    <n v="15"/>
    <n v="6"/>
    <n v="15"/>
    <n v="15"/>
    <n v="15"/>
    <m/>
    <m/>
    <m/>
    <m/>
    <m/>
    <m/>
    <m/>
    <n v="0"/>
    <n v="0"/>
    <n v="0"/>
    <n v="0"/>
    <n v="0"/>
    <n v="0"/>
    <n v="0"/>
    <n v="0"/>
    <n v="0"/>
    <n v="0"/>
    <n v="0"/>
    <n v="0"/>
    <n v="0"/>
    <n v="0"/>
    <n v="0"/>
    <n v="0"/>
    <n v="0"/>
    <n v="0"/>
    <s v="MMR001CMP086"/>
    <x v="0"/>
    <x v="1"/>
    <s v=""/>
    <s v=""/>
    <s v="No"/>
  </r>
  <r>
    <n v="50.1"/>
    <d v="2013-03-20T00:00:00"/>
    <x v="0"/>
    <s v="UNHCR"/>
    <s v="Kachin"/>
    <s v="Hpakant"/>
    <s v="Maw Wan, Kachin Baptist Church"/>
    <m/>
    <m/>
    <n v="18"/>
    <n v="17"/>
    <n v="17"/>
    <n v="42"/>
    <n v="17"/>
    <n v="42"/>
    <n v="42"/>
    <n v="42"/>
    <m/>
    <m/>
    <m/>
    <m/>
    <m/>
    <m/>
    <m/>
    <n v="0"/>
    <n v="0"/>
    <n v="0"/>
    <n v="0"/>
    <n v="0"/>
    <n v="0"/>
    <n v="0"/>
    <n v="0"/>
    <n v="0"/>
    <n v="0"/>
    <n v="0"/>
    <n v="0"/>
    <n v="0"/>
    <n v="0"/>
    <n v="0"/>
    <n v="0"/>
    <n v="0"/>
    <n v="0"/>
    <s v="MMR001CMP085"/>
    <x v="0"/>
    <x v="1"/>
    <s v=""/>
    <s v=""/>
    <s v="No"/>
  </r>
  <r>
    <n v="50.1"/>
    <d v="2013-03-20T00:00:00"/>
    <x v="0"/>
    <s v="UNHCR"/>
    <s v="Kachin"/>
    <s v="Hpakant"/>
    <s v="Muring Baptist Church, Awng Ra, Wa Ra Zut VT"/>
    <m/>
    <m/>
    <n v="48"/>
    <n v="48"/>
    <n v="48"/>
    <n v="98"/>
    <n v="48"/>
    <n v="98"/>
    <n v="98"/>
    <n v="98"/>
    <m/>
    <m/>
    <m/>
    <m/>
    <m/>
    <m/>
    <m/>
    <n v="0"/>
    <n v="0"/>
    <n v="0"/>
    <n v="0"/>
    <n v="0"/>
    <n v="0"/>
    <n v="0"/>
    <n v="0"/>
    <n v="0"/>
    <n v="0"/>
    <n v="0"/>
    <n v="0"/>
    <n v="0"/>
    <n v="0"/>
    <n v="0"/>
    <n v="0"/>
    <n v="0"/>
    <n v="0"/>
    <s v="MMR001CMP177"/>
    <x v="0"/>
    <x v="1"/>
    <s v=""/>
    <n v="1.162931556632344E-3"/>
    <s v="No"/>
  </r>
  <r>
    <n v="50.1"/>
    <d v="2013-03-20T00:00:00"/>
    <x v="0"/>
    <s v="UNHCR"/>
    <s v="Kachin"/>
    <s v="Hpakant"/>
    <s v="Wrad(5) Christian Association"/>
    <m/>
    <m/>
    <n v="34"/>
    <n v="26"/>
    <n v="26"/>
    <n v="60"/>
    <n v="26"/>
    <n v="60"/>
    <n v="60"/>
    <n v="60"/>
    <m/>
    <m/>
    <m/>
    <m/>
    <m/>
    <m/>
    <m/>
    <n v="0"/>
    <n v="0"/>
    <n v="0"/>
    <n v="0"/>
    <n v="0"/>
    <n v="0"/>
    <n v="0"/>
    <n v="0"/>
    <n v="0"/>
    <n v="0"/>
    <n v="0"/>
    <n v="0"/>
    <n v="0"/>
    <n v="0"/>
    <n v="0"/>
    <n v="0"/>
    <n v="0"/>
    <n v="0"/>
    <s v="MMR001CMP175"/>
    <x v="0"/>
    <x v="1"/>
    <s v=""/>
    <s v=""/>
    <s v="No"/>
  </r>
  <r>
    <n v="50.1"/>
    <d v="2013-03-20T00:00:00"/>
    <x v="0"/>
    <s v="UNHCR"/>
    <s v="Kachin"/>
    <s v="Hpakant"/>
    <s v="Zomee Baptist Church camp, Hmaw Wan"/>
    <m/>
    <m/>
    <n v="6"/>
    <n v="0"/>
    <n v="0"/>
    <n v="11"/>
    <n v="0"/>
    <n v="0"/>
    <m/>
    <m/>
    <m/>
    <m/>
    <m/>
    <m/>
    <m/>
    <m/>
    <m/>
    <n v="0"/>
    <n v="0"/>
    <n v="0"/>
    <n v="0"/>
    <n v="0"/>
    <n v="0"/>
    <n v="0"/>
    <n v="0"/>
    <n v="0"/>
    <n v="0"/>
    <n v="0"/>
    <n v="0"/>
    <n v="0"/>
    <n v="0"/>
    <n v="0"/>
    <n v="0"/>
    <n v="0"/>
    <n v="0"/>
    <s v="MMR001CMP201"/>
    <x v="0"/>
    <x v="1"/>
    <s v=""/>
    <s v=""/>
    <s v="No"/>
  </r>
  <r>
    <n v="50.06666666666667"/>
    <d v="2013-03-21T00:00:00"/>
    <x v="0"/>
    <s v="UNHCR"/>
    <s v="Kachin"/>
    <s v="Hpakant"/>
    <s v="Lisu Baptist Church, Maw Shan Vil,. Seik Mu"/>
    <m/>
    <m/>
    <n v="34"/>
    <n v="40"/>
    <n v="40"/>
    <n v="75"/>
    <n v="40"/>
    <n v="75"/>
    <n v="75"/>
    <n v="75"/>
    <m/>
    <m/>
    <m/>
    <m/>
    <m/>
    <m/>
    <m/>
    <n v="0"/>
    <n v="0"/>
    <n v="0"/>
    <n v="0"/>
    <n v="0"/>
    <n v="0"/>
    <n v="0"/>
    <n v="0"/>
    <n v="0"/>
    <n v="0"/>
    <n v="0"/>
    <n v="0"/>
    <n v="0"/>
    <n v="0"/>
    <n v="0"/>
    <n v="0"/>
    <n v="0"/>
    <n v="0"/>
    <s v="MMR001CMP181"/>
    <x v="0"/>
    <x v="0"/>
    <s v="P4"/>
    <n v="9.6910963052695336E-4"/>
    <s v="No"/>
  </r>
  <r>
    <n v="50.06666666666667"/>
    <d v="2013-03-21T00:00:00"/>
    <x v="0"/>
    <s v="UNHCR"/>
    <s v="Kachin"/>
    <s v="Hpakant"/>
    <s v="Rawan Baptist Church, Maw Shan Vil., Seik Mu"/>
    <m/>
    <m/>
    <n v="15"/>
    <n v="8"/>
    <n v="8"/>
    <n v="17"/>
    <n v="8"/>
    <n v="17"/>
    <n v="17"/>
    <n v="17"/>
    <m/>
    <m/>
    <m/>
    <m/>
    <m/>
    <m/>
    <m/>
    <n v="0"/>
    <n v="0"/>
    <n v="0"/>
    <n v="0"/>
    <n v="0"/>
    <n v="0"/>
    <n v="0"/>
    <n v="0"/>
    <n v="0"/>
    <n v="0"/>
    <n v="0"/>
    <n v="0"/>
    <n v="0"/>
    <n v="0"/>
    <n v="0"/>
    <n v="0"/>
    <n v="0"/>
    <n v="0"/>
    <s v="MMR001CMP182"/>
    <x v="0"/>
    <x v="0"/>
    <s v="P4"/>
    <n v="1.9382192610539067E-4"/>
    <s v="No"/>
  </r>
  <r>
    <n v="49.8"/>
    <d v="2013-03-29T00:00:00"/>
    <x v="4"/>
    <s v="MRCS"/>
    <s v="Kachin"/>
    <s v="Sumprabum"/>
    <s v="Sumprabum"/>
    <m/>
    <m/>
    <n v="6"/>
    <m/>
    <m/>
    <m/>
    <n v="6"/>
    <m/>
    <n v="0"/>
    <n v="0"/>
    <m/>
    <m/>
    <m/>
    <m/>
    <m/>
    <m/>
    <m/>
    <n v="0"/>
    <n v="0"/>
    <n v="0"/>
    <n v="0"/>
    <n v="0"/>
    <n v="0"/>
    <n v="0"/>
    <n v="0"/>
    <n v="0"/>
    <n v="0"/>
    <n v="0"/>
    <n v="0"/>
    <n v="0"/>
    <n v="0"/>
    <n v="0"/>
    <n v="0"/>
    <n v="0"/>
    <n v="0"/>
    <s v="MMR001CMP206"/>
    <x v="0"/>
    <x v="0"/>
    <s v="P4"/>
    <s v=""/>
    <s v="No"/>
  </r>
  <r>
    <n v="49.633333333333333"/>
    <d v="2013-04-03T00:00:00"/>
    <x v="0"/>
    <s v="UNHCR"/>
    <s v="Kachin"/>
    <s v="Waingmaw"/>
    <s v="Maina AG Church"/>
    <m/>
    <m/>
    <n v="15"/>
    <n v="22"/>
    <n v="11"/>
    <n v="22"/>
    <n v="11"/>
    <n v="11"/>
    <n v="11"/>
    <n v="11"/>
    <m/>
    <m/>
    <m/>
    <m/>
    <m/>
    <m/>
    <m/>
    <n v="0"/>
    <n v="0"/>
    <n v="0"/>
    <n v="0"/>
    <n v="0"/>
    <n v="0"/>
    <n v="0"/>
    <n v="0"/>
    <n v="0"/>
    <n v="0"/>
    <n v="0"/>
    <n v="0"/>
    <n v="0"/>
    <n v="0"/>
    <n v="0"/>
    <n v="0"/>
    <n v="0"/>
    <n v="0"/>
    <s v="MMR001CMP031"/>
    <x v="0"/>
    <x v="0"/>
    <s v="P4"/>
    <n v="2.6534156696256272E-4"/>
    <s v="No"/>
  </r>
  <r>
    <n v="49.633333333333333"/>
    <d v="2013-04-03T00:00:00"/>
    <x v="0"/>
    <s v="UNHCR"/>
    <s v="Kachin"/>
    <s v="Waingmaw"/>
    <s v="Waingmaw AG Church"/>
    <m/>
    <m/>
    <n v="4"/>
    <n v="7"/>
    <n v="3"/>
    <n v="7"/>
    <n v="3"/>
    <n v="3"/>
    <n v="3"/>
    <n v="3"/>
    <m/>
    <m/>
    <m/>
    <m/>
    <m/>
    <m/>
    <m/>
    <n v="0"/>
    <n v="0"/>
    <n v="0"/>
    <n v="0"/>
    <n v="0"/>
    <n v="0"/>
    <n v="0"/>
    <n v="0"/>
    <n v="0"/>
    <n v="0"/>
    <n v="0"/>
    <n v="0"/>
    <n v="0"/>
    <n v="0"/>
    <n v="0"/>
    <n v="0"/>
    <n v="0"/>
    <n v="0"/>
    <s v="MMR001CMP038"/>
    <x v="0"/>
    <x v="0"/>
    <s v="P4"/>
    <n v="7.3443008225616919E-5"/>
    <s v="No"/>
  </r>
  <r>
    <n v="48.5"/>
    <d v="2013-05-07T00:00:00"/>
    <x v="5"/>
    <s v="KMSS"/>
    <s v="Kachin"/>
    <s v="Myitkyina"/>
    <s v="Pa Dauk Myaing(Pa La Na)"/>
    <n v="149"/>
    <m/>
    <m/>
    <m/>
    <m/>
    <m/>
    <m/>
    <m/>
    <m/>
    <m/>
    <m/>
    <m/>
    <m/>
    <m/>
    <m/>
    <m/>
    <m/>
    <n v="0"/>
    <n v="0"/>
    <n v="0"/>
    <n v="0"/>
    <n v="0"/>
    <n v="0"/>
    <n v="0"/>
    <n v="0"/>
    <n v="0"/>
    <n v="0"/>
    <n v="0"/>
    <n v="0"/>
    <n v="0"/>
    <n v="0"/>
    <n v="0"/>
    <n v="0"/>
    <n v="0"/>
    <n v="0"/>
    <s v="MMR001CMP162"/>
    <x v="0"/>
    <x v="0"/>
    <s v="P4"/>
    <n v="0"/>
    <s v="No"/>
  </r>
  <r>
    <n v="48.466666666666669"/>
    <d v="2013-05-08T00:00:00"/>
    <x v="5"/>
    <s v="KMSS"/>
    <s v="Kachin"/>
    <s v="Waingmaw"/>
    <s v="Maina Catholic Church (St. Joseph)"/>
    <n v="1062"/>
    <m/>
    <m/>
    <m/>
    <m/>
    <m/>
    <m/>
    <m/>
    <m/>
    <m/>
    <m/>
    <m/>
    <m/>
    <m/>
    <m/>
    <m/>
    <m/>
    <n v="0"/>
    <n v="0"/>
    <n v="0"/>
    <n v="0"/>
    <n v="0"/>
    <n v="0"/>
    <n v="0"/>
    <n v="0"/>
    <n v="0"/>
    <n v="0"/>
    <n v="0"/>
    <n v="0"/>
    <n v="0"/>
    <n v="0"/>
    <n v="0"/>
    <n v="0"/>
    <n v="0"/>
    <n v="0"/>
    <s v="MMR001CMP029"/>
    <x v="0"/>
    <x v="0"/>
    <s v="P4"/>
    <n v="0"/>
    <s v="No"/>
  </r>
  <r>
    <n v="48.43333333333333"/>
    <d v="2013-05-09T00:00:00"/>
    <x v="5"/>
    <s v="KMSS"/>
    <s v="Kachin"/>
    <s v="Myitkyina"/>
    <s v="Jan Mai Kawng Catholic Church"/>
    <n v="460"/>
    <m/>
    <m/>
    <m/>
    <m/>
    <m/>
    <m/>
    <m/>
    <m/>
    <m/>
    <m/>
    <m/>
    <m/>
    <m/>
    <m/>
    <m/>
    <m/>
    <n v="0"/>
    <n v="0"/>
    <n v="0"/>
    <n v="0"/>
    <n v="0"/>
    <n v="0"/>
    <n v="0"/>
    <n v="0"/>
    <n v="0"/>
    <n v="0"/>
    <n v="0"/>
    <n v="0"/>
    <n v="0"/>
    <n v="0"/>
    <n v="0"/>
    <n v="0"/>
    <n v="0"/>
    <n v="0"/>
    <s v="MMR001CMP019"/>
    <x v="0"/>
    <x v="0"/>
    <s v="P4"/>
    <n v="0"/>
    <s v="No"/>
  </r>
  <r>
    <n v="48.43333333333333"/>
    <d v="2013-05-09T00:00:00"/>
    <x v="5"/>
    <s v="KMSS"/>
    <s v="Kachin"/>
    <s v="Myitkyina"/>
    <s v="Nan Kway St. John Catholic Church"/>
    <n v="324"/>
    <m/>
    <m/>
    <m/>
    <m/>
    <m/>
    <m/>
    <m/>
    <m/>
    <m/>
    <m/>
    <m/>
    <m/>
    <m/>
    <m/>
    <m/>
    <m/>
    <n v="0"/>
    <n v="0"/>
    <n v="0"/>
    <n v="0"/>
    <n v="0"/>
    <n v="0"/>
    <n v="0"/>
    <n v="0"/>
    <n v="0"/>
    <n v="0"/>
    <n v="0"/>
    <n v="0"/>
    <n v="0"/>
    <n v="0"/>
    <n v="0"/>
    <n v="0"/>
    <n v="0"/>
    <n v="0"/>
    <s v="MMR001CMP024"/>
    <x v="0"/>
    <x v="0"/>
    <s v="P4"/>
    <n v="0"/>
    <s v="No"/>
  </r>
  <r>
    <n v="48.366666666666667"/>
    <d v="2013-05-11T00:00:00"/>
    <x v="5"/>
    <s v="KMSS"/>
    <s v="Kachin"/>
    <s v="Waingmaw"/>
    <s v="Post 6 Camp"/>
    <n v="490"/>
    <m/>
    <m/>
    <m/>
    <m/>
    <m/>
    <m/>
    <m/>
    <m/>
    <m/>
    <m/>
    <m/>
    <m/>
    <m/>
    <m/>
    <m/>
    <m/>
    <n v="0"/>
    <n v="0"/>
    <n v="0"/>
    <n v="0"/>
    <n v="0"/>
    <n v="0"/>
    <n v="0"/>
    <n v="0"/>
    <n v="0"/>
    <n v="0"/>
    <n v="0"/>
    <n v="0"/>
    <n v="0"/>
    <n v="0"/>
    <n v="0"/>
    <n v="0"/>
    <n v="0"/>
    <n v="0"/>
    <s v="MMR001CMP160"/>
    <x v="0"/>
    <x v="0"/>
    <s v="P1"/>
    <n v="0"/>
    <s v="No"/>
  </r>
  <r>
    <n v="48.266666666666666"/>
    <d v="2013-05-14T00:00:00"/>
    <x v="5"/>
    <s v="KMSS"/>
    <s v="Kachin"/>
    <s v="Waingmaw"/>
    <s v="Border Post 8"/>
    <n v="604"/>
    <m/>
    <m/>
    <m/>
    <m/>
    <m/>
    <m/>
    <m/>
    <m/>
    <m/>
    <m/>
    <m/>
    <m/>
    <m/>
    <m/>
    <m/>
    <m/>
    <n v="0"/>
    <n v="0"/>
    <n v="0"/>
    <n v="0"/>
    <n v="0"/>
    <n v="0"/>
    <n v="0"/>
    <n v="0"/>
    <n v="0"/>
    <n v="0"/>
    <n v="0"/>
    <n v="0"/>
    <n v="0"/>
    <n v="0"/>
    <n v="0"/>
    <n v="0"/>
    <n v="0"/>
    <n v="0"/>
    <s v="MMR001CMP113"/>
    <x v="0"/>
    <x v="0"/>
    <s v="P1"/>
    <n v="0"/>
    <s v="No"/>
  </r>
  <r>
    <n v="48.2"/>
    <d v="2013-05-16T00:00:00"/>
    <x v="5"/>
    <s v="KMSS"/>
    <s v="Kachin"/>
    <s v="Hpakant"/>
    <s v="Nant Ma Hpit Catholic Church"/>
    <n v="423"/>
    <m/>
    <m/>
    <m/>
    <m/>
    <m/>
    <m/>
    <m/>
    <m/>
    <m/>
    <m/>
    <m/>
    <m/>
    <m/>
    <m/>
    <m/>
    <m/>
    <n v="0"/>
    <n v="0"/>
    <n v="0"/>
    <n v="0"/>
    <n v="0"/>
    <n v="0"/>
    <n v="0"/>
    <n v="0"/>
    <n v="0"/>
    <n v="0"/>
    <n v="0"/>
    <n v="0"/>
    <n v="0"/>
    <n v="0"/>
    <n v="0"/>
    <n v="0"/>
    <n v="0"/>
    <n v="0"/>
    <s v="MMR001CMP103"/>
    <x v="0"/>
    <x v="0"/>
    <s v="P4"/>
    <n v="0"/>
    <s v="No"/>
  </r>
  <r>
    <n v="48.2"/>
    <d v="2013-05-16T00:00:00"/>
    <x v="5"/>
    <s v="KMSS"/>
    <s v="Kachin"/>
    <s v="Hpakant"/>
    <s v="Lawng Hkang"/>
    <n v="394"/>
    <m/>
    <m/>
    <m/>
    <m/>
    <m/>
    <m/>
    <m/>
    <m/>
    <m/>
    <m/>
    <m/>
    <m/>
    <m/>
    <m/>
    <m/>
    <m/>
    <n v="0"/>
    <n v="0"/>
    <n v="0"/>
    <n v="0"/>
    <n v="0"/>
    <n v="0"/>
    <n v="0"/>
    <n v="0"/>
    <n v="0"/>
    <n v="0"/>
    <n v="0"/>
    <n v="0"/>
    <n v="0"/>
    <n v="0"/>
    <n v="0"/>
    <n v="0"/>
    <n v="0"/>
    <n v="0"/>
    <s v=""/>
    <x v="1"/>
    <x v="2"/>
    <s v=""/>
    <s v=""/>
    <s v="No"/>
  </r>
  <r>
    <n v="48.2"/>
    <d v="2013-05-16T00:00:00"/>
    <x v="5"/>
    <s v="KMSS"/>
    <s v="Kachin"/>
    <s v="Hpakant"/>
    <s v="Ward 2 Cahotlic Church, Seik Mu"/>
    <n v="103"/>
    <m/>
    <m/>
    <m/>
    <m/>
    <m/>
    <m/>
    <m/>
    <m/>
    <m/>
    <m/>
    <m/>
    <m/>
    <m/>
    <m/>
    <m/>
    <m/>
    <n v="0"/>
    <n v="0"/>
    <n v="0"/>
    <n v="0"/>
    <n v="0"/>
    <n v="0"/>
    <n v="0"/>
    <n v="0"/>
    <n v="0"/>
    <n v="0"/>
    <n v="0"/>
    <n v="0"/>
    <n v="0"/>
    <n v="0"/>
    <n v="0"/>
    <n v="0"/>
    <n v="0"/>
    <n v="0"/>
    <s v="MMR001CMP185"/>
    <x v="0"/>
    <x v="1"/>
    <s v=""/>
    <n v="0"/>
    <s v="No"/>
  </r>
  <r>
    <n v="48"/>
    <d v="2013-05-22T00:00:00"/>
    <x v="5"/>
    <s v="KMSS"/>
    <s v="Kachin"/>
    <s v="Chipwi"/>
    <s v="Chipwi KBC camp"/>
    <n v="510"/>
    <m/>
    <m/>
    <m/>
    <m/>
    <m/>
    <m/>
    <m/>
    <m/>
    <m/>
    <m/>
    <m/>
    <m/>
    <m/>
    <m/>
    <m/>
    <m/>
    <n v="0"/>
    <n v="0"/>
    <n v="0"/>
    <n v="0"/>
    <n v="0"/>
    <n v="0"/>
    <n v="0"/>
    <n v="0"/>
    <n v="0"/>
    <n v="0"/>
    <n v="0"/>
    <n v="0"/>
    <n v="0"/>
    <n v="0"/>
    <n v="0"/>
    <n v="0"/>
    <n v="0"/>
    <n v="0"/>
    <s v="MMR001CMP042"/>
    <x v="0"/>
    <x v="0"/>
    <s v="P1"/>
    <n v="0"/>
    <s v="No"/>
  </r>
  <r>
    <n v="48"/>
    <d v="2013-05-22T00:00:00"/>
    <x v="0"/>
    <s v="UNHCR"/>
    <s v="Kachin"/>
    <s v="Chipwi"/>
    <s v="Chipwi KBC camp"/>
    <m/>
    <m/>
    <n v="80"/>
    <n v="84"/>
    <n v="41"/>
    <n v="84"/>
    <n v="41"/>
    <n v="41"/>
    <n v="41"/>
    <n v="41"/>
    <m/>
    <m/>
    <m/>
    <m/>
    <m/>
    <m/>
    <m/>
    <n v="0"/>
    <n v="0"/>
    <n v="0"/>
    <n v="0"/>
    <n v="0"/>
    <n v="0"/>
    <n v="0"/>
    <n v="0"/>
    <n v="0"/>
    <n v="0"/>
    <n v="0"/>
    <n v="0"/>
    <n v="0"/>
    <n v="0"/>
    <n v="0"/>
    <n v="0"/>
    <n v="0"/>
    <n v="0"/>
    <s v="MMR001CMP042"/>
    <x v="0"/>
    <x v="0"/>
    <s v="P1"/>
    <n v="9.9408398797400837E-4"/>
    <s v="No"/>
  </r>
  <r>
    <n v="48"/>
    <d v="2013-05-22T00:00:00"/>
    <x v="5"/>
    <s v="KMSS"/>
    <s v="Kachin"/>
    <s v="Chipwi"/>
    <s v="Lhaovao Baptist Church (LBC)"/>
    <n v="35"/>
    <m/>
    <m/>
    <m/>
    <m/>
    <m/>
    <m/>
    <m/>
    <m/>
    <m/>
    <m/>
    <m/>
    <m/>
    <m/>
    <m/>
    <m/>
    <m/>
    <n v="0"/>
    <n v="0"/>
    <n v="0"/>
    <n v="0"/>
    <n v="0"/>
    <n v="0"/>
    <n v="0"/>
    <n v="0"/>
    <n v="0"/>
    <n v="0"/>
    <n v="0"/>
    <n v="0"/>
    <n v="0"/>
    <n v="0"/>
    <n v="0"/>
    <n v="0"/>
    <n v="0"/>
    <n v="0"/>
    <s v="MMR001CMP195"/>
    <x v="0"/>
    <x v="0"/>
    <s v="P1"/>
    <n v="0"/>
    <s v="No"/>
  </r>
  <r>
    <n v="48"/>
    <d v="2013-05-22T00:00:00"/>
    <x v="0"/>
    <s v="UNHCR"/>
    <s v="Kachin"/>
    <s v="Hpakant"/>
    <s v="Nam Ma Phyit, COC"/>
    <m/>
    <m/>
    <n v="34"/>
    <n v="61"/>
    <n v="30"/>
    <n v="61"/>
    <n v="30"/>
    <n v="30"/>
    <n v="30"/>
    <n v="30"/>
    <m/>
    <m/>
    <m/>
    <m/>
    <m/>
    <m/>
    <m/>
    <n v="0"/>
    <n v="0"/>
    <n v="0"/>
    <n v="0"/>
    <n v="0"/>
    <n v="0"/>
    <n v="0"/>
    <n v="0"/>
    <n v="0"/>
    <n v="0"/>
    <n v="0"/>
    <n v="0"/>
    <n v="0"/>
    <n v="0"/>
    <n v="0"/>
    <n v="0"/>
    <n v="0"/>
    <n v="0"/>
    <s v="MMR001CMP192"/>
    <x v="0"/>
    <x v="0"/>
    <s v="P4"/>
    <n v="7.2683222289521504E-4"/>
    <s v="No"/>
  </r>
  <r>
    <n v="48"/>
    <d v="2013-05-22T00:00:00"/>
    <x v="0"/>
    <s v="UNHCR"/>
    <s v="Kachin"/>
    <s v="Waingmaw"/>
    <s v="Qtr. 2 Lhaovo Baptist Church"/>
    <m/>
    <m/>
    <n v="18"/>
    <n v="20"/>
    <n v="14"/>
    <n v="20"/>
    <n v="10"/>
    <n v="10"/>
    <n v="10"/>
    <n v="10"/>
    <m/>
    <m/>
    <m/>
    <m/>
    <m/>
    <m/>
    <m/>
    <n v="0"/>
    <n v="0"/>
    <n v="0"/>
    <n v="0"/>
    <n v="0"/>
    <n v="0"/>
    <n v="0"/>
    <n v="0"/>
    <n v="0"/>
    <n v="0"/>
    <n v="0"/>
    <n v="0"/>
    <n v="0"/>
    <n v="0"/>
    <n v="0"/>
    <n v="0"/>
    <n v="0"/>
    <n v="0"/>
    <s v="MMR001CMP032"/>
    <x v="0"/>
    <x v="0"/>
    <s v="P4"/>
    <n v="2.4554941682013506E-4"/>
    <s v="No"/>
  </r>
  <r>
    <n v="48"/>
    <d v="2013-05-22T00:00:00"/>
    <x v="0"/>
    <s v="UNHCR"/>
    <s v="Kachin"/>
    <s v="Hpakant"/>
    <s v="Yumar Baptist Church"/>
    <m/>
    <m/>
    <n v="42"/>
    <n v="66"/>
    <n v="28"/>
    <n v="66"/>
    <n v="28"/>
    <n v="28"/>
    <n v="28"/>
    <n v="28"/>
    <m/>
    <m/>
    <m/>
    <m/>
    <m/>
    <m/>
    <m/>
    <n v="0"/>
    <n v="0"/>
    <n v="0"/>
    <n v="0"/>
    <n v="0"/>
    <n v="0"/>
    <n v="0"/>
    <n v="0"/>
    <n v="0"/>
    <n v="0"/>
    <n v="0"/>
    <n v="0"/>
    <n v="0"/>
    <n v="0"/>
    <n v="0"/>
    <n v="0"/>
    <n v="0"/>
    <n v="0"/>
    <s v="MMR001CMP105"/>
    <x v="0"/>
    <x v="0"/>
    <s v="P4"/>
    <n v="6.8090073440007777E-4"/>
    <s v="No"/>
  </r>
  <r>
    <n v="48"/>
    <d v="2013-05-22T00:00:00"/>
    <x v="0"/>
    <s v="UNHCR"/>
    <s v="Kachin"/>
    <s v="Hpakant"/>
    <s v="Mashi Kahtawng Baptist  Church"/>
    <m/>
    <m/>
    <n v="48"/>
    <n v="74"/>
    <n v="31"/>
    <n v="74"/>
    <n v="31"/>
    <n v="31"/>
    <n v="31"/>
    <n v="31"/>
    <m/>
    <m/>
    <m/>
    <m/>
    <m/>
    <m/>
    <m/>
    <n v="0"/>
    <n v="0"/>
    <n v="0"/>
    <n v="0"/>
    <n v="0"/>
    <n v="0"/>
    <n v="0"/>
    <n v="0"/>
    <n v="0"/>
    <n v="0"/>
    <n v="0"/>
    <n v="0"/>
    <n v="0"/>
    <n v="0"/>
    <n v="0"/>
    <n v="0"/>
    <n v="0"/>
    <n v="0"/>
    <s v="MMR001CMP094"/>
    <x v="0"/>
    <x v="1"/>
    <s v=""/>
    <s v=""/>
    <s v="No"/>
  </r>
  <r>
    <n v="48"/>
    <d v="2013-05-22T00:00:00"/>
    <x v="0"/>
    <s v="UNHCR"/>
    <s v="Kachin"/>
    <s v="Hpakant"/>
    <s v="Nga Pyaw Taw Baptist Nursery School "/>
    <m/>
    <m/>
    <n v="273"/>
    <n v="339"/>
    <n v="151"/>
    <n v="339"/>
    <n v="151"/>
    <n v="151"/>
    <n v="151"/>
    <n v="151"/>
    <m/>
    <m/>
    <m/>
    <m/>
    <m/>
    <m/>
    <m/>
    <n v="0"/>
    <n v="0"/>
    <n v="0"/>
    <n v="0"/>
    <n v="0"/>
    <n v="0"/>
    <n v="0"/>
    <n v="0"/>
    <n v="0"/>
    <n v="0"/>
    <n v="0"/>
    <n v="0"/>
    <n v="0"/>
    <n v="0"/>
    <n v="0"/>
    <n v="0"/>
    <n v="0"/>
    <n v="0"/>
    <s v="MMR001CMP082"/>
    <x v="0"/>
    <x v="1"/>
    <s v=""/>
    <n v="3.6720003890861339E-3"/>
    <s v="No"/>
  </r>
  <r>
    <n v="47.266666666666666"/>
    <d v="2013-06-13T00:00:00"/>
    <x v="0"/>
    <s v="UNHCR"/>
    <s v="Kachin"/>
    <s v="Momauk"/>
    <s v="Loi Je Baptist Church"/>
    <m/>
    <m/>
    <n v="152"/>
    <n v="11"/>
    <n v="4"/>
    <n v="11"/>
    <n v="4"/>
    <n v="4"/>
    <n v="4"/>
    <n v="4"/>
    <m/>
    <m/>
    <m/>
    <m/>
    <m/>
    <m/>
    <m/>
    <n v="0"/>
    <n v="0"/>
    <n v="0"/>
    <n v="0"/>
    <n v="0"/>
    <n v="0"/>
    <n v="0"/>
    <n v="0"/>
    <n v="0"/>
    <n v="0"/>
    <n v="0"/>
    <n v="0"/>
    <n v="0"/>
    <n v="0"/>
    <n v="0"/>
    <n v="0"/>
    <n v="0"/>
    <n v="0"/>
    <s v="MMR001CMP071"/>
    <x v="0"/>
    <x v="0"/>
    <s v="P3"/>
    <n v="9.7489641725566662E-5"/>
    <s v="No"/>
  </r>
  <r>
    <n v="47.266666666666666"/>
    <d v="2013-06-13T00:00:00"/>
    <x v="0"/>
    <s v="UNHCR"/>
    <s v="Kachin"/>
    <s v="Momauk"/>
    <s v="Loi Je Catholic Church"/>
    <m/>
    <m/>
    <n v="425"/>
    <n v="30"/>
    <n v="11"/>
    <n v="30"/>
    <n v="11"/>
    <n v="11"/>
    <n v="11"/>
    <n v="11"/>
    <m/>
    <m/>
    <m/>
    <m/>
    <m/>
    <m/>
    <m/>
    <n v="0"/>
    <n v="0"/>
    <n v="0"/>
    <n v="0"/>
    <n v="0"/>
    <n v="0"/>
    <n v="0"/>
    <n v="0"/>
    <n v="0"/>
    <n v="0"/>
    <n v="0"/>
    <n v="0"/>
    <n v="0"/>
    <n v="0"/>
    <n v="0"/>
    <n v="0"/>
    <n v="0"/>
    <n v="0"/>
    <s v="MMR001CMP069"/>
    <x v="0"/>
    <x v="0"/>
    <s v="P3"/>
    <n v="2.6929103016059538E-4"/>
    <s v="No"/>
  </r>
  <r>
    <n v="47.266666666666666"/>
    <d v="2013-06-13T00:00:00"/>
    <x v="0"/>
    <s v="UNHCR"/>
    <s v="Kachin"/>
    <s v="Momauk"/>
    <s v="Loi Je Lisu Camp"/>
    <m/>
    <m/>
    <n v="941"/>
    <n v="67"/>
    <n v="24"/>
    <n v="67"/>
    <n v="24"/>
    <n v="24"/>
    <n v="24"/>
    <n v="24"/>
    <m/>
    <m/>
    <m/>
    <m/>
    <m/>
    <m/>
    <m/>
    <n v="0"/>
    <n v="0"/>
    <n v="0"/>
    <n v="0"/>
    <n v="0"/>
    <n v="0"/>
    <n v="0"/>
    <n v="0"/>
    <n v="0"/>
    <n v="0"/>
    <n v="0"/>
    <n v="0"/>
    <n v="0"/>
    <n v="0"/>
    <n v="0"/>
    <n v="0"/>
    <n v="0"/>
    <n v="0"/>
    <s v="MMR001CMP070"/>
    <x v="0"/>
    <x v="0"/>
    <s v="P3"/>
    <n v="5.8536585365853656E-4"/>
    <s v="No"/>
  </r>
  <r>
    <n v="47.233333333333334"/>
    <d v="2013-06-14T00:00:00"/>
    <x v="0"/>
    <s v="UNHCR"/>
    <s v="Kachin"/>
    <s v="Momauk"/>
    <s v="Pa Kahtawng "/>
    <m/>
    <m/>
    <n v="42"/>
    <n v="42"/>
    <n v="21"/>
    <n v="42"/>
    <n v="21"/>
    <n v="21"/>
    <n v="21"/>
    <n v="21"/>
    <m/>
    <m/>
    <m/>
    <m/>
    <m/>
    <m/>
    <m/>
    <n v="0"/>
    <n v="0"/>
    <n v="0"/>
    <n v="0"/>
    <n v="0"/>
    <n v="0"/>
    <n v="0"/>
    <n v="0"/>
    <n v="0"/>
    <n v="0"/>
    <n v="0"/>
    <n v="0"/>
    <n v="0"/>
    <n v="0"/>
    <n v="0"/>
    <n v="0"/>
    <n v="0"/>
    <n v="0"/>
    <s v="MMR001CMP126"/>
    <x v="0"/>
    <x v="0"/>
    <s v="P2"/>
    <n v="5.1219512195121953E-4"/>
    <s v="No"/>
  </r>
  <r>
    <n v="46.8"/>
    <d v="2013-06-27T00:00:00"/>
    <x v="0"/>
    <m/>
    <s v="Kachin"/>
    <s v="Mansi"/>
    <s v="Maing Khaung"/>
    <m/>
    <m/>
    <m/>
    <n v="54"/>
    <n v="18"/>
    <n v="45"/>
    <n v="18"/>
    <m/>
    <n v="18"/>
    <n v="50"/>
    <m/>
    <m/>
    <m/>
    <m/>
    <m/>
    <m/>
    <m/>
    <n v="0"/>
    <n v="0"/>
    <n v="0"/>
    <n v="0"/>
    <n v="0"/>
    <n v="0"/>
    <n v="0"/>
    <n v="0"/>
    <n v="0"/>
    <n v="0"/>
    <n v="0"/>
    <n v="0"/>
    <n v="0"/>
    <n v="0"/>
    <n v="0"/>
    <n v="0"/>
    <n v="0"/>
    <n v="0"/>
    <s v="MMR001CMP218"/>
    <x v="0"/>
    <x v="0"/>
    <s v="P4"/>
    <n v="4.332338500048137E-4"/>
    <m/>
  </r>
  <r>
    <n v="46.766666666666666"/>
    <d v="2013-06-28T00:00:00"/>
    <x v="0"/>
    <m/>
    <s v="Kachin"/>
    <s v="Mansi"/>
    <s v="Maing Khaung"/>
    <m/>
    <m/>
    <m/>
    <n v="10"/>
    <n v="3"/>
    <n v="10"/>
    <n v="3"/>
    <m/>
    <n v="3"/>
    <n v="10"/>
    <m/>
    <m/>
    <m/>
    <m/>
    <m/>
    <m/>
    <m/>
    <n v="0"/>
    <n v="0"/>
    <n v="0"/>
    <n v="0"/>
    <n v="0"/>
    <n v="0"/>
    <n v="0"/>
    <n v="0"/>
    <n v="0"/>
    <n v="0"/>
    <n v="0"/>
    <n v="0"/>
    <n v="0"/>
    <n v="0"/>
    <n v="0"/>
    <n v="0"/>
    <n v="0"/>
    <n v="0"/>
    <s v="MMR001CMP218"/>
    <x v="0"/>
    <x v="0"/>
    <s v="P4"/>
    <n v="7.2205641667468946E-5"/>
    <m/>
  </r>
  <r>
    <n v="46.733333333333334"/>
    <d v="2013-06-29T00:00:00"/>
    <x v="0"/>
    <m/>
    <s v="Kachin"/>
    <s v="Mansi"/>
    <s v="Maing Khaung"/>
    <m/>
    <m/>
    <m/>
    <m/>
    <n v="19"/>
    <m/>
    <n v="19"/>
    <m/>
    <m/>
    <n v="100"/>
    <m/>
    <m/>
    <m/>
    <m/>
    <m/>
    <m/>
    <m/>
    <n v="0"/>
    <n v="0"/>
    <n v="0"/>
    <n v="0"/>
    <n v="0"/>
    <n v="0"/>
    <n v="0"/>
    <n v="0"/>
    <n v="0"/>
    <n v="0"/>
    <n v="0"/>
    <n v="0"/>
    <n v="0"/>
    <n v="0"/>
    <n v="0"/>
    <n v="0"/>
    <n v="0"/>
    <n v="0"/>
    <s v="MMR001CMP218"/>
    <x v="0"/>
    <x v="0"/>
    <s v="P4"/>
    <n v="4.5730239722730338E-4"/>
    <m/>
  </r>
  <r>
    <n v="46.7"/>
    <d v="2013-06-30T00:00:00"/>
    <x v="0"/>
    <m/>
    <s v="Kachin"/>
    <s v="Mansi"/>
    <s v="Maing Khaung"/>
    <m/>
    <m/>
    <m/>
    <m/>
    <m/>
    <n v="9"/>
    <m/>
    <m/>
    <n v="19"/>
    <n v="1"/>
    <m/>
    <m/>
    <m/>
    <m/>
    <m/>
    <m/>
    <m/>
    <n v="0"/>
    <n v="0"/>
    <n v="0"/>
    <n v="0"/>
    <n v="0"/>
    <n v="0"/>
    <n v="0"/>
    <n v="0"/>
    <n v="0"/>
    <n v="0"/>
    <n v="0"/>
    <n v="0"/>
    <n v="0"/>
    <n v="0"/>
    <n v="0"/>
    <n v="0"/>
    <n v="0"/>
    <n v="0"/>
    <s v="MMR001CMP218"/>
    <x v="0"/>
    <x v="0"/>
    <s v="P4"/>
    <n v="0"/>
    <m/>
  </r>
  <r>
    <n v="46.7"/>
    <d v="2013-06-30T00:00:00"/>
    <x v="0"/>
    <m/>
    <s v="Kachin"/>
    <s v="Mansi"/>
    <s v="Maing Khaung Catholic Church"/>
    <m/>
    <m/>
    <m/>
    <n v="50"/>
    <n v="15"/>
    <m/>
    <n v="15"/>
    <m/>
    <n v="15"/>
    <n v="60"/>
    <m/>
    <m/>
    <m/>
    <m/>
    <m/>
    <m/>
    <m/>
    <n v="0"/>
    <n v="0"/>
    <n v="0"/>
    <n v="0"/>
    <n v="0"/>
    <n v="0"/>
    <n v="0"/>
    <n v="0"/>
    <n v="0"/>
    <n v="0"/>
    <n v="0"/>
    <n v="0"/>
    <n v="0"/>
    <n v="0"/>
    <n v="0"/>
    <n v="0"/>
    <n v="0"/>
    <n v="0"/>
    <s v="MMR001CMP223"/>
    <x v="0"/>
    <x v="0"/>
    <s v="P4"/>
    <n v="3.6102820833734477E-4"/>
    <m/>
  </r>
  <r>
    <n v="46.166666666666664"/>
    <d v="2013-07-16T00:00:00"/>
    <x v="0"/>
    <s v="Shalom"/>
    <s v="Kachin"/>
    <s v="Myitkyina"/>
    <s v="Tat Kone COC Baptist - Tat Kone Htoi San"/>
    <m/>
    <m/>
    <n v="55"/>
    <n v="74"/>
    <n v="31"/>
    <n v="74"/>
    <n v="31"/>
    <n v="31"/>
    <n v="31"/>
    <n v="31"/>
    <m/>
    <m/>
    <m/>
    <m/>
    <m/>
    <m/>
    <m/>
    <n v="0"/>
    <n v="0"/>
    <n v="0"/>
    <n v="0"/>
    <n v="0"/>
    <n v="0"/>
    <n v="0"/>
    <n v="0"/>
    <n v="0"/>
    <n v="0"/>
    <n v="0"/>
    <n v="0"/>
    <n v="0"/>
    <n v="0"/>
    <n v="0"/>
    <n v="0"/>
    <n v="0"/>
    <n v="0"/>
    <s v="MMR001CMP023"/>
    <x v="0"/>
    <x v="0"/>
    <s v="P4"/>
    <n v="7.5609756097560978E-4"/>
    <s v="No"/>
  </r>
  <r>
    <n v="45.9"/>
    <d v="2013-07-24T00:00:00"/>
    <x v="0"/>
    <s v="KBC"/>
    <s v="Kachin"/>
    <s v="Myitkyina"/>
    <s v="Le Kone Bethlehem Church"/>
    <m/>
    <m/>
    <n v="66"/>
    <n v="98"/>
    <n v="45"/>
    <n v="98"/>
    <n v="45"/>
    <n v="45"/>
    <n v="45"/>
    <n v="45"/>
    <m/>
    <m/>
    <m/>
    <m/>
    <m/>
    <m/>
    <m/>
    <n v="0"/>
    <n v="0"/>
    <n v="0"/>
    <n v="0"/>
    <n v="0"/>
    <n v="0"/>
    <n v="0"/>
    <n v="0"/>
    <n v="0"/>
    <n v="0"/>
    <n v="0"/>
    <n v="0"/>
    <n v="0"/>
    <n v="0"/>
    <n v="0"/>
    <n v="0"/>
    <n v="0"/>
    <n v="0"/>
    <s v="MMR001CMP015"/>
    <x v="0"/>
    <x v="0"/>
    <s v="P4"/>
    <n v="1.1082924907026574E-3"/>
    <s v="No"/>
  </r>
  <r>
    <n v="45.9"/>
    <d v="2013-07-24T00:00:00"/>
    <x v="0"/>
    <s v="KBC"/>
    <s v="Kachin"/>
    <s v="Myitkyina"/>
    <s v="Le Kone Ziun Baptist Church "/>
    <m/>
    <m/>
    <n v="100"/>
    <n v="158"/>
    <n v="65"/>
    <n v="158"/>
    <n v="65"/>
    <n v="65"/>
    <n v="65"/>
    <n v="65"/>
    <m/>
    <m/>
    <m/>
    <m/>
    <m/>
    <m/>
    <m/>
    <n v="0"/>
    <n v="0"/>
    <n v="0"/>
    <n v="0"/>
    <n v="0"/>
    <n v="0"/>
    <n v="0"/>
    <n v="0"/>
    <n v="0"/>
    <n v="0"/>
    <n v="0"/>
    <n v="0"/>
    <n v="0"/>
    <n v="0"/>
    <n v="0"/>
    <n v="0"/>
    <n v="0"/>
    <n v="0"/>
    <s v="MMR001CMP014"/>
    <x v="0"/>
    <x v="0"/>
    <s v="P4"/>
    <n v="1.5972478191424008E-3"/>
    <s v="No"/>
  </r>
  <r>
    <n v="45.9"/>
    <d v="2013-07-24T00:00:00"/>
    <x v="0"/>
    <s v="Shalom"/>
    <s v="Kachin"/>
    <s v="Waingmaw"/>
    <s v="Maina AG Church"/>
    <m/>
    <m/>
    <n v="10"/>
    <n v="14"/>
    <n v="7"/>
    <n v="14"/>
    <n v="7"/>
    <n v="7"/>
    <n v="7"/>
    <n v="7"/>
    <m/>
    <m/>
    <m/>
    <m/>
    <m/>
    <m/>
    <m/>
    <n v="0"/>
    <n v="0"/>
    <n v="0"/>
    <n v="0"/>
    <n v="0"/>
    <n v="0"/>
    <n v="0"/>
    <n v="0"/>
    <n v="0"/>
    <n v="0"/>
    <n v="0"/>
    <n v="0"/>
    <n v="0"/>
    <n v="0"/>
    <n v="0"/>
    <n v="0"/>
    <n v="0"/>
    <n v="0"/>
    <s v="MMR001CMP031"/>
    <x v="0"/>
    <x v="0"/>
    <s v="P4"/>
    <n v="1.6885372443072174E-4"/>
    <s v="No"/>
  </r>
  <r>
    <n v="45.9"/>
    <d v="2013-07-24T00:00:00"/>
    <x v="0"/>
    <s v="KMSS"/>
    <s v="Kachin"/>
    <s v="Waingmaw"/>
    <s v="Maina Catholic Church (St. Joseph)"/>
    <m/>
    <m/>
    <n v="40"/>
    <n v="49"/>
    <n v="23"/>
    <n v="49"/>
    <n v="23"/>
    <n v="23"/>
    <n v="23"/>
    <n v="23"/>
    <m/>
    <m/>
    <m/>
    <m/>
    <m/>
    <m/>
    <m/>
    <n v="0"/>
    <n v="0"/>
    <n v="0"/>
    <n v="0"/>
    <n v="0"/>
    <n v="0"/>
    <n v="0"/>
    <n v="0"/>
    <n v="0"/>
    <n v="0"/>
    <n v="0"/>
    <n v="0"/>
    <n v="0"/>
    <n v="0"/>
    <n v="0"/>
    <n v="0"/>
    <n v="0"/>
    <n v="0"/>
    <s v="MMR001CMP029"/>
    <x v="0"/>
    <x v="0"/>
    <s v="P4"/>
    <n v="5.5520687490947715E-4"/>
    <s v="No"/>
  </r>
  <r>
    <n v="45.9"/>
    <d v="2013-07-24T00:00:00"/>
    <x v="0"/>
    <s v="KMSS"/>
    <s v="Kachin"/>
    <s v="Myitkyina"/>
    <s v="Nan Kway St. John Catholic Church"/>
    <m/>
    <m/>
    <n v="21"/>
    <n v="30"/>
    <n v="15"/>
    <n v="30"/>
    <n v="15"/>
    <n v="15"/>
    <n v="15"/>
    <n v="15"/>
    <m/>
    <m/>
    <m/>
    <m/>
    <m/>
    <m/>
    <m/>
    <n v="0"/>
    <n v="0"/>
    <n v="0"/>
    <n v="0"/>
    <n v="0"/>
    <n v="0"/>
    <n v="0"/>
    <n v="0"/>
    <n v="0"/>
    <n v="0"/>
    <n v="0"/>
    <n v="0"/>
    <n v="0"/>
    <n v="0"/>
    <n v="0"/>
    <n v="0"/>
    <n v="0"/>
    <n v="0"/>
    <s v="MMR001CMP024"/>
    <x v="0"/>
    <x v="0"/>
    <s v="P4"/>
    <n v="3.6666748148329219E-4"/>
    <s v="No"/>
  </r>
  <r>
    <n v="45.9"/>
    <d v="2013-07-24T00:00:00"/>
    <x v="0"/>
    <s v="KMSS"/>
    <s v="Kachin"/>
    <s v="Hpakant"/>
    <s v="Nant Ma Hpit Catholic Church"/>
    <m/>
    <m/>
    <n v="15"/>
    <n v="25"/>
    <n v="10"/>
    <n v="25"/>
    <n v="10"/>
    <n v="10"/>
    <n v="10"/>
    <n v="10"/>
    <m/>
    <m/>
    <m/>
    <m/>
    <m/>
    <m/>
    <m/>
    <n v="0"/>
    <n v="0"/>
    <n v="0"/>
    <n v="0"/>
    <n v="0"/>
    <n v="0"/>
    <n v="0"/>
    <n v="0"/>
    <n v="0"/>
    <n v="0"/>
    <n v="0"/>
    <n v="0"/>
    <n v="0"/>
    <n v="0"/>
    <n v="0"/>
    <n v="0"/>
    <n v="0"/>
    <n v="0"/>
    <s v="MMR001CMP103"/>
    <x v="0"/>
    <x v="0"/>
    <s v="P4"/>
    <n v="2.4103936172777015E-4"/>
    <s v="No"/>
  </r>
  <r>
    <n v="45.9"/>
    <d v="2013-07-24T00:00:00"/>
    <x v="0"/>
    <s v="KMSS"/>
    <s v="Kachin"/>
    <s v="Myitkyina"/>
    <s v="Pa Dauk Myaing(Pa La Na)"/>
    <m/>
    <m/>
    <n v="31"/>
    <n v="41"/>
    <n v="17"/>
    <n v="41"/>
    <n v="17"/>
    <n v="17"/>
    <n v="17"/>
    <n v="17"/>
    <m/>
    <m/>
    <m/>
    <m/>
    <m/>
    <m/>
    <m/>
    <n v="0"/>
    <n v="0"/>
    <n v="0"/>
    <n v="0"/>
    <n v="0"/>
    <n v="0"/>
    <n v="0"/>
    <n v="0"/>
    <n v="0"/>
    <n v="0"/>
    <n v="0"/>
    <n v="0"/>
    <n v="0"/>
    <n v="0"/>
    <n v="0"/>
    <n v="0"/>
    <n v="0"/>
    <n v="0"/>
    <s v="MMR001CMP162"/>
    <x v="0"/>
    <x v="0"/>
    <s v="P4"/>
    <n v="4.1218116574532053E-4"/>
    <s v="No"/>
  </r>
  <r>
    <n v="45.9"/>
    <d v="2013-07-24T00:00:00"/>
    <x v="0"/>
    <s v="KBC"/>
    <s v="Kachin"/>
    <s v="Waingmaw"/>
    <s v="Qtr. 2 Myoma Baptist Church"/>
    <m/>
    <m/>
    <n v="31"/>
    <n v="44"/>
    <n v="18"/>
    <n v="44"/>
    <n v="18"/>
    <n v="18"/>
    <n v="18"/>
    <n v="18"/>
    <m/>
    <m/>
    <m/>
    <m/>
    <m/>
    <m/>
    <m/>
    <n v="0"/>
    <n v="0"/>
    <n v="0"/>
    <n v="0"/>
    <n v="0"/>
    <n v="0"/>
    <n v="0"/>
    <n v="0"/>
    <n v="0"/>
    <n v="0"/>
    <n v="0"/>
    <n v="0"/>
    <n v="0"/>
    <n v="0"/>
    <n v="0"/>
    <n v="0"/>
    <n v="0"/>
    <n v="0"/>
    <s v="MMR001CMP025"/>
    <x v="0"/>
    <x v="0"/>
    <s v="P4"/>
    <n v="4.4231478068558792E-4"/>
    <s v="No"/>
  </r>
  <r>
    <n v="45.9"/>
    <d v="2013-07-24T00:00:00"/>
    <x v="0"/>
    <s v="Shalom"/>
    <s v="Kachin"/>
    <s v="Waingmaw"/>
    <s v="Qtr. 4 Monestry (Thargaya Thayett Taw)"/>
    <m/>
    <m/>
    <n v="41"/>
    <n v="73"/>
    <n v="31"/>
    <n v="73"/>
    <n v="31"/>
    <n v="31"/>
    <n v="31"/>
    <n v="31"/>
    <m/>
    <m/>
    <m/>
    <m/>
    <m/>
    <m/>
    <m/>
    <n v="0"/>
    <n v="0"/>
    <n v="0"/>
    <n v="0"/>
    <n v="0"/>
    <n v="0"/>
    <n v="0"/>
    <n v="0"/>
    <n v="0"/>
    <n v="0"/>
    <n v="0"/>
    <n v="0"/>
    <n v="0"/>
    <n v="0"/>
    <n v="0"/>
    <n v="0"/>
    <n v="0"/>
    <n v="0"/>
    <s v="MMR001CMP026"/>
    <x v="0"/>
    <x v="0"/>
    <s v="P4"/>
    <n v="7.572056668295066E-4"/>
    <s v="No"/>
  </r>
  <r>
    <n v="45.9"/>
    <d v="2013-07-24T00:00:00"/>
    <x v="0"/>
    <s v="KBC"/>
    <s v="Kachin"/>
    <s v="Myitkyina"/>
    <s v="Shatapru Sut Ngai Tawng"/>
    <m/>
    <m/>
    <n v="21"/>
    <n v="36"/>
    <n v="16"/>
    <n v="36"/>
    <n v="16"/>
    <n v="16"/>
    <n v="16"/>
    <n v="16"/>
    <m/>
    <m/>
    <m/>
    <m/>
    <m/>
    <m/>
    <m/>
    <n v="0"/>
    <n v="0"/>
    <n v="0"/>
    <n v="0"/>
    <n v="0"/>
    <n v="0"/>
    <n v="0"/>
    <n v="0"/>
    <n v="0"/>
    <n v="0"/>
    <n v="0"/>
    <n v="0"/>
    <n v="0"/>
    <n v="0"/>
    <n v="0"/>
    <n v="0"/>
    <n v="0"/>
    <n v="0"/>
    <s v="MMR001CMP006"/>
    <x v="0"/>
    <x v="0"/>
    <s v="P4"/>
    <n v="3.92580233585239E-4"/>
    <s v="No"/>
  </r>
  <r>
    <n v="45.9"/>
    <d v="2013-07-24T00:00:00"/>
    <x v="0"/>
    <s v="KBC"/>
    <s v="Kachin"/>
    <s v="Myitkyina"/>
    <s v="Tat Kone COC Baptist - Tat Kone Htoi San"/>
    <m/>
    <m/>
    <n v="34"/>
    <n v="46"/>
    <n v="22"/>
    <n v="46"/>
    <n v="22"/>
    <n v="22"/>
    <n v="22"/>
    <n v="22"/>
    <m/>
    <m/>
    <m/>
    <m/>
    <m/>
    <m/>
    <m/>
    <n v="0"/>
    <n v="0"/>
    <n v="0"/>
    <n v="0"/>
    <n v="0"/>
    <n v="0"/>
    <n v="0"/>
    <n v="0"/>
    <n v="0"/>
    <n v="0"/>
    <n v="0"/>
    <n v="0"/>
    <n v="0"/>
    <n v="0"/>
    <n v="0"/>
    <n v="0"/>
    <n v="0"/>
    <n v="0"/>
    <s v="MMR001CMP023"/>
    <x v="0"/>
    <x v="0"/>
    <s v="P4"/>
    <n v="5.3658536585365858E-4"/>
    <s v="No"/>
  </r>
  <r>
    <n v="45.9"/>
    <d v="2013-07-24T00:00:00"/>
    <x v="0"/>
    <s v="Shalom"/>
    <s v="Kachin"/>
    <s v="Waingmaw"/>
    <s v="Waingmaw AG Church"/>
    <m/>
    <m/>
    <n v="22"/>
    <n v="32"/>
    <n v="15"/>
    <n v="32"/>
    <n v="15"/>
    <n v="15"/>
    <n v="15"/>
    <n v="15"/>
    <m/>
    <m/>
    <m/>
    <m/>
    <m/>
    <m/>
    <m/>
    <n v="0"/>
    <n v="0"/>
    <n v="0"/>
    <n v="0"/>
    <n v="0"/>
    <n v="0"/>
    <n v="0"/>
    <n v="0"/>
    <n v="0"/>
    <n v="0"/>
    <n v="0"/>
    <n v="0"/>
    <n v="0"/>
    <n v="0"/>
    <n v="0"/>
    <n v="0"/>
    <n v="0"/>
    <n v="0"/>
    <s v="MMR001CMP038"/>
    <x v="0"/>
    <x v="0"/>
    <s v="P4"/>
    <n v="3.6721504112808461E-4"/>
    <s v="No"/>
  </r>
  <r>
    <n v="45.43333333333333"/>
    <d v="2013-08-07T00:00:00"/>
    <x v="0"/>
    <s v="UNHCR"/>
    <s v="Kachin"/>
    <s v="Waingmaw"/>
    <s v="Mading Baptist Church"/>
    <m/>
    <m/>
    <n v="15"/>
    <n v="57"/>
    <n v="24"/>
    <n v="57"/>
    <n v="24"/>
    <n v="24"/>
    <n v="24"/>
    <n v="24"/>
    <m/>
    <m/>
    <m/>
    <m/>
    <m/>
    <m/>
    <m/>
    <n v="0"/>
    <n v="0"/>
    <n v="0"/>
    <n v="0"/>
    <n v="0"/>
    <n v="0"/>
    <n v="0"/>
    <n v="0"/>
    <n v="0"/>
    <n v="0"/>
    <n v="0"/>
    <n v="0"/>
    <n v="0"/>
    <n v="0"/>
    <n v="0"/>
    <n v="0"/>
    <n v="0"/>
    <n v="0"/>
    <s v="MMR001CMP027"/>
    <x v="0"/>
    <x v="0"/>
    <s v="P4"/>
    <n v="5.849378503534E-4"/>
    <s v="No"/>
  </r>
  <r>
    <n v="45.43333333333333"/>
    <d v="2013-08-07T00:00:00"/>
    <x v="0"/>
    <s v="UNHCR"/>
    <s v="Kachin"/>
    <s v="Waingmaw"/>
    <s v="Maina AG Church"/>
    <m/>
    <m/>
    <n v="20"/>
    <n v="40"/>
    <n v="17"/>
    <n v="40"/>
    <n v="17"/>
    <n v="17"/>
    <n v="17"/>
    <n v="17"/>
    <m/>
    <m/>
    <m/>
    <m/>
    <m/>
    <m/>
    <m/>
    <n v="0"/>
    <n v="0"/>
    <n v="0"/>
    <n v="0"/>
    <n v="0"/>
    <n v="0"/>
    <n v="0"/>
    <n v="0"/>
    <n v="0"/>
    <n v="0"/>
    <n v="0"/>
    <n v="0"/>
    <n v="0"/>
    <n v="0"/>
    <n v="0"/>
    <n v="0"/>
    <n v="0"/>
    <n v="0"/>
    <s v="MMR001CMP031"/>
    <x v="0"/>
    <x v="0"/>
    <s v="P4"/>
    <n v="4.1007333076032419E-4"/>
    <s v="No"/>
  </r>
  <r>
    <n v="45.43333333333333"/>
    <d v="2013-08-07T00:00:00"/>
    <x v="0"/>
    <s v="UNHCR"/>
    <s v="Kachin"/>
    <s v="Myitkyina"/>
    <s v="Maliyang Baptist Church"/>
    <m/>
    <m/>
    <n v="15"/>
    <n v="25"/>
    <n v="11"/>
    <n v="25"/>
    <n v="11"/>
    <n v="11"/>
    <n v="11"/>
    <n v="11"/>
    <m/>
    <m/>
    <m/>
    <m/>
    <m/>
    <m/>
    <m/>
    <n v="0"/>
    <n v="0"/>
    <n v="0"/>
    <n v="0"/>
    <n v="0"/>
    <n v="0"/>
    <n v="0"/>
    <n v="0"/>
    <n v="0"/>
    <n v="0"/>
    <n v="0"/>
    <n v="0"/>
    <n v="0"/>
    <n v="0"/>
    <n v="0"/>
    <n v="0"/>
    <n v="0"/>
    <n v="0"/>
    <s v="MMR001CMP016"/>
    <x v="0"/>
    <x v="0"/>
    <s v="P4"/>
    <n v="2.6989891058985181E-4"/>
    <s v="No"/>
  </r>
  <r>
    <n v="45.233333333333334"/>
    <d v="2013-08-13T00:00:00"/>
    <x v="0"/>
    <s v="KMSS"/>
    <s v="Shan_North"/>
    <s v="Manton"/>
    <s v="Host Families"/>
    <m/>
    <m/>
    <n v="49"/>
    <n v="90"/>
    <n v="30"/>
    <n v="90"/>
    <n v="30"/>
    <n v="30"/>
    <n v="30"/>
    <n v="30"/>
    <m/>
    <m/>
    <m/>
    <m/>
    <m/>
    <m/>
    <m/>
    <n v="0"/>
    <n v="0"/>
    <n v="0"/>
    <n v="0"/>
    <n v="0"/>
    <n v="0"/>
    <n v="0"/>
    <n v="0"/>
    <n v="0"/>
    <n v="0"/>
    <n v="0"/>
    <n v="0"/>
    <n v="0"/>
    <n v="0"/>
    <n v="0"/>
    <n v="0"/>
    <n v="0"/>
    <n v="0"/>
    <s v="MMR001CMP163"/>
    <x v="0"/>
    <x v="0"/>
    <s v="P4"/>
    <s v=""/>
    <s v="No"/>
  </r>
  <r>
    <n v="45.233333333333334"/>
    <d v="2013-08-13T00:00:00"/>
    <x v="0"/>
    <s v="KBC"/>
    <s v="Shan_North"/>
    <s v="Kutkai"/>
    <s v="Kone Khem Camp"/>
    <m/>
    <m/>
    <n v="70"/>
    <n v="120"/>
    <n v="48"/>
    <n v="120"/>
    <n v="48"/>
    <n v="48"/>
    <n v="48"/>
    <n v="48"/>
    <m/>
    <m/>
    <m/>
    <m/>
    <m/>
    <m/>
    <m/>
    <n v="0"/>
    <n v="0"/>
    <n v="0"/>
    <n v="0"/>
    <n v="0"/>
    <n v="0"/>
    <n v="0"/>
    <n v="0"/>
    <n v="0"/>
    <n v="0"/>
    <n v="0"/>
    <n v="0"/>
    <n v="0"/>
    <n v="0"/>
    <n v="0"/>
    <n v="0"/>
    <n v="0"/>
    <n v="0"/>
    <s v="MMR015CMP015"/>
    <x v="0"/>
    <x v="1"/>
    <s v="P3"/>
    <n v="1.162931556632344E-3"/>
    <s v="No"/>
  </r>
  <r>
    <n v="45.233333333333334"/>
    <d v="2013-08-13T00:00:00"/>
    <x v="0"/>
    <s v="KMSS"/>
    <s v="Shan_North"/>
    <s v="Kutkai"/>
    <s v="Kutkai downtown (RC Church)"/>
    <m/>
    <m/>
    <n v="47"/>
    <n v="103"/>
    <n v="41"/>
    <n v="103"/>
    <n v="41"/>
    <n v="41"/>
    <n v="41"/>
    <n v="41"/>
    <m/>
    <m/>
    <m/>
    <m/>
    <m/>
    <m/>
    <m/>
    <n v="0"/>
    <n v="0"/>
    <n v="0"/>
    <n v="0"/>
    <n v="0"/>
    <n v="0"/>
    <n v="0"/>
    <n v="0"/>
    <n v="0"/>
    <n v="0"/>
    <n v="0"/>
    <n v="0"/>
    <n v="0"/>
    <n v="0"/>
    <n v="0"/>
    <n v="0"/>
    <n v="0"/>
    <n v="0"/>
    <s v="MMR015CMP017"/>
    <x v="0"/>
    <x v="0"/>
    <s v="P3"/>
    <n v="9.9408398797400837E-4"/>
    <s v="No"/>
  </r>
  <r>
    <n v="45.233333333333334"/>
    <d v="2013-08-13T00:00:00"/>
    <x v="0"/>
    <s v="KBC"/>
    <s v="Shan_North"/>
    <s v="Manton"/>
    <s v="Mandung - Jinghpaw"/>
    <m/>
    <m/>
    <n v="36"/>
    <n v="84"/>
    <n v="42"/>
    <n v="84"/>
    <n v="42"/>
    <n v="42"/>
    <n v="42"/>
    <n v="42"/>
    <m/>
    <m/>
    <m/>
    <m/>
    <m/>
    <m/>
    <m/>
    <n v="0"/>
    <n v="0"/>
    <n v="0"/>
    <n v="0"/>
    <n v="0"/>
    <n v="0"/>
    <n v="0"/>
    <n v="0"/>
    <n v="0"/>
    <n v="0"/>
    <n v="0"/>
    <n v="0"/>
    <n v="0"/>
    <n v="0"/>
    <n v="0"/>
    <n v="0"/>
    <n v="0"/>
    <n v="0"/>
    <s v="MMR015CMP009"/>
    <x v="0"/>
    <x v="0"/>
    <s v="P2"/>
    <n v="1.0243902439024391E-3"/>
    <s v="No"/>
  </r>
  <r>
    <n v="45.233333333333334"/>
    <d v="2013-08-13T00:00:00"/>
    <x v="0"/>
    <s v="KBC"/>
    <s v="Shan_North"/>
    <s v="Kutkai"/>
    <s v="Mine Yu Lay village"/>
    <m/>
    <m/>
    <n v="113"/>
    <n v="160"/>
    <n v="32"/>
    <n v="160"/>
    <n v="32"/>
    <n v="32"/>
    <n v="32"/>
    <n v="32"/>
    <m/>
    <m/>
    <m/>
    <m/>
    <m/>
    <m/>
    <m/>
    <n v="0"/>
    <n v="0"/>
    <n v="0"/>
    <n v="0"/>
    <n v="0"/>
    <n v="0"/>
    <n v="0"/>
    <n v="0"/>
    <n v="0"/>
    <n v="0"/>
    <n v="0"/>
    <n v="0"/>
    <n v="0"/>
    <n v="0"/>
    <n v="0"/>
    <n v="0"/>
    <n v="0"/>
    <n v="0"/>
    <s v="MMR015CMP018"/>
    <x v="0"/>
    <x v="0"/>
    <s v="P3"/>
    <n v="7.7528770442156269E-4"/>
    <s v="No"/>
  </r>
  <r>
    <n v="45.233333333333334"/>
    <d v="2013-08-13T00:00:00"/>
    <x v="0"/>
    <s v="KMSS"/>
    <s v="Shan_North"/>
    <s v="Kutkai"/>
    <s v="Mungji Pa Dabang (Baptist Church)         "/>
    <m/>
    <m/>
    <n v="30"/>
    <n v="56"/>
    <n v="23"/>
    <n v="56"/>
    <n v="23"/>
    <n v="23"/>
    <n v="23"/>
    <n v="23"/>
    <m/>
    <m/>
    <m/>
    <m/>
    <m/>
    <m/>
    <m/>
    <n v="0"/>
    <n v="0"/>
    <n v="0"/>
    <n v="0"/>
    <n v="0"/>
    <n v="0"/>
    <n v="0"/>
    <n v="0"/>
    <n v="0"/>
    <n v="0"/>
    <n v="0"/>
    <n v="0"/>
    <n v="0"/>
    <n v="0"/>
    <n v="0"/>
    <n v="0"/>
    <n v="0"/>
    <n v="0"/>
    <s v="MMR015CMP006"/>
    <x v="0"/>
    <x v="0"/>
    <s v="P1"/>
    <n v="5.6390516586167158E-4"/>
    <s v="No"/>
  </r>
  <r>
    <n v="45.233333333333334"/>
    <d v="2013-08-13T00:00:00"/>
    <x v="0"/>
    <s v="KBC"/>
    <s v="Shan_North"/>
    <s v="Namhkan"/>
    <s v="Nam Hkam - Nay Win Ni (Palawng)"/>
    <m/>
    <m/>
    <n v="125"/>
    <n v="233"/>
    <n v="93"/>
    <n v="233"/>
    <n v="93"/>
    <n v="93"/>
    <n v="93"/>
    <n v="93"/>
    <m/>
    <m/>
    <m/>
    <m/>
    <m/>
    <m/>
    <m/>
    <n v="0"/>
    <n v="0"/>
    <n v="0"/>
    <n v="0"/>
    <n v="0"/>
    <n v="0"/>
    <n v="0"/>
    <n v="0"/>
    <n v="0"/>
    <n v="0"/>
    <n v="0"/>
    <n v="0"/>
    <n v="0"/>
    <n v="0"/>
    <n v="0"/>
    <n v="0"/>
    <n v="0"/>
    <n v="0"/>
    <s v="MMR015CMP004"/>
    <x v="0"/>
    <x v="0"/>
    <s v="P3"/>
    <n v="2.2350933692230047E-3"/>
    <s v="No"/>
  </r>
  <r>
    <n v="45.233333333333334"/>
    <d v="2013-08-13T00:00:00"/>
    <x v="0"/>
    <s v="KMSS"/>
    <s v="Shan_North"/>
    <s v="Namhkan"/>
    <s v="Nam Hkam (KBC Jaw Wang)"/>
    <m/>
    <m/>
    <n v="100"/>
    <n v="188"/>
    <n v="75"/>
    <n v="188"/>
    <n v="75"/>
    <n v="75"/>
    <n v="75"/>
    <n v="75"/>
    <m/>
    <m/>
    <m/>
    <m/>
    <m/>
    <m/>
    <m/>
    <n v="0"/>
    <n v="0"/>
    <n v="0"/>
    <n v="0"/>
    <n v="0"/>
    <n v="0"/>
    <n v="0"/>
    <n v="0"/>
    <n v="0"/>
    <n v="0"/>
    <n v="0"/>
    <n v="0"/>
    <n v="0"/>
    <n v="0"/>
    <n v="0"/>
    <n v="0"/>
    <n v="0"/>
    <n v="0"/>
    <s v="MMR015CMP001"/>
    <x v="0"/>
    <x v="0"/>
    <s v="P3"/>
    <n v="1.8347277264054015E-3"/>
    <s v="No"/>
  </r>
  <r>
    <n v="45.233333333333334"/>
    <d v="2013-08-13T00:00:00"/>
    <x v="0"/>
    <s v="KMSS"/>
    <s v="Shan_North"/>
    <s v="Namhkan"/>
    <s v="Nam Hkam Catholic Church ( St. Thomas I)"/>
    <m/>
    <m/>
    <n v="36"/>
    <n v="72"/>
    <n v="33"/>
    <n v="72"/>
    <n v="33"/>
    <n v="33"/>
    <n v="33"/>
    <n v="33"/>
    <m/>
    <m/>
    <m/>
    <m/>
    <m/>
    <m/>
    <m/>
    <n v="0"/>
    <n v="0"/>
    <n v="0"/>
    <n v="0"/>
    <n v="0"/>
    <n v="0"/>
    <n v="0"/>
    <n v="0"/>
    <n v="0"/>
    <n v="0"/>
    <n v="0"/>
    <n v="0"/>
    <n v="0"/>
    <n v="0"/>
    <n v="0"/>
    <n v="0"/>
    <n v="0"/>
    <n v="0"/>
    <s v="MMR015CMP003"/>
    <x v="0"/>
    <x v="0"/>
    <s v="P3"/>
    <n v="8.0728019961837658E-4"/>
    <s v="No"/>
  </r>
  <r>
    <n v="45.233333333333334"/>
    <d v="2013-08-13T00:00:00"/>
    <x v="0"/>
    <s v="KMSS"/>
    <s v="Shan_North"/>
    <s v="Namtu"/>
    <s v="Nam Tu RC"/>
    <m/>
    <m/>
    <n v="130"/>
    <n v="288"/>
    <n v="115"/>
    <n v="288"/>
    <n v="115"/>
    <n v="115"/>
    <n v="115"/>
    <n v="115"/>
    <m/>
    <m/>
    <m/>
    <m/>
    <m/>
    <m/>
    <m/>
    <n v="0"/>
    <n v="0"/>
    <n v="0"/>
    <n v="0"/>
    <n v="0"/>
    <n v="0"/>
    <n v="0"/>
    <n v="0"/>
    <n v="0"/>
    <n v="0"/>
    <n v="0"/>
    <n v="0"/>
    <n v="0"/>
    <n v="0"/>
    <n v="0"/>
    <n v="0"/>
    <n v="0"/>
    <n v="0"/>
    <s v="MMR015CMP210"/>
    <x v="0"/>
    <x v="0"/>
    <s v="P3"/>
    <s v=""/>
    <s v="No"/>
  </r>
  <r>
    <n v="45.233333333333334"/>
    <d v="2013-08-13T00:00:00"/>
    <x v="0"/>
    <s v="KBC"/>
    <s v="Shan_North"/>
    <s v="Hseni"/>
    <s v="Narte"/>
    <m/>
    <m/>
    <n v="27"/>
    <n v="43"/>
    <n v="17"/>
    <n v="43"/>
    <n v="17"/>
    <n v="17"/>
    <n v="17"/>
    <n v="17"/>
    <m/>
    <m/>
    <m/>
    <m/>
    <m/>
    <m/>
    <m/>
    <n v="0"/>
    <n v="0"/>
    <n v="0"/>
    <n v="0"/>
    <n v="0"/>
    <n v="0"/>
    <n v="0"/>
    <n v="0"/>
    <n v="0"/>
    <n v="0"/>
    <n v="0"/>
    <n v="0"/>
    <n v="0"/>
    <n v="0"/>
    <n v="0"/>
    <n v="0"/>
    <n v="0"/>
    <n v="0"/>
    <s v="MMR015CMP207"/>
    <x v="0"/>
    <x v="0"/>
    <s v="P4"/>
    <n v="4.1097546234739513E-4"/>
    <s v="No"/>
  </r>
  <r>
    <n v="44.233333333333334"/>
    <d v="2013-09-12T00:00:00"/>
    <x v="0"/>
    <s v="UNHCR"/>
    <s v="Kachin"/>
    <s v="Momauk"/>
    <s v="Nhkawng Pa "/>
    <m/>
    <m/>
    <n v="640"/>
    <n v="640"/>
    <n v="320"/>
    <n v="320"/>
    <n v="320"/>
    <n v="320"/>
    <n v="640"/>
    <n v="320"/>
    <m/>
    <m/>
    <m/>
    <m/>
    <m/>
    <m/>
    <m/>
    <n v="0"/>
    <n v="0"/>
    <n v="0"/>
    <n v="0"/>
    <n v="0"/>
    <n v="0"/>
    <n v="0"/>
    <n v="0"/>
    <n v="0"/>
    <n v="0"/>
    <n v="0"/>
    <n v="0"/>
    <n v="0"/>
    <n v="0"/>
    <n v="0"/>
    <n v="0"/>
    <n v="0"/>
    <n v="0"/>
    <s v="MMR001CMP131"/>
    <x v="0"/>
    <x v="0"/>
    <s v="P1"/>
    <n v="7.8048780487804878E-3"/>
    <s v="No"/>
  </r>
  <r>
    <n v="45.233333333333334"/>
    <d v="2013-08-13T00:00:00"/>
    <x v="0"/>
    <s v="KMSS"/>
    <s v="Shan_North"/>
    <s v="Kutkai"/>
    <s v="Mungji Pa Dabang (RC Church)         "/>
    <m/>
    <m/>
    <n v="70"/>
    <n v="130"/>
    <n v="52"/>
    <n v="130"/>
    <n v="52"/>
    <n v="52"/>
    <n v="52"/>
    <n v="52"/>
    <m/>
    <m/>
    <m/>
    <m/>
    <m/>
    <m/>
    <m/>
    <n v="0"/>
    <n v="0"/>
    <n v="0"/>
    <n v="0"/>
    <n v="0"/>
    <n v="0"/>
    <n v="0"/>
    <n v="0"/>
    <n v="0"/>
    <n v="0"/>
    <n v="0"/>
    <n v="0"/>
    <n v="0"/>
    <n v="0"/>
    <n v="0"/>
    <n v="0"/>
    <n v="0"/>
    <n v="0"/>
    <s v="MMR015CMP019"/>
    <x v="0"/>
    <x v="1"/>
    <s v=""/>
    <n v="1.2749160271655184E-3"/>
    <s v="No"/>
  </r>
  <r>
    <n v="45.233333333333334"/>
    <d v="2013-08-13T00:00:00"/>
    <x v="0"/>
    <s v="KBC"/>
    <s v="Shan_North"/>
    <s v="Hseni"/>
    <s v="Na Ti (Koe Kant Traditional school)"/>
    <m/>
    <m/>
    <n v="67"/>
    <n v="90"/>
    <n v="30"/>
    <n v="90"/>
    <n v="30"/>
    <n v="30"/>
    <n v="30"/>
    <n v="30"/>
    <m/>
    <m/>
    <m/>
    <m/>
    <m/>
    <m/>
    <m/>
    <n v="0"/>
    <n v="0"/>
    <n v="0"/>
    <n v="0"/>
    <n v="0"/>
    <n v="0"/>
    <n v="0"/>
    <n v="0"/>
    <n v="0"/>
    <n v="0"/>
    <n v="0"/>
    <n v="0"/>
    <n v="0"/>
    <n v="0"/>
    <n v="0"/>
    <n v="0"/>
    <n v="0"/>
    <n v="0"/>
    <s v=""/>
    <x v="1"/>
    <x v="2"/>
    <s v=""/>
    <s v=""/>
    <s v="No"/>
  </r>
  <r>
    <n v="45.233333333333334"/>
    <d v="2013-08-13T00:00:00"/>
    <x v="0"/>
    <s v="KMSS"/>
    <s v="Shan_North"/>
    <s v="Namhkan"/>
    <s v="Nam Hkam Catholic Church ( St. Thomas II)"/>
    <m/>
    <m/>
    <n v="40"/>
    <n v="83"/>
    <n v="33"/>
    <n v="83"/>
    <n v="33"/>
    <n v="33"/>
    <n v="33"/>
    <n v="33"/>
    <m/>
    <m/>
    <m/>
    <m/>
    <m/>
    <m/>
    <m/>
    <n v="0"/>
    <n v="0"/>
    <n v="0"/>
    <n v="0"/>
    <n v="0"/>
    <n v="0"/>
    <n v="0"/>
    <n v="0"/>
    <n v="0"/>
    <n v="0"/>
    <n v="0"/>
    <n v="0"/>
    <n v="0"/>
    <n v="0"/>
    <n v="0"/>
    <n v="0"/>
    <n v="0"/>
    <n v="0"/>
    <s v="MMR015CMP024"/>
    <x v="0"/>
    <x v="1"/>
    <s v=""/>
    <s v=""/>
    <s v="No"/>
  </r>
  <r>
    <n v="44.033333333333331"/>
    <d v="2013-09-18T00:00:00"/>
    <x v="0"/>
    <s v="UNHCR"/>
    <s v="Kachin"/>
    <s v="Waingmaw"/>
    <s v="Woi Chyai "/>
    <m/>
    <m/>
    <n v="1520"/>
    <n v="1520"/>
    <n v="760"/>
    <n v="1520"/>
    <n v="760"/>
    <n v="760"/>
    <m/>
    <m/>
    <m/>
    <m/>
    <m/>
    <m/>
    <m/>
    <m/>
    <m/>
    <n v="0"/>
    <n v="0"/>
    <n v="0"/>
    <n v="0"/>
    <n v="0"/>
    <n v="0"/>
    <n v="0"/>
    <n v="0"/>
    <n v="0"/>
    <n v="0"/>
    <n v="0"/>
    <n v="0"/>
    <n v="0"/>
    <n v="0"/>
    <n v="0"/>
    <n v="0"/>
    <n v="0"/>
    <n v="0"/>
    <s v="MMR001CMP116"/>
    <x v="0"/>
    <x v="0"/>
    <s v="P4"/>
    <n v="1.8675512962280379E-2"/>
    <s v="No"/>
  </r>
  <r>
    <n v="43.766666666666666"/>
    <d v="2013-09-26T00:00:00"/>
    <x v="0"/>
    <s v="UNHCR"/>
    <s v="Kachin"/>
    <s v="Momauk"/>
    <s v="Hpun Lum Yang "/>
    <m/>
    <m/>
    <n v="882"/>
    <n v="882"/>
    <n v="441"/>
    <n v="882"/>
    <n v="441"/>
    <m/>
    <n v="441"/>
    <n v="882"/>
    <m/>
    <m/>
    <m/>
    <m/>
    <m/>
    <m/>
    <m/>
    <n v="0"/>
    <n v="0"/>
    <n v="0"/>
    <n v="0"/>
    <n v="0"/>
    <n v="0"/>
    <n v="0"/>
    <n v="0"/>
    <n v="0"/>
    <n v="0"/>
    <n v="0"/>
    <n v="0"/>
    <n v="0"/>
    <n v="0"/>
    <n v="0"/>
    <n v="0"/>
    <n v="0"/>
    <n v="0"/>
    <s v="MMR001CMP122"/>
    <x v="0"/>
    <x v="0"/>
    <s v="P2"/>
    <n v="1.0836712126796905E-2"/>
    <s v="No"/>
  </r>
  <r>
    <n v="43.766666666666666"/>
    <d v="2013-09-26T00:00:00"/>
    <x v="0"/>
    <s v="UNHCR"/>
    <s v="Kachin"/>
    <s v="Momauk"/>
    <s v="Je Yang Hka "/>
    <m/>
    <m/>
    <n v="1628"/>
    <n v="3256"/>
    <n v="1628"/>
    <n v="3256"/>
    <n v="1628"/>
    <m/>
    <n v="1628"/>
    <n v="3256"/>
    <m/>
    <m/>
    <m/>
    <m/>
    <m/>
    <m/>
    <m/>
    <n v="0"/>
    <n v="0"/>
    <n v="0"/>
    <n v="0"/>
    <n v="0"/>
    <n v="0"/>
    <n v="0"/>
    <n v="0"/>
    <n v="0"/>
    <n v="0"/>
    <n v="0"/>
    <n v="0"/>
    <n v="0"/>
    <n v="0"/>
    <n v="0"/>
    <n v="0"/>
    <n v="0"/>
    <n v="0"/>
    <s v="MMR001CMP121"/>
    <x v="0"/>
    <x v="0"/>
    <s v="P2"/>
    <n v="3.9648328097221207E-2"/>
    <s v="No"/>
  </r>
  <r>
    <n v="42.633333333333333"/>
    <d v="2013-10-30T00:00:00"/>
    <x v="0"/>
    <s v="UNHCR"/>
    <s v="Kachin"/>
    <s v="Bhamo"/>
    <s v="AD-2000 Tharthana Compound"/>
    <m/>
    <m/>
    <n v="22"/>
    <n v="40"/>
    <n v="21"/>
    <n v="40"/>
    <n v="21"/>
    <n v="21"/>
    <n v="21"/>
    <n v="21"/>
    <m/>
    <m/>
    <m/>
    <m/>
    <m/>
    <m/>
    <m/>
    <n v="0"/>
    <n v="0"/>
    <n v="0"/>
    <n v="0"/>
    <n v="0"/>
    <n v="0"/>
    <n v="0"/>
    <n v="0"/>
    <n v="0"/>
    <n v="0"/>
    <n v="0"/>
    <n v="0"/>
    <n v="0"/>
    <n v="0"/>
    <n v="0"/>
    <n v="0"/>
    <n v="0"/>
    <n v="0"/>
    <s v="MMR001CMP050"/>
    <x v="0"/>
    <x v="0"/>
    <s v="P4"/>
    <n v="5.1410105757931847E-4"/>
    <s v="No"/>
  </r>
  <r>
    <n v="43.766666666666666"/>
    <d v="2013-09-26T00:00:00"/>
    <x v="0"/>
    <s v="UNHCR"/>
    <s v="Kachin"/>
    <s v="Waingmaw"/>
    <s v="Laiza Market 3 - Laiza Gat"/>
    <m/>
    <m/>
    <n v="437"/>
    <n v="874"/>
    <n v="437"/>
    <n v="874"/>
    <n v="437"/>
    <n v="54"/>
    <n v="383"/>
    <n v="766"/>
    <m/>
    <m/>
    <m/>
    <m/>
    <m/>
    <m/>
    <m/>
    <n v="0"/>
    <n v="0"/>
    <n v="0"/>
    <n v="0"/>
    <n v="0"/>
    <n v="0"/>
    <n v="0"/>
    <n v="0"/>
    <n v="0"/>
    <n v="0"/>
    <n v="0"/>
    <n v="0"/>
    <n v="0"/>
    <n v="0"/>
    <n v="0"/>
    <n v="0"/>
    <n v="0"/>
    <n v="0"/>
    <s v="MMR001CMP117"/>
    <x v="0"/>
    <x v="1"/>
    <s v="P2"/>
    <n v="1.0738419953311217E-2"/>
    <s v="No"/>
  </r>
  <r>
    <n v="42.633333333333333"/>
    <d v="2013-10-30T00:00:00"/>
    <x v="0"/>
    <s v="UNHCR"/>
    <s v="Kachin"/>
    <s v="Bhamo"/>
    <s v="Htoi San Church"/>
    <m/>
    <m/>
    <n v="72"/>
    <n v="61"/>
    <n v="36"/>
    <n v="61"/>
    <n v="36"/>
    <n v="36"/>
    <n v="36"/>
    <n v="36"/>
    <m/>
    <m/>
    <m/>
    <m/>
    <m/>
    <m/>
    <m/>
    <n v="0"/>
    <n v="0"/>
    <n v="0"/>
    <n v="0"/>
    <n v="0"/>
    <n v="0"/>
    <n v="0"/>
    <n v="0"/>
    <n v="0"/>
    <n v="0"/>
    <n v="0"/>
    <n v="0"/>
    <n v="0"/>
    <n v="0"/>
    <n v="0"/>
    <n v="0"/>
    <n v="0"/>
    <n v="0"/>
    <s v="MMR001CMP052"/>
    <x v="0"/>
    <x v="0"/>
    <s v="P4"/>
    <n v="8.8066930867459266E-4"/>
    <s v="No"/>
  </r>
  <r>
    <n v="42.633333333333333"/>
    <d v="2013-10-30T00:00:00"/>
    <x v="0"/>
    <s v="UNHCR"/>
    <s v="Kachin"/>
    <s v="Bhamo"/>
    <s v="Phan Khar Kone"/>
    <m/>
    <m/>
    <n v="81"/>
    <n v="94"/>
    <n v="50"/>
    <n v="94"/>
    <n v="50"/>
    <n v="50"/>
    <n v="50"/>
    <n v="50"/>
    <m/>
    <m/>
    <m/>
    <m/>
    <m/>
    <m/>
    <m/>
    <n v="0"/>
    <n v="0"/>
    <n v="0"/>
    <n v="0"/>
    <n v="0"/>
    <n v="0"/>
    <n v="0"/>
    <n v="0"/>
    <n v="0"/>
    <n v="0"/>
    <n v="0"/>
    <n v="0"/>
    <n v="0"/>
    <n v="0"/>
    <n v="0"/>
    <n v="0"/>
    <n v="0"/>
    <n v="0"/>
    <s v="MMR001CMP193"/>
    <x v="0"/>
    <x v="0"/>
    <s v="P4"/>
    <n v="1.2113870381586917E-3"/>
    <s v="No"/>
  </r>
  <r>
    <n v="42.56666666666667"/>
    <d v="2013-11-01T00:00:00"/>
    <x v="0"/>
    <s v="UNHCR"/>
    <s v="Kachin"/>
    <s v="Bhamo"/>
    <s v="Aung Thar Church"/>
    <m/>
    <m/>
    <n v="8"/>
    <n v="6"/>
    <n v="4"/>
    <n v="6"/>
    <n v="4"/>
    <n v="4"/>
    <m/>
    <m/>
    <m/>
    <m/>
    <m/>
    <m/>
    <m/>
    <m/>
    <m/>
    <n v="0"/>
    <n v="0"/>
    <n v="0"/>
    <n v="0"/>
    <n v="0"/>
    <n v="0"/>
    <n v="0"/>
    <n v="0"/>
    <n v="0"/>
    <n v="0"/>
    <n v="0"/>
    <n v="0"/>
    <n v="0"/>
    <n v="0"/>
    <n v="0"/>
    <n v="0"/>
    <n v="0"/>
    <n v="0"/>
    <s v="MMR001CMP194"/>
    <x v="0"/>
    <x v="0"/>
    <s v="P4"/>
    <n v="9.8070463628116802E-5"/>
    <s v="No"/>
  </r>
  <r>
    <n v="42.56666666666667"/>
    <d v="2013-11-01T00:00:00"/>
    <x v="0"/>
    <s v="UNHCR"/>
    <s v="Kachin"/>
    <s v="Bhamo"/>
    <s v="Htoi San Church"/>
    <m/>
    <m/>
    <n v="12"/>
    <n v="9"/>
    <n v="6"/>
    <n v="9"/>
    <n v="6"/>
    <n v="6"/>
    <n v="6"/>
    <m/>
    <m/>
    <m/>
    <m/>
    <m/>
    <m/>
    <m/>
    <m/>
    <n v="0"/>
    <n v="0"/>
    <n v="0"/>
    <n v="0"/>
    <n v="0"/>
    <n v="0"/>
    <n v="0"/>
    <n v="0"/>
    <n v="0"/>
    <n v="0"/>
    <n v="0"/>
    <n v="0"/>
    <n v="0"/>
    <n v="0"/>
    <n v="0"/>
    <n v="0"/>
    <n v="0"/>
    <n v="0"/>
    <s v="MMR001CMP052"/>
    <x v="0"/>
    <x v="0"/>
    <s v="P4"/>
    <n v="1.4677821811243211E-4"/>
    <s v="No"/>
  </r>
  <r>
    <n v="42.56666666666667"/>
    <d v="2013-11-01T00:00:00"/>
    <x v="0"/>
    <s v="UNHCR"/>
    <s v="Kachin"/>
    <s v="Bhamo"/>
    <s v="Robert Church"/>
    <m/>
    <m/>
    <n v="40"/>
    <n v="48"/>
    <n v="20"/>
    <n v="48"/>
    <n v="20"/>
    <n v="20"/>
    <n v="500"/>
    <n v="500"/>
    <m/>
    <m/>
    <m/>
    <m/>
    <m/>
    <m/>
    <m/>
    <n v="0"/>
    <n v="0"/>
    <n v="0"/>
    <n v="0"/>
    <n v="0"/>
    <n v="0"/>
    <n v="0"/>
    <n v="0"/>
    <n v="0"/>
    <n v="0"/>
    <n v="0"/>
    <n v="0"/>
    <n v="0"/>
    <n v="0"/>
    <n v="0"/>
    <n v="0"/>
    <n v="0"/>
    <n v="0"/>
    <s v="MMR001CMP047"/>
    <x v="0"/>
    <x v="0"/>
    <s v="P4"/>
    <n v="4.9109883364027013E-4"/>
    <s v="No"/>
  </r>
  <r>
    <n v="42.5"/>
    <d v="2013-11-03T00:00:00"/>
    <x v="4"/>
    <s v="MRCS"/>
    <s v="Kachin"/>
    <s v="Bhamo"/>
    <s v="AD-2000 Tharthana Compound"/>
    <m/>
    <m/>
    <n v="21"/>
    <m/>
    <m/>
    <m/>
    <n v="21"/>
    <m/>
    <m/>
    <m/>
    <m/>
    <m/>
    <m/>
    <m/>
    <m/>
    <m/>
    <m/>
    <n v="0"/>
    <n v="0"/>
    <n v="0"/>
    <n v="0"/>
    <n v="0"/>
    <n v="0"/>
    <n v="0"/>
    <n v="0"/>
    <n v="0"/>
    <n v="0"/>
    <n v="0"/>
    <n v="0"/>
    <n v="0"/>
    <n v="0"/>
    <n v="0"/>
    <n v="0"/>
    <n v="0"/>
    <n v="0"/>
    <s v="MMR001CMP050"/>
    <x v="0"/>
    <x v="0"/>
    <s v="P4"/>
    <n v="5.1410105757931847E-4"/>
    <s v="No"/>
  </r>
  <r>
    <n v="42.5"/>
    <d v="2013-11-03T00:00:00"/>
    <x v="0"/>
    <s v="UNHCR "/>
    <s v="Kachin"/>
    <s v="Mansi"/>
    <s v="Bum Tsit Pa "/>
    <m/>
    <m/>
    <n v="130"/>
    <n v="130"/>
    <n v="65"/>
    <n v="65"/>
    <n v="65"/>
    <n v="65"/>
    <m/>
    <m/>
    <m/>
    <m/>
    <m/>
    <m/>
    <m/>
    <m/>
    <m/>
    <n v="0"/>
    <n v="0"/>
    <n v="0"/>
    <n v="0"/>
    <n v="0"/>
    <n v="0"/>
    <n v="0"/>
    <n v="0"/>
    <n v="0"/>
    <n v="0"/>
    <n v="0"/>
    <n v="0"/>
    <n v="0"/>
    <n v="0"/>
    <n v="0"/>
    <n v="0"/>
    <n v="0"/>
    <n v="0"/>
    <s v="MMR001CMP129"/>
    <x v="0"/>
    <x v="0"/>
    <s v="P2"/>
    <n v="1.5924737241835509E-3"/>
    <s v="No"/>
  </r>
  <r>
    <n v="42.5"/>
    <d v="2013-11-03T00:00:00"/>
    <x v="4"/>
    <s v="MRCS"/>
    <s v="Kachin"/>
    <s v="Bhamo"/>
    <s v="Htoi San Church"/>
    <m/>
    <m/>
    <n v="41"/>
    <m/>
    <m/>
    <m/>
    <n v="41"/>
    <m/>
    <m/>
    <m/>
    <m/>
    <m/>
    <m/>
    <m/>
    <m/>
    <m/>
    <m/>
    <n v="0"/>
    <n v="0"/>
    <n v="0"/>
    <n v="0"/>
    <n v="0"/>
    <n v="0"/>
    <n v="0"/>
    <n v="0"/>
    <n v="0"/>
    <n v="0"/>
    <n v="0"/>
    <n v="0"/>
    <n v="0"/>
    <n v="0"/>
    <n v="0"/>
    <n v="0"/>
    <n v="0"/>
    <n v="0"/>
    <s v="MMR001CMP052"/>
    <x v="0"/>
    <x v="0"/>
    <s v="P4"/>
    <n v="1.0029844904349528E-3"/>
    <s v="No"/>
  </r>
  <r>
    <n v="42.5"/>
    <d v="2013-11-03T00:00:00"/>
    <x v="0"/>
    <s v="UNHCR "/>
    <s v="Kachin"/>
    <s v="Mansi"/>
    <s v="Lana Zup Ja "/>
    <m/>
    <m/>
    <n v="592"/>
    <n v="592"/>
    <n v="296"/>
    <n v="296"/>
    <n v="296"/>
    <n v="296"/>
    <m/>
    <m/>
    <m/>
    <m/>
    <m/>
    <m/>
    <m/>
    <m/>
    <m/>
    <n v="0"/>
    <n v="0"/>
    <n v="0"/>
    <n v="0"/>
    <n v="0"/>
    <n v="0"/>
    <n v="0"/>
    <n v="0"/>
    <n v="0"/>
    <n v="0"/>
    <n v="0"/>
    <n v="0"/>
    <n v="0"/>
    <n v="0"/>
    <n v="0"/>
    <n v="0"/>
    <n v="0"/>
    <n v="0"/>
    <s v="MMR001CMP128"/>
    <x v="0"/>
    <x v="0"/>
    <s v="P2"/>
    <n v="7.2518803439743243E-3"/>
    <s v="No"/>
  </r>
  <r>
    <n v="42.5"/>
    <d v="2013-11-03T00:00:00"/>
    <x v="0"/>
    <s v="UNHCR "/>
    <s v="Kachin"/>
    <s v="Momauk"/>
    <s v="Loi Je Lisu Camp"/>
    <m/>
    <m/>
    <n v="24"/>
    <n v="24"/>
    <n v="12"/>
    <n v="12"/>
    <n v="12"/>
    <n v="12"/>
    <m/>
    <m/>
    <m/>
    <m/>
    <m/>
    <m/>
    <m/>
    <m/>
    <m/>
    <n v="0"/>
    <n v="0"/>
    <n v="0"/>
    <n v="0"/>
    <n v="0"/>
    <n v="0"/>
    <n v="0"/>
    <n v="0"/>
    <n v="0"/>
    <n v="0"/>
    <n v="0"/>
    <n v="0"/>
    <n v="0"/>
    <n v="0"/>
    <n v="0"/>
    <n v="0"/>
    <n v="0"/>
    <n v="0"/>
    <s v="MMR001CMP070"/>
    <x v="0"/>
    <x v="0"/>
    <s v="P3"/>
    <n v="2.9268292682926828E-4"/>
    <s v="No"/>
  </r>
  <r>
    <n v="42.5"/>
    <d v="2013-11-03T00:00:00"/>
    <x v="4"/>
    <s v="MRCS"/>
    <s v="Kachin"/>
    <s v="Mansi"/>
    <s v="Mansi Baptist Church"/>
    <m/>
    <m/>
    <n v="29"/>
    <m/>
    <m/>
    <m/>
    <n v="29"/>
    <m/>
    <m/>
    <m/>
    <m/>
    <m/>
    <m/>
    <m/>
    <m/>
    <m/>
    <m/>
    <n v="0"/>
    <n v="0"/>
    <n v="0"/>
    <n v="0"/>
    <n v="0"/>
    <n v="0"/>
    <n v="0"/>
    <n v="0"/>
    <n v="0"/>
    <n v="0"/>
    <n v="0"/>
    <n v="0"/>
    <n v="0"/>
    <n v="0"/>
    <n v="0"/>
    <n v="0"/>
    <n v="0"/>
    <n v="0"/>
    <s v="MMR001CMP066"/>
    <x v="0"/>
    <x v="0"/>
    <s v="P4"/>
    <n v="6.9746747156016256E-4"/>
    <s v="No"/>
  </r>
  <r>
    <n v="42.5"/>
    <d v="2013-11-03T00:00:00"/>
    <x v="4"/>
    <s v="MRCS"/>
    <s v="Kachin"/>
    <s v="Bhamo"/>
    <s v="Phan Khar Kone"/>
    <m/>
    <m/>
    <n v="49"/>
    <m/>
    <m/>
    <m/>
    <n v="49"/>
    <m/>
    <m/>
    <m/>
    <m/>
    <m/>
    <m/>
    <m/>
    <m/>
    <m/>
    <m/>
    <n v="0"/>
    <n v="0"/>
    <n v="0"/>
    <n v="0"/>
    <n v="0"/>
    <n v="0"/>
    <n v="0"/>
    <n v="0"/>
    <n v="0"/>
    <n v="0"/>
    <n v="0"/>
    <n v="0"/>
    <n v="0"/>
    <n v="0"/>
    <n v="0"/>
    <n v="0"/>
    <n v="0"/>
    <n v="0"/>
    <s v="MMR001CMP193"/>
    <x v="0"/>
    <x v="0"/>
    <s v="P4"/>
    <n v="1.1871592973955178E-3"/>
    <s v="No"/>
  </r>
  <r>
    <n v="42.43333333333333"/>
    <d v="2013-11-05T00:00:00"/>
    <x v="0"/>
    <s v="UNHCR"/>
    <s v="Kachin"/>
    <s v="Mansi"/>
    <s v="Mansi Baptist Church"/>
    <m/>
    <m/>
    <n v="60"/>
    <n v="54"/>
    <n v="30"/>
    <n v="54"/>
    <n v="30"/>
    <n v="30"/>
    <m/>
    <m/>
    <m/>
    <m/>
    <m/>
    <m/>
    <m/>
    <m/>
    <m/>
    <n v="0"/>
    <n v="0"/>
    <n v="0"/>
    <n v="0"/>
    <n v="0"/>
    <n v="0"/>
    <n v="0"/>
    <n v="0"/>
    <n v="0"/>
    <n v="0"/>
    <n v="0"/>
    <n v="0"/>
    <n v="0"/>
    <n v="0"/>
    <n v="0"/>
    <n v="0"/>
    <n v="0"/>
    <n v="0"/>
    <s v="MMR001CMP066"/>
    <x v="0"/>
    <x v="0"/>
    <s v="P4"/>
    <n v="7.215180740277544E-4"/>
    <s v="No"/>
  </r>
  <r>
    <n v="42.366666666666667"/>
    <d v="2013-11-07T00:00:00"/>
    <x v="1"/>
    <s v="Solidarities"/>
    <s v="Kachin"/>
    <s v="Bhamo"/>
    <s v="Phan Khar Kone"/>
    <m/>
    <m/>
    <m/>
    <m/>
    <m/>
    <m/>
    <m/>
    <m/>
    <m/>
    <m/>
    <n v="23"/>
    <n v="41"/>
    <n v="128"/>
    <n v="64"/>
    <m/>
    <m/>
    <m/>
    <n v="0"/>
    <n v="0"/>
    <n v="0"/>
    <n v="0"/>
    <n v="0"/>
    <n v="0"/>
    <n v="0"/>
    <n v="0"/>
    <n v="0"/>
    <n v="0"/>
    <n v="0"/>
    <n v="0"/>
    <n v="0"/>
    <n v="0"/>
    <n v="1"/>
    <n v="0"/>
    <n v="0"/>
    <n v="0"/>
    <s v="MMR001CMP193"/>
    <x v="0"/>
    <x v="0"/>
    <s v="P4"/>
    <n v="0"/>
    <m/>
  </r>
  <r>
    <n v="42.366666666666667"/>
    <d v="2013-11-07T00:00:00"/>
    <x v="0"/>
    <s v="UNHCR"/>
    <s v="Kachin"/>
    <s v="Bhamo"/>
    <s v="Phan Khar Kone"/>
    <m/>
    <m/>
    <n v="58"/>
    <n v="46"/>
    <n v="29"/>
    <n v="46"/>
    <n v="29"/>
    <n v="29"/>
    <m/>
    <m/>
    <m/>
    <m/>
    <m/>
    <m/>
    <m/>
    <m/>
    <m/>
    <n v="0"/>
    <n v="0"/>
    <n v="0"/>
    <n v="0"/>
    <n v="0"/>
    <n v="0"/>
    <n v="0"/>
    <n v="0"/>
    <n v="0"/>
    <n v="0"/>
    <n v="0"/>
    <n v="0"/>
    <n v="0"/>
    <n v="0"/>
    <n v="0"/>
    <n v="0"/>
    <n v="0"/>
    <n v="0"/>
    <s v="MMR001CMP193"/>
    <x v="0"/>
    <x v="0"/>
    <s v="P4"/>
    <n v="7.0260448213204122E-4"/>
    <s v="No"/>
  </r>
  <r>
    <n v="42.366666666666667"/>
    <d v="2013-11-07T00:00:00"/>
    <x v="1"/>
    <s v="Solidarities"/>
    <s v="Kachin"/>
    <s v="Bhamo"/>
    <s v="Ta Gun Taing Monastery (Shwe Kyi Na)"/>
    <m/>
    <m/>
    <m/>
    <m/>
    <m/>
    <m/>
    <m/>
    <m/>
    <m/>
    <m/>
    <n v="64"/>
    <n v="118"/>
    <n v="364"/>
    <n v="182"/>
    <m/>
    <m/>
    <m/>
    <n v="0"/>
    <n v="0"/>
    <n v="0"/>
    <n v="0"/>
    <n v="0"/>
    <n v="0"/>
    <n v="0"/>
    <n v="0"/>
    <n v="0"/>
    <n v="0"/>
    <n v="0"/>
    <n v="0"/>
    <n v="0"/>
    <n v="0"/>
    <n v="1"/>
    <n v="0"/>
    <n v="0"/>
    <n v="0"/>
    <s v="MMR001CMP055"/>
    <x v="0"/>
    <x v="0"/>
    <s v="P4"/>
    <n v="0"/>
    <m/>
  </r>
  <r>
    <n v="42.233333333333334"/>
    <d v="2013-11-11T00:00:00"/>
    <x v="0"/>
    <s v="UNHCR "/>
    <s v="Kachin"/>
    <s v="Momauk"/>
    <s v="Nhkawng Pa "/>
    <m/>
    <m/>
    <n v="36"/>
    <n v="200"/>
    <n v="100"/>
    <m/>
    <n v="100"/>
    <n v="100"/>
    <m/>
    <m/>
    <m/>
    <m/>
    <m/>
    <m/>
    <m/>
    <m/>
    <m/>
    <n v="0"/>
    <n v="0"/>
    <n v="0"/>
    <n v="0"/>
    <n v="0"/>
    <n v="0"/>
    <n v="0"/>
    <n v="0"/>
    <n v="0"/>
    <n v="0"/>
    <n v="0"/>
    <n v="0"/>
    <n v="0"/>
    <n v="0"/>
    <n v="0"/>
    <n v="0"/>
    <n v="0"/>
    <n v="0"/>
    <s v="MMR001CMP131"/>
    <x v="0"/>
    <x v="0"/>
    <s v="P1"/>
    <n v="2.4390243902439024E-3"/>
    <s v="No"/>
  </r>
  <r>
    <n v="42.366666666666667"/>
    <d v="2013-11-07T00:00:00"/>
    <x v="1"/>
    <s v="Solidarities"/>
    <s v="Kachin"/>
    <s v="Bhamo"/>
    <s v="Aung Thar Church"/>
    <m/>
    <m/>
    <m/>
    <m/>
    <m/>
    <m/>
    <m/>
    <m/>
    <m/>
    <m/>
    <n v="25"/>
    <n v="73"/>
    <n v="196"/>
    <n v="98"/>
    <m/>
    <m/>
    <m/>
    <n v="0"/>
    <n v="0"/>
    <n v="0"/>
    <n v="0"/>
    <n v="0"/>
    <n v="0"/>
    <n v="0"/>
    <n v="0"/>
    <n v="0"/>
    <n v="0"/>
    <n v="0"/>
    <n v="0"/>
    <n v="0"/>
    <n v="0"/>
    <n v="1"/>
    <n v="0"/>
    <n v="0"/>
    <n v="0"/>
    <s v="MMR001CMP194"/>
    <x v="0"/>
    <x v="1"/>
    <s v="P4"/>
    <n v="0"/>
    <m/>
  </r>
  <r>
    <n v="42.366666666666667"/>
    <d v="2013-11-07T00:00:00"/>
    <x v="0"/>
    <s v="UNHCR"/>
    <s v="Kachin"/>
    <s v="Hpakant"/>
    <s v="Baptist Church, Naung Hmee VT"/>
    <m/>
    <m/>
    <n v="13"/>
    <n v="32"/>
    <n v="15"/>
    <n v="32"/>
    <n v="15"/>
    <m/>
    <n v="15"/>
    <n v="32"/>
    <m/>
    <m/>
    <m/>
    <m/>
    <m/>
    <m/>
    <m/>
    <n v="0"/>
    <n v="0"/>
    <n v="0"/>
    <n v="0"/>
    <n v="0"/>
    <n v="0"/>
    <n v="0"/>
    <n v="0"/>
    <n v="0"/>
    <n v="0"/>
    <n v="0"/>
    <n v="0"/>
    <n v="0"/>
    <n v="0"/>
    <n v="0"/>
    <n v="0"/>
    <n v="0"/>
    <n v="0"/>
    <s v="MMR001CMP188"/>
    <x v="0"/>
    <x v="1"/>
    <s v="P4"/>
    <s v=""/>
    <s v="No"/>
  </r>
  <r>
    <n v="42.166666666666664"/>
    <d v="2013-11-13T00:00:00"/>
    <x v="1"/>
    <s v="Solidarities"/>
    <s v="Kachin"/>
    <s v="Mansi"/>
    <s v="Man Wing Baptist Church"/>
    <m/>
    <m/>
    <m/>
    <m/>
    <m/>
    <m/>
    <m/>
    <m/>
    <m/>
    <m/>
    <m/>
    <n v="160"/>
    <n v="320"/>
    <n v="160"/>
    <m/>
    <m/>
    <m/>
    <n v="0"/>
    <n v="0"/>
    <n v="0"/>
    <n v="0"/>
    <n v="0"/>
    <n v="0"/>
    <n v="0"/>
    <n v="0"/>
    <n v="0"/>
    <n v="0"/>
    <n v="0"/>
    <n v="0"/>
    <n v="0"/>
    <n v="0"/>
    <n v="1"/>
    <n v="0"/>
    <n v="0"/>
    <n v="0"/>
    <s v="MMR001CMP133"/>
    <x v="0"/>
    <x v="0"/>
    <s v="P4"/>
    <n v="0"/>
    <m/>
  </r>
  <r>
    <n v="42.166666666666664"/>
    <d v="2013-11-13T00:00:00"/>
    <x v="1"/>
    <s v="LDO"/>
    <s v="Kachin"/>
    <s v="Momauk"/>
    <s v="Pa Kahtawng "/>
    <m/>
    <m/>
    <m/>
    <m/>
    <m/>
    <m/>
    <m/>
    <m/>
    <m/>
    <m/>
    <n v="514"/>
    <n v="1016"/>
    <n v="3060"/>
    <n v="1530"/>
    <m/>
    <m/>
    <m/>
    <n v="0"/>
    <n v="0"/>
    <n v="0"/>
    <n v="0"/>
    <n v="0"/>
    <n v="0"/>
    <n v="0"/>
    <n v="0"/>
    <n v="0"/>
    <n v="0"/>
    <n v="0"/>
    <n v="0"/>
    <n v="0"/>
    <n v="0"/>
    <n v="1"/>
    <n v="0"/>
    <n v="0"/>
    <n v="0"/>
    <s v="MMR001CMP126"/>
    <x v="0"/>
    <x v="0"/>
    <s v="P2"/>
    <n v="0"/>
    <m/>
  </r>
  <r>
    <n v="42.133333333333333"/>
    <d v="2013-11-14T00:00:00"/>
    <x v="0"/>
    <s v="UNHCR "/>
    <s v="Kachin"/>
    <s v="Bhamo"/>
    <s v="Aung Thar Church"/>
    <m/>
    <m/>
    <m/>
    <n v="12"/>
    <n v="9"/>
    <n v="12"/>
    <n v="9"/>
    <n v="9"/>
    <m/>
    <m/>
    <m/>
    <m/>
    <m/>
    <m/>
    <m/>
    <m/>
    <m/>
    <n v="0"/>
    <n v="0"/>
    <n v="0"/>
    <n v="0"/>
    <n v="0"/>
    <n v="0"/>
    <n v="0"/>
    <n v="0"/>
    <n v="0"/>
    <n v="0"/>
    <n v="0"/>
    <n v="0"/>
    <n v="0"/>
    <n v="0"/>
    <n v="0"/>
    <n v="0"/>
    <n v="0"/>
    <n v="0"/>
    <s v="MMR001CMP194"/>
    <x v="0"/>
    <x v="0"/>
    <s v="P4"/>
    <n v="2.2065854316326281E-4"/>
    <s v="No"/>
  </r>
  <r>
    <n v="42.133333333333333"/>
    <d v="2013-11-14T00:00:00"/>
    <x v="1"/>
    <s v="LDO"/>
    <s v="Kachin"/>
    <s v="Mansi"/>
    <s v="Lana Zup Ja "/>
    <m/>
    <m/>
    <m/>
    <m/>
    <m/>
    <m/>
    <m/>
    <m/>
    <m/>
    <m/>
    <n v="550"/>
    <n v="1101"/>
    <n v="3302"/>
    <n v="1651"/>
    <m/>
    <m/>
    <m/>
    <n v="0"/>
    <n v="0"/>
    <n v="0"/>
    <n v="0"/>
    <n v="0"/>
    <n v="0"/>
    <n v="0"/>
    <n v="0"/>
    <n v="0"/>
    <n v="0"/>
    <n v="0"/>
    <n v="0"/>
    <n v="0"/>
    <n v="0"/>
    <n v="1"/>
    <n v="0"/>
    <n v="0"/>
    <n v="0"/>
    <s v="MMR001CMP128"/>
    <x v="0"/>
    <x v="0"/>
    <s v="P2"/>
    <n v="0"/>
    <m/>
  </r>
  <r>
    <n v="42.133333333333333"/>
    <d v="2013-11-14T00:00:00"/>
    <x v="2"/>
    <m/>
    <s v="Kachin"/>
    <s v="Momauk"/>
    <s v="Loi Je Baptist Church"/>
    <m/>
    <m/>
    <m/>
    <m/>
    <m/>
    <n v="75"/>
    <m/>
    <m/>
    <m/>
    <m/>
    <m/>
    <m/>
    <m/>
    <m/>
    <m/>
    <m/>
    <m/>
    <n v="0"/>
    <n v="0"/>
    <n v="0"/>
    <n v="0"/>
    <n v="0"/>
    <n v="0"/>
    <n v="0"/>
    <n v="0"/>
    <n v="0"/>
    <n v="0"/>
    <n v="0"/>
    <n v="0"/>
    <n v="0"/>
    <n v="0"/>
    <n v="0"/>
    <n v="0"/>
    <n v="0"/>
    <n v="0"/>
    <s v="MMR001CMP071"/>
    <x v="0"/>
    <x v="0"/>
    <s v="P3"/>
    <n v="0"/>
    <s v="No"/>
  </r>
  <r>
    <n v="42.133333333333333"/>
    <d v="2013-11-14T00:00:00"/>
    <x v="2"/>
    <m/>
    <s v="Kachin"/>
    <s v="Mansi"/>
    <s v="Man Wing Baptist Church"/>
    <m/>
    <m/>
    <m/>
    <m/>
    <m/>
    <m/>
    <m/>
    <m/>
    <m/>
    <m/>
    <m/>
    <n v="32"/>
    <m/>
    <m/>
    <m/>
    <m/>
    <m/>
    <n v="0"/>
    <n v="0"/>
    <n v="0"/>
    <n v="0"/>
    <n v="0"/>
    <n v="0"/>
    <n v="0"/>
    <n v="0"/>
    <n v="0"/>
    <n v="0"/>
    <n v="0"/>
    <n v="0"/>
    <n v="0"/>
    <n v="0"/>
    <n v="1"/>
    <n v="0"/>
    <n v="0"/>
    <n v="0"/>
    <s v="MMR001CMP133"/>
    <x v="0"/>
    <x v="0"/>
    <s v="P4"/>
    <n v="0"/>
    <s v="No"/>
  </r>
  <r>
    <n v="42.133333333333333"/>
    <d v="2013-11-14T00:00:00"/>
    <x v="1"/>
    <s v="Solidarities"/>
    <s v="Kachin"/>
    <s v="Mansi"/>
    <s v="Man Wing Catholic Church"/>
    <m/>
    <m/>
    <m/>
    <m/>
    <m/>
    <m/>
    <m/>
    <m/>
    <m/>
    <m/>
    <m/>
    <n v="176"/>
    <n v="352"/>
    <n v="176"/>
    <m/>
    <m/>
    <m/>
    <n v="0"/>
    <n v="0"/>
    <n v="0"/>
    <n v="0"/>
    <n v="0"/>
    <n v="0"/>
    <n v="0"/>
    <n v="0"/>
    <n v="0"/>
    <n v="0"/>
    <n v="0"/>
    <n v="0"/>
    <n v="0"/>
    <n v="0"/>
    <n v="1"/>
    <n v="0"/>
    <n v="0"/>
    <n v="0"/>
    <s v="MMR001CMP132"/>
    <x v="0"/>
    <x v="0"/>
    <s v="P4"/>
    <n v="0"/>
    <m/>
  </r>
  <r>
    <n v="42.133333333333333"/>
    <d v="2013-11-14T00:00:00"/>
    <x v="0"/>
    <s v="UNHCR"/>
    <s v="Kachin"/>
    <s v="Mansi"/>
    <s v="Mansi Baptist Church"/>
    <m/>
    <m/>
    <n v="18"/>
    <n v="31"/>
    <n v="18"/>
    <n v="31"/>
    <n v="18"/>
    <n v="18"/>
    <m/>
    <m/>
    <m/>
    <m/>
    <m/>
    <m/>
    <m/>
    <m/>
    <m/>
    <n v="0"/>
    <n v="0"/>
    <n v="0"/>
    <n v="0"/>
    <n v="0"/>
    <n v="0"/>
    <n v="0"/>
    <n v="0"/>
    <n v="0"/>
    <n v="0"/>
    <n v="0"/>
    <n v="0"/>
    <n v="0"/>
    <n v="0"/>
    <n v="0"/>
    <n v="0"/>
    <n v="0"/>
    <n v="0"/>
    <s v="MMR001CMP066"/>
    <x v="0"/>
    <x v="0"/>
    <s v="P4"/>
    <n v="4.3291084441665265E-4"/>
    <s v="No"/>
  </r>
  <r>
    <n v="42.133333333333333"/>
    <d v="2013-11-14T00:00:00"/>
    <x v="2"/>
    <m/>
    <s v="Kachin"/>
    <s v="Momauk"/>
    <s v="Seng Ja "/>
    <m/>
    <m/>
    <m/>
    <m/>
    <m/>
    <n v="110"/>
    <m/>
    <m/>
    <m/>
    <m/>
    <m/>
    <m/>
    <m/>
    <m/>
    <m/>
    <m/>
    <m/>
    <n v="0"/>
    <n v="0"/>
    <n v="0"/>
    <n v="0"/>
    <n v="0"/>
    <n v="0"/>
    <n v="0"/>
    <n v="0"/>
    <n v="0"/>
    <n v="0"/>
    <n v="0"/>
    <n v="0"/>
    <n v="0"/>
    <n v="0"/>
    <n v="0"/>
    <n v="0"/>
    <n v="0"/>
    <n v="0"/>
    <s v="MMR001CMP073"/>
    <x v="0"/>
    <x v="0"/>
    <s v="P3"/>
    <n v="0"/>
    <s v="No"/>
  </r>
  <r>
    <n v="42.1"/>
    <d v="2013-11-15T00:00:00"/>
    <x v="1"/>
    <s v="LDO"/>
    <s v="Kachin"/>
    <s v="Momauk"/>
    <s v="Nhkawng Pa "/>
    <m/>
    <m/>
    <m/>
    <m/>
    <m/>
    <m/>
    <m/>
    <m/>
    <m/>
    <m/>
    <n v="387"/>
    <n v="760"/>
    <n v="2294"/>
    <n v="1147"/>
    <m/>
    <m/>
    <m/>
    <n v="0"/>
    <n v="0"/>
    <n v="0"/>
    <n v="0"/>
    <n v="0"/>
    <n v="0"/>
    <n v="0"/>
    <n v="0"/>
    <n v="0"/>
    <n v="0"/>
    <n v="0"/>
    <n v="0"/>
    <n v="0"/>
    <n v="0"/>
    <n v="1"/>
    <n v="0"/>
    <n v="0"/>
    <n v="0"/>
    <s v="MMR001CMP131"/>
    <x v="0"/>
    <x v="0"/>
    <s v="P1"/>
    <n v="0"/>
    <m/>
  </r>
  <r>
    <n v="42.133333333333333"/>
    <d v="2013-11-14T00:00:00"/>
    <x v="1"/>
    <s v="Solidarities"/>
    <s v="Kachin"/>
    <s v="Mansi"/>
    <s v="Lagatyan "/>
    <m/>
    <m/>
    <m/>
    <m/>
    <m/>
    <m/>
    <m/>
    <m/>
    <m/>
    <m/>
    <n v="120"/>
    <n v="207"/>
    <n v="654"/>
    <n v="327"/>
    <m/>
    <m/>
    <m/>
    <n v="0"/>
    <n v="0"/>
    <n v="0"/>
    <n v="0"/>
    <n v="0"/>
    <n v="0"/>
    <n v="0"/>
    <n v="0"/>
    <n v="0"/>
    <n v="0"/>
    <n v="0"/>
    <n v="0"/>
    <n v="0"/>
    <n v="0"/>
    <n v="1"/>
    <n v="0"/>
    <n v="0"/>
    <n v="0"/>
    <s v="MMR001CMP202"/>
    <x v="0"/>
    <x v="1"/>
    <s v="P4"/>
    <n v="0"/>
    <m/>
  </r>
  <r>
    <n v="42.06666666666667"/>
    <d v="2013-11-16T00:00:00"/>
    <x v="0"/>
    <s v="UNHCR "/>
    <s v="Kachin"/>
    <s v="Bhamo"/>
    <s v="Phan Khar Kone"/>
    <m/>
    <m/>
    <m/>
    <m/>
    <n v="11"/>
    <m/>
    <m/>
    <m/>
    <m/>
    <m/>
    <m/>
    <m/>
    <m/>
    <m/>
    <m/>
    <m/>
    <m/>
    <n v="0"/>
    <n v="0"/>
    <n v="0"/>
    <n v="0"/>
    <n v="0"/>
    <n v="0"/>
    <n v="0"/>
    <n v="0"/>
    <n v="0"/>
    <n v="0"/>
    <n v="0"/>
    <n v="0"/>
    <n v="0"/>
    <n v="0"/>
    <n v="0"/>
    <n v="0"/>
    <n v="0"/>
    <n v="0"/>
    <s v="MMR001CMP193"/>
    <x v="0"/>
    <x v="0"/>
    <s v="P4"/>
    <n v="0"/>
    <s v="No"/>
  </r>
  <r>
    <n v="42.1"/>
    <d v="2013-11-15T00:00:00"/>
    <x v="1"/>
    <s v="LDO"/>
    <s v="Kachin"/>
    <s v="Mansi"/>
    <s v="Lung Kawk  ( Hka Hkye Zup)"/>
    <m/>
    <m/>
    <m/>
    <m/>
    <m/>
    <m/>
    <m/>
    <m/>
    <m/>
    <m/>
    <n v="54"/>
    <n v="106"/>
    <n v="320"/>
    <n v="160"/>
    <m/>
    <m/>
    <m/>
    <n v="0"/>
    <n v="0"/>
    <n v="0"/>
    <n v="0"/>
    <n v="0"/>
    <n v="0"/>
    <n v="0"/>
    <n v="0"/>
    <n v="0"/>
    <n v="0"/>
    <n v="0"/>
    <n v="0"/>
    <n v="0"/>
    <n v="0"/>
    <n v="1"/>
    <n v="0"/>
    <n v="0"/>
    <n v="0"/>
    <s v="MMR001CMP135"/>
    <x v="0"/>
    <x v="1"/>
    <s v="P2"/>
    <n v="0"/>
    <m/>
  </r>
  <r>
    <n v="42.1"/>
    <d v="2013-11-15T00:00:00"/>
    <x v="0"/>
    <s v="UNHCR "/>
    <s v="Kachin"/>
    <s v="Bhamo"/>
    <m/>
    <m/>
    <m/>
    <m/>
    <m/>
    <n v="12"/>
    <m/>
    <m/>
    <m/>
    <m/>
    <m/>
    <m/>
    <m/>
    <m/>
    <m/>
    <m/>
    <m/>
    <m/>
    <n v="0"/>
    <n v="0"/>
    <n v="0"/>
    <n v="0"/>
    <n v="0"/>
    <n v="0"/>
    <n v="0"/>
    <n v="0"/>
    <n v="0"/>
    <n v="0"/>
    <n v="0"/>
    <n v="0"/>
    <n v="0"/>
    <n v="0"/>
    <n v="0"/>
    <n v="0"/>
    <n v="0"/>
    <n v="0"/>
    <s v=""/>
    <x v="1"/>
    <x v="2"/>
    <s v=""/>
    <s v=""/>
    <s v="No"/>
  </r>
  <r>
    <n v="42.06666666666667"/>
    <d v="2013-11-16T00:00:00"/>
    <x v="0"/>
    <s v="UNHCR"/>
    <s v="Kachin"/>
    <s v="Bhamo"/>
    <s v="Robert Church"/>
    <m/>
    <m/>
    <m/>
    <m/>
    <n v="10"/>
    <m/>
    <m/>
    <m/>
    <m/>
    <m/>
    <m/>
    <m/>
    <m/>
    <m/>
    <m/>
    <m/>
    <m/>
    <n v="0"/>
    <n v="0"/>
    <n v="0"/>
    <n v="0"/>
    <n v="0"/>
    <n v="0"/>
    <n v="0"/>
    <n v="0"/>
    <n v="0"/>
    <n v="0"/>
    <n v="0"/>
    <n v="0"/>
    <n v="0"/>
    <n v="0"/>
    <n v="0"/>
    <n v="0"/>
    <n v="0"/>
    <n v="0"/>
    <s v="MMR001CMP047"/>
    <x v="0"/>
    <x v="0"/>
    <s v="P4"/>
    <n v="0"/>
    <s v="No"/>
  </r>
  <r>
    <n v="42.033333333333331"/>
    <d v="2013-11-17T00:00:00"/>
    <x v="2"/>
    <m/>
    <s v="Kachin"/>
    <s v="Momauk"/>
    <s v="Loi Je Catholic Church"/>
    <m/>
    <m/>
    <m/>
    <m/>
    <m/>
    <n v="141"/>
    <m/>
    <m/>
    <m/>
    <m/>
    <m/>
    <m/>
    <m/>
    <m/>
    <m/>
    <m/>
    <m/>
    <n v="0"/>
    <n v="0"/>
    <n v="0"/>
    <n v="0"/>
    <n v="0"/>
    <n v="0"/>
    <n v="0"/>
    <n v="0"/>
    <n v="0"/>
    <n v="0"/>
    <n v="0"/>
    <n v="0"/>
    <n v="0"/>
    <n v="0"/>
    <n v="0"/>
    <n v="0"/>
    <n v="0"/>
    <n v="0"/>
    <s v="MMR001CMP069"/>
    <x v="0"/>
    <x v="0"/>
    <s v="P3"/>
    <n v="0"/>
    <s v="No"/>
  </r>
  <r>
    <n v="42.033333333333331"/>
    <d v="2013-11-17T00:00:00"/>
    <x v="0"/>
    <s v="UNHCR "/>
    <s v="Kachin"/>
    <s v="Mansi"/>
    <s v="Man Wing Catholic Church"/>
    <m/>
    <m/>
    <m/>
    <n v="700"/>
    <n v="350"/>
    <n v="700"/>
    <n v="350"/>
    <n v="350"/>
    <m/>
    <m/>
    <m/>
    <m/>
    <m/>
    <m/>
    <m/>
    <m/>
    <m/>
    <n v="0"/>
    <n v="0"/>
    <n v="0"/>
    <n v="0"/>
    <n v="0"/>
    <n v="0"/>
    <n v="0"/>
    <n v="0"/>
    <n v="0"/>
    <n v="0"/>
    <n v="0"/>
    <n v="0"/>
    <n v="0"/>
    <n v="0"/>
    <n v="0"/>
    <n v="0"/>
    <n v="0"/>
    <n v="0"/>
    <s v="MMR001CMP132"/>
    <x v="0"/>
    <x v="0"/>
    <s v="P4"/>
    <n v="8.5683509596553072E-3"/>
    <s v="No"/>
  </r>
  <r>
    <n v="42.033333333333331"/>
    <d v="2013-11-17T00:00:00"/>
    <x v="2"/>
    <m/>
    <s v="Kachin"/>
    <s v="Momauk"/>
    <s v="Nyaung Na Pin "/>
    <m/>
    <m/>
    <m/>
    <m/>
    <m/>
    <n v="145"/>
    <m/>
    <m/>
    <m/>
    <m/>
    <m/>
    <m/>
    <m/>
    <m/>
    <m/>
    <m/>
    <m/>
    <n v="0"/>
    <n v="0"/>
    <n v="0"/>
    <n v="0"/>
    <n v="0"/>
    <n v="0"/>
    <n v="0"/>
    <n v="0"/>
    <n v="0"/>
    <n v="0"/>
    <n v="0"/>
    <n v="0"/>
    <n v="0"/>
    <n v="0"/>
    <n v="0"/>
    <n v="0"/>
    <n v="0"/>
    <n v="0"/>
    <s v="MMR001CMP072"/>
    <x v="0"/>
    <x v="0"/>
    <s v="P3"/>
    <n v="0"/>
    <s v="No"/>
  </r>
  <r>
    <n v="42"/>
    <d v="2013-11-18T00:00:00"/>
    <x v="2"/>
    <m/>
    <s v="Kachin"/>
    <s v="Momauk"/>
    <s v="Loi Je Lisu Camp"/>
    <m/>
    <m/>
    <m/>
    <m/>
    <m/>
    <n v="395"/>
    <m/>
    <m/>
    <m/>
    <m/>
    <m/>
    <m/>
    <m/>
    <m/>
    <m/>
    <m/>
    <m/>
    <n v="0"/>
    <n v="0"/>
    <n v="0"/>
    <n v="0"/>
    <n v="0"/>
    <n v="0"/>
    <n v="0"/>
    <n v="0"/>
    <n v="0"/>
    <n v="0"/>
    <n v="0"/>
    <n v="0"/>
    <n v="0"/>
    <n v="0"/>
    <n v="0"/>
    <n v="0"/>
    <n v="0"/>
    <n v="0"/>
    <s v="MMR001CMP070"/>
    <x v="0"/>
    <x v="0"/>
    <s v="P3"/>
    <n v="0"/>
    <s v="No"/>
  </r>
  <r>
    <n v="41.966666666666669"/>
    <d v="2013-11-19T00:00:00"/>
    <x v="0"/>
    <s v="UNHCR"/>
    <s v="Kachin"/>
    <s v="Bhamo"/>
    <s v="Host Families"/>
    <m/>
    <m/>
    <m/>
    <n v="57"/>
    <n v="33"/>
    <n v="57"/>
    <n v="33"/>
    <n v="33"/>
    <m/>
    <m/>
    <m/>
    <m/>
    <m/>
    <m/>
    <m/>
    <m/>
    <m/>
    <n v="0"/>
    <n v="0"/>
    <n v="0"/>
    <n v="0"/>
    <n v="0"/>
    <n v="0"/>
    <n v="0"/>
    <n v="0"/>
    <n v="0"/>
    <n v="0"/>
    <n v="0"/>
    <n v="0"/>
    <n v="0"/>
    <n v="0"/>
    <n v="0"/>
    <n v="0"/>
    <n v="0"/>
    <n v="0"/>
    <s v="MMR001CMP163"/>
    <x v="0"/>
    <x v="0"/>
    <s v="P4"/>
    <s v=""/>
    <s v="No"/>
  </r>
  <r>
    <n v="41.966666666666669"/>
    <d v="2013-11-19T00:00:00"/>
    <x v="1"/>
    <s v="KBC"/>
    <s v="Kachin"/>
    <s v="Waingmaw"/>
    <s v="Maga Yang "/>
    <m/>
    <m/>
    <m/>
    <m/>
    <m/>
    <m/>
    <m/>
    <m/>
    <m/>
    <m/>
    <n v="613"/>
    <n v="1226"/>
    <n v="3678"/>
    <n v="1839"/>
    <m/>
    <m/>
    <m/>
    <n v="0"/>
    <n v="0"/>
    <n v="0"/>
    <n v="0"/>
    <n v="0"/>
    <n v="0"/>
    <n v="0"/>
    <n v="0"/>
    <n v="0"/>
    <n v="0"/>
    <n v="0"/>
    <n v="0"/>
    <n v="0"/>
    <n v="0"/>
    <n v="1"/>
    <n v="0"/>
    <n v="0"/>
    <n v="0"/>
    <s v="MMR001CMP119"/>
    <x v="0"/>
    <x v="0"/>
    <s v="P2"/>
    <n v="0"/>
    <m/>
  </r>
  <r>
    <n v="41.966666666666669"/>
    <d v="2013-11-19T00:00:00"/>
    <x v="0"/>
    <s v="UNHCR"/>
    <s v="Kachin"/>
    <s v="Bhamo"/>
    <s v="Robert Church"/>
    <m/>
    <m/>
    <n v="40"/>
    <n v="38"/>
    <n v="20"/>
    <n v="38"/>
    <n v="20"/>
    <n v="20"/>
    <m/>
    <m/>
    <m/>
    <m/>
    <m/>
    <m/>
    <m/>
    <m/>
    <m/>
    <n v="0"/>
    <n v="0"/>
    <n v="0"/>
    <n v="0"/>
    <n v="0"/>
    <n v="0"/>
    <n v="0"/>
    <n v="0"/>
    <n v="0"/>
    <n v="0"/>
    <n v="0"/>
    <n v="0"/>
    <n v="0"/>
    <n v="0"/>
    <n v="0"/>
    <n v="0"/>
    <n v="0"/>
    <n v="0"/>
    <s v="MMR001CMP047"/>
    <x v="0"/>
    <x v="0"/>
    <s v="P4"/>
    <n v="4.9109883364027013E-4"/>
    <s v="No"/>
  </r>
  <r>
    <n v="41.93333333333333"/>
    <d v="2013-11-20T00:00:00"/>
    <x v="1"/>
    <s v="Solidarities"/>
    <s v="Kachin"/>
    <s v="Bhamo"/>
    <s v="Robert Church"/>
    <m/>
    <m/>
    <m/>
    <m/>
    <m/>
    <m/>
    <m/>
    <m/>
    <m/>
    <m/>
    <m/>
    <n v="19"/>
    <n v="38"/>
    <n v="19"/>
    <m/>
    <m/>
    <m/>
    <n v="0"/>
    <n v="0"/>
    <n v="0"/>
    <n v="0"/>
    <n v="0"/>
    <n v="0"/>
    <n v="0"/>
    <n v="0"/>
    <n v="0"/>
    <n v="0"/>
    <n v="0"/>
    <n v="0"/>
    <n v="0"/>
    <n v="0"/>
    <n v="1"/>
    <n v="0"/>
    <n v="0"/>
    <n v="0"/>
    <s v="MMR001CMP047"/>
    <x v="0"/>
    <x v="0"/>
    <s v="P4"/>
    <n v="0"/>
    <m/>
  </r>
  <r>
    <n v="41.966666666666669"/>
    <d v="2013-11-19T00:00:00"/>
    <x v="0"/>
    <s v="UNHCR"/>
    <s v="Kachin"/>
    <s v="Bhamo"/>
    <s v="Thu Kha Waddy"/>
    <m/>
    <m/>
    <m/>
    <n v="13"/>
    <n v="9"/>
    <n v="13"/>
    <n v="9"/>
    <n v="9"/>
    <m/>
    <m/>
    <m/>
    <m/>
    <m/>
    <m/>
    <m/>
    <m/>
    <m/>
    <n v="0"/>
    <n v="0"/>
    <n v="0"/>
    <n v="0"/>
    <n v="0"/>
    <n v="0"/>
    <n v="0"/>
    <n v="0"/>
    <n v="0"/>
    <n v="0"/>
    <n v="0"/>
    <n v="0"/>
    <n v="0"/>
    <n v="0"/>
    <n v="0"/>
    <n v="0"/>
    <n v="0"/>
    <n v="0"/>
    <s v="MMR001CMP211"/>
    <x v="0"/>
    <x v="1"/>
    <s v=""/>
    <s v=""/>
    <s v="No"/>
  </r>
  <r>
    <n v="41.9"/>
    <d v="2013-11-21T00:00:00"/>
    <x v="0"/>
    <s v="UNHCR"/>
    <s v="Kachin"/>
    <s v="Bhamo"/>
    <s v="Aung Thar Church"/>
    <m/>
    <m/>
    <m/>
    <n v="34"/>
    <n v="18"/>
    <n v="34"/>
    <n v="18"/>
    <n v="18"/>
    <m/>
    <m/>
    <m/>
    <m/>
    <m/>
    <m/>
    <m/>
    <m/>
    <m/>
    <n v="0"/>
    <n v="0"/>
    <n v="0"/>
    <n v="0"/>
    <n v="0"/>
    <n v="0"/>
    <n v="0"/>
    <n v="0"/>
    <n v="0"/>
    <n v="0"/>
    <n v="0"/>
    <n v="0"/>
    <n v="0"/>
    <n v="0"/>
    <n v="0"/>
    <n v="0"/>
    <n v="0"/>
    <n v="0"/>
    <s v="MMR001CMP194"/>
    <x v="0"/>
    <x v="0"/>
    <s v="P4"/>
    <n v="4.4131708632652562E-4"/>
    <s v="No"/>
  </r>
  <r>
    <n v="41.9"/>
    <d v="2013-11-21T00:00:00"/>
    <x v="0"/>
    <s v="UNHCR"/>
    <s v="Kachin"/>
    <s v="Bhamo"/>
    <s v="Phan Khar Kone"/>
    <m/>
    <m/>
    <m/>
    <n v="15"/>
    <n v="9"/>
    <n v="15"/>
    <n v="9"/>
    <n v="9"/>
    <m/>
    <m/>
    <m/>
    <m/>
    <m/>
    <m/>
    <m/>
    <m/>
    <m/>
    <n v="0"/>
    <n v="0"/>
    <n v="0"/>
    <n v="0"/>
    <n v="0"/>
    <n v="0"/>
    <n v="0"/>
    <n v="0"/>
    <n v="0"/>
    <n v="0"/>
    <n v="0"/>
    <n v="0"/>
    <n v="0"/>
    <n v="0"/>
    <n v="0"/>
    <n v="0"/>
    <n v="0"/>
    <n v="0"/>
    <s v="MMR001CMP193"/>
    <x v="0"/>
    <x v="0"/>
    <s v="P4"/>
    <n v="2.1804966686856452E-4"/>
    <s v="No"/>
  </r>
  <r>
    <n v="41.833333333333336"/>
    <d v="2013-11-23T00:00:00"/>
    <x v="2"/>
    <m/>
    <s v="Kachin"/>
    <s v="Waingmaw"/>
    <s v="Border Post 8"/>
    <m/>
    <m/>
    <m/>
    <m/>
    <m/>
    <n v="358"/>
    <m/>
    <m/>
    <m/>
    <m/>
    <m/>
    <m/>
    <m/>
    <m/>
    <m/>
    <m/>
    <m/>
    <n v="0"/>
    <n v="0"/>
    <n v="0"/>
    <n v="0"/>
    <n v="0"/>
    <n v="0"/>
    <n v="0"/>
    <n v="0"/>
    <n v="0"/>
    <n v="0"/>
    <n v="0"/>
    <n v="0"/>
    <n v="0"/>
    <n v="0"/>
    <n v="0"/>
    <n v="0"/>
    <n v="0"/>
    <n v="0"/>
    <s v="MMR001CMP113"/>
    <x v="0"/>
    <x v="0"/>
    <s v="P1"/>
    <n v="0"/>
    <s v="No"/>
  </r>
  <r>
    <n v="41.9"/>
    <d v="2013-11-21T00:00:00"/>
    <x v="0"/>
    <s v="UNHCR "/>
    <s v="Kachin"/>
    <s v="Mansi"/>
    <s v="Man Kawng Baptist Church"/>
    <m/>
    <m/>
    <m/>
    <n v="400"/>
    <n v="210"/>
    <n v="400"/>
    <n v="210"/>
    <m/>
    <m/>
    <n v="210"/>
    <m/>
    <m/>
    <m/>
    <m/>
    <m/>
    <m/>
    <m/>
    <n v="0"/>
    <n v="0"/>
    <n v="0"/>
    <n v="0"/>
    <n v="0"/>
    <n v="0"/>
    <n v="0"/>
    <n v="0"/>
    <n v="0"/>
    <n v="0"/>
    <n v="0"/>
    <n v="0"/>
    <n v="0"/>
    <n v="0"/>
    <n v="0"/>
    <n v="0"/>
    <n v="0"/>
    <n v="0"/>
    <s v="MMR001CMP212"/>
    <x v="0"/>
    <x v="1"/>
    <s v=""/>
    <s v=""/>
    <s v="No"/>
  </r>
  <r>
    <n v="41.8"/>
    <d v="2013-11-24T00:00:00"/>
    <x v="1"/>
    <s v="Solidarities"/>
    <s v="Kachin"/>
    <s v="Shwegu"/>
    <s v="Lawk Awng Mare D. (Sinbo Area)"/>
    <m/>
    <m/>
    <m/>
    <m/>
    <m/>
    <m/>
    <m/>
    <m/>
    <m/>
    <m/>
    <n v="45"/>
    <n v="90"/>
    <n v="270"/>
    <n v="135"/>
    <m/>
    <m/>
    <m/>
    <n v="0"/>
    <n v="0"/>
    <n v="0"/>
    <n v="0"/>
    <n v="0"/>
    <n v="0"/>
    <n v="0"/>
    <n v="0"/>
    <n v="0"/>
    <n v="0"/>
    <n v="0"/>
    <n v="0"/>
    <n v="0"/>
    <n v="0"/>
    <n v="1"/>
    <n v="0"/>
    <n v="0"/>
    <n v="0"/>
    <s v="MMR001CMP147"/>
    <x v="2"/>
    <x v="0"/>
    <s v="P4"/>
    <n v="0"/>
    <m/>
  </r>
  <r>
    <n v="41.766666666666666"/>
    <d v="2013-11-25T00:00:00"/>
    <x v="1"/>
    <s v="Solidarities"/>
    <s v="Kachin"/>
    <s v="Mansi"/>
    <s v="Man Wing Baptist Church"/>
    <m/>
    <m/>
    <m/>
    <m/>
    <m/>
    <m/>
    <m/>
    <m/>
    <m/>
    <m/>
    <m/>
    <m/>
    <m/>
    <m/>
    <m/>
    <m/>
    <m/>
    <n v="0"/>
    <n v="0"/>
    <n v="0"/>
    <n v="0"/>
    <n v="0"/>
    <n v="0"/>
    <n v="0"/>
    <n v="0"/>
    <n v="0"/>
    <n v="0"/>
    <n v="0"/>
    <n v="0"/>
    <n v="0"/>
    <n v="0"/>
    <n v="0"/>
    <n v="0"/>
    <n v="0"/>
    <n v="0"/>
    <s v="MMR001CMP133"/>
    <x v="0"/>
    <x v="0"/>
    <s v="P4"/>
    <n v="0"/>
    <m/>
  </r>
  <r>
    <n v="41.8"/>
    <d v="2013-11-24T00:00:00"/>
    <x v="1"/>
    <s v="Solidarities"/>
    <s v="Kachin"/>
    <s v="Mansi"/>
    <s v="Ban Hkung (School)"/>
    <m/>
    <m/>
    <m/>
    <m/>
    <m/>
    <m/>
    <m/>
    <m/>
    <m/>
    <m/>
    <n v="24"/>
    <n v="48"/>
    <n v="144"/>
    <n v="72"/>
    <m/>
    <m/>
    <m/>
    <n v="0"/>
    <n v="0"/>
    <n v="0"/>
    <n v="0"/>
    <n v="0"/>
    <n v="0"/>
    <n v="0"/>
    <n v="0"/>
    <n v="0"/>
    <n v="0"/>
    <n v="0"/>
    <n v="0"/>
    <n v="0"/>
    <n v="0"/>
    <n v="1"/>
    <n v="0"/>
    <n v="0"/>
    <n v="0"/>
    <s v="MMR001CMP215"/>
    <x v="0"/>
    <x v="1"/>
    <s v=""/>
    <s v=""/>
    <m/>
  </r>
  <r>
    <n v="41.8"/>
    <d v="2013-11-24T00:00:00"/>
    <x v="1"/>
    <s v="Solidarities"/>
    <s v="Kachin"/>
    <s v="Mansi"/>
    <s v="Ban Hkung Yang (Boarding School)"/>
    <m/>
    <m/>
    <m/>
    <m/>
    <m/>
    <m/>
    <m/>
    <m/>
    <m/>
    <m/>
    <n v="135"/>
    <n v="270"/>
    <n v="810"/>
    <n v="405"/>
    <m/>
    <m/>
    <m/>
    <n v="0"/>
    <n v="0"/>
    <n v="0"/>
    <n v="0"/>
    <n v="0"/>
    <n v="0"/>
    <n v="0"/>
    <n v="0"/>
    <n v="0"/>
    <n v="0"/>
    <n v="0"/>
    <n v="0"/>
    <n v="0"/>
    <n v="0"/>
    <n v="1"/>
    <n v="0"/>
    <n v="0"/>
    <n v="0"/>
    <s v="MMR001CMP214"/>
    <x v="0"/>
    <x v="1"/>
    <s v=""/>
    <s v=""/>
    <m/>
  </r>
  <r>
    <n v="41.766666666666666"/>
    <d v="2013-11-25T00:00:00"/>
    <x v="1"/>
    <s v="Solidarities"/>
    <s v="Kachin"/>
    <s v="Mansi"/>
    <s v="Man Wing Baptist Church"/>
    <m/>
    <m/>
    <m/>
    <m/>
    <m/>
    <m/>
    <m/>
    <m/>
    <m/>
    <m/>
    <n v="19"/>
    <n v="38"/>
    <n v="114"/>
    <n v="57"/>
    <m/>
    <m/>
    <m/>
    <n v="0"/>
    <n v="0"/>
    <n v="0"/>
    <n v="0"/>
    <n v="0"/>
    <n v="0"/>
    <n v="0"/>
    <n v="0"/>
    <n v="0"/>
    <n v="0"/>
    <n v="0"/>
    <n v="0"/>
    <n v="0"/>
    <n v="0"/>
    <n v="1"/>
    <n v="0"/>
    <n v="0"/>
    <n v="0"/>
    <s v="MMR001CMP133"/>
    <x v="0"/>
    <x v="0"/>
    <s v="P4"/>
    <n v="0"/>
    <m/>
  </r>
  <r>
    <n v="41.766666666666666"/>
    <d v="2013-11-25T00:00:00"/>
    <x v="1"/>
    <s v="Solidarities"/>
    <s v="Kachin"/>
    <s v="Mansi"/>
    <s v="Man Wing Catholic Church"/>
    <m/>
    <m/>
    <m/>
    <m/>
    <m/>
    <m/>
    <m/>
    <m/>
    <m/>
    <m/>
    <n v="60"/>
    <n v="120"/>
    <n v="360"/>
    <n v="180"/>
    <m/>
    <m/>
    <m/>
    <n v="0"/>
    <n v="0"/>
    <n v="0"/>
    <n v="0"/>
    <n v="0"/>
    <n v="0"/>
    <n v="0"/>
    <n v="0"/>
    <n v="0"/>
    <n v="0"/>
    <n v="0"/>
    <n v="0"/>
    <n v="0"/>
    <n v="0"/>
    <n v="1"/>
    <n v="0"/>
    <n v="0"/>
    <n v="0"/>
    <s v="MMR001CMP132"/>
    <x v="0"/>
    <x v="0"/>
    <s v="P4"/>
    <n v="0"/>
    <m/>
  </r>
  <r>
    <n v="41.733333333333334"/>
    <d v="2013-11-26T00:00:00"/>
    <x v="0"/>
    <s v="UNHCR"/>
    <s v="Kachin"/>
    <s v="Bhamo"/>
    <s v="Aung Thar Church"/>
    <m/>
    <m/>
    <m/>
    <n v="11"/>
    <n v="5"/>
    <n v="11"/>
    <n v="5"/>
    <n v="5"/>
    <m/>
    <m/>
    <m/>
    <m/>
    <m/>
    <m/>
    <m/>
    <m/>
    <m/>
    <n v="0"/>
    <n v="0"/>
    <n v="0"/>
    <n v="0"/>
    <n v="0"/>
    <n v="0"/>
    <n v="0"/>
    <n v="0"/>
    <n v="0"/>
    <n v="0"/>
    <n v="0"/>
    <n v="0"/>
    <n v="0"/>
    <n v="0"/>
    <n v="0"/>
    <n v="0"/>
    <n v="0"/>
    <n v="0"/>
    <s v="MMR001CMP194"/>
    <x v="0"/>
    <x v="0"/>
    <s v="P4"/>
    <n v="1.2258807953514599E-4"/>
    <s v="No"/>
  </r>
  <r>
    <n v="41.733333333333334"/>
    <d v="2013-11-26T00:00:00"/>
    <x v="0"/>
    <s v="UNHCR"/>
    <s v="Kachin"/>
    <s v="Bhamo"/>
    <s v="Host Families"/>
    <m/>
    <m/>
    <m/>
    <n v="25"/>
    <n v="13"/>
    <n v="25"/>
    <n v="13"/>
    <n v="13"/>
    <m/>
    <m/>
    <m/>
    <m/>
    <m/>
    <m/>
    <m/>
    <m/>
    <m/>
    <n v="0"/>
    <n v="0"/>
    <n v="0"/>
    <n v="0"/>
    <n v="0"/>
    <n v="0"/>
    <n v="0"/>
    <n v="0"/>
    <n v="0"/>
    <n v="0"/>
    <n v="0"/>
    <n v="0"/>
    <n v="0"/>
    <n v="0"/>
    <n v="0"/>
    <n v="0"/>
    <n v="0"/>
    <n v="0"/>
    <s v="MMR001CMP163"/>
    <x v="0"/>
    <x v="0"/>
    <s v="P4"/>
    <s v=""/>
    <s v="No"/>
  </r>
  <r>
    <n v="41.733333333333334"/>
    <d v="2013-11-26T00:00:00"/>
    <x v="0"/>
    <s v="UNHCR"/>
    <s v="Kachin"/>
    <s v="Bhamo"/>
    <s v="Lisu Boarding-House"/>
    <m/>
    <m/>
    <m/>
    <n v="31"/>
    <n v="13"/>
    <n v="31"/>
    <n v="13"/>
    <n v="13"/>
    <m/>
    <m/>
    <m/>
    <m/>
    <m/>
    <m/>
    <m/>
    <m/>
    <m/>
    <n v="0"/>
    <n v="0"/>
    <n v="0"/>
    <n v="0"/>
    <n v="0"/>
    <n v="0"/>
    <n v="0"/>
    <n v="0"/>
    <n v="0"/>
    <n v="0"/>
    <n v="0"/>
    <n v="0"/>
    <n v="0"/>
    <n v="0"/>
    <n v="0"/>
    <n v="0"/>
    <n v="0"/>
    <n v="0"/>
    <s v="MMR001CMP049"/>
    <x v="0"/>
    <x v="0"/>
    <s v="P4"/>
    <n v="3.1944956382848013E-4"/>
    <s v="No"/>
  </r>
  <r>
    <n v="41.733333333333334"/>
    <d v="2013-11-26T00:00:00"/>
    <x v="0"/>
    <s v="UNHCR"/>
    <s v="Kachin"/>
    <s v="Bhamo"/>
    <s v="Mu-yin Baptist Church"/>
    <m/>
    <m/>
    <m/>
    <n v="22"/>
    <n v="11"/>
    <n v="22"/>
    <n v="11"/>
    <n v="11"/>
    <m/>
    <m/>
    <m/>
    <m/>
    <m/>
    <m/>
    <m/>
    <m/>
    <m/>
    <n v="0"/>
    <n v="0"/>
    <n v="0"/>
    <n v="0"/>
    <n v="0"/>
    <n v="0"/>
    <n v="0"/>
    <n v="0"/>
    <n v="0"/>
    <n v="0"/>
    <n v="0"/>
    <n v="0"/>
    <n v="0"/>
    <n v="0"/>
    <n v="0"/>
    <n v="0"/>
    <n v="0"/>
    <n v="0"/>
    <s v="MMR001CMP051"/>
    <x v="0"/>
    <x v="0"/>
    <s v="P4"/>
    <n v="2.6710050263458222E-4"/>
    <s v="No"/>
  </r>
  <r>
    <n v="41.733333333333334"/>
    <d v="2013-11-26T00:00:00"/>
    <x v="1"/>
    <s v="KBC"/>
    <s v="Kachin"/>
    <s v="Waingmaw"/>
    <s v="Pajau - Jan Mai"/>
    <m/>
    <m/>
    <m/>
    <m/>
    <m/>
    <m/>
    <m/>
    <m/>
    <m/>
    <m/>
    <n v="98"/>
    <n v="196"/>
    <n v="588"/>
    <n v="294"/>
    <m/>
    <m/>
    <m/>
    <n v="0"/>
    <n v="0"/>
    <n v="0"/>
    <n v="0"/>
    <n v="0"/>
    <n v="0"/>
    <n v="0"/>
    <n v="0"/>
    <n v="0"/>
    <n v="0"/>
    <n v="0"/>
    <n v="0"/>
    <n v="0"/>
    <n v="0"/>
    <n v="1"/>
    <n v="0"/>
    <n v="0"/>
    <n v="0"/>
    <s v="MMR001CMP120"/>
    <x v="0"/>
    <x v="0"/>
    <s v="P1"/>
    <n v="0"/>
    <m/>
  </r>
  <r>
    <n v="41.666666666666664"/>
    <d v="2013-11-28T00:00:00"/>
    <x v="0"/>
    <s v="UNHCR"/>
    <s v="Kachin"/>
    <s v="Mansi"/>
    <s v="Mansi Baptist Church"/>
    <m/>
    <m/>
    <m/>
    <n v="20"/>
    <n v="7"/>
    <n v="22"/>
    <n v="7"/>
    <n v="7"/>
    <m/>
    <m/>
    <m/>
    <m/>
    <m/>
    <m/>
    <m/>
    <m/>
    <m/>
    <n v="0"/>
    <n v="0"/>
    <n v="0"/>
    <n v="0"/>
    <n v="0"/>
    <n v="0"/>
    <n v="0"/>
    <n v="0"/>
    <n v="0"/>
    <n v="0"/>
    <n v="0"/>
    <n v="0"/>
    <n v="0"/>
    <n v="0"/>
    <n v="0"/>
    <n v="0"/>
    <n v="0"/>
    <n v="0"/>
    <s v="MMR001CMP066"/>
    <x v="0"/>
    <x v="0"/>
    <s v="P4"/>
    <n v="1.6835421727314268E-4"/>
    <s v="No"/>
  </r>
  <r>
    <n v="41.733333333333334"/>
    <d v="2013-11-26T00:00:00"/>
    <x v="1"/>
    <s v="Solidarities"/>
    <s v="Kachin"/>
    <s v="Mansi"/>
    <s v="Lagatyan "/>
    <m/>
    <m/>
    <m/>
    <m/>
    <m/>
    <m/>
    <m/>
    <m/>
    <m/>
    <m/>
    <n v="80"/>
    <n v="160"/>
    <n v="480"/>
    <n v="240"/>
    <m/>
    <m/>
    <m/>
    <n v="0"/>
    <n v="0"/>
    <n v="0"/>
    <n v="0"/>
    <n v="0"/>
    <n v="0"/>
    <n v="0"/>
    <n v="0"/>
    <n v="0"/>
    <n v="0"/>
    <n v="0"/>
    <n v="0"/>
    <n v="0"/>
    <n v="0"/>
    <n v="1"/>
    <n v="0"/>
    <n v="0"/>
    <n v="0"/>
    <s v="MMR001CMP202"/>
    <x v="0"/>
    <x v="1"/>
    <s v="P4"/>
    <n v="0"/>
    <m/>
  </r>
  <r>
    <n v="41.633333333333333"/>
    <d v="2013-11-29T00:00:00"/>
    <x v="1"/>
    <s v="KBC"/>
    <s v="Kachin"/>
    <s v="Waingmaw"/>
    <s v="Hkau Shau (BP 12)"/>
    <m/>
    <m/>
    <m/>
    <m/>
    <m/>
    <m/>
    <m/>
    <m/>
    <m/>
    <m/>
    <n v="177"/>
    <n v="354"/>
    <n v="1062"/>
    <n v="531"/>
    <m/>
    <m/>
    <m/>
    <n v="0"/>
    <n v="0"/>
    <n v="0"/>
    <n v="0"/>
    <n v="0"/>
    <n v="0"/>
    <n v="0"/>
    <n v="0"/>
    <n v="0"/>
    <n v="0"/>
    <n v="0"/>
    <n v="0"/>
    <n v="0"/>
    <n v="0"/>
    <n v="1"/>
    <n v="0"/>
    <n v="0"/>
    <n v="0"/>
    <s v="MMR001CMP115"/>
    <x v="0"/>
    <x v="0"/>
    <s v="P1"/>
    <n v="0"/>
    <m/>
  </r>
  <r>
    <n v="41.666666666666664"/>
    <d v="2013-11-28T00:00:00"/>
    <x v="1"/>
    <s v="KBC"/>
    <s v="Kachin"/>
    <s v="Waingmaw"/>
    <s v="Zai Awng - Mung Ga Zup"/>
    <m/>
    <m/>
    <m/>
    <m/>
    <m/>
    <m/>
    <m/>
    <m/>
    <m/>
    <m/>
    <n v="636"/>
    <n v="1272"/>
    <n v="3816"/>
    <n v="1908"/>
    <m/>
    <m/>
    <m/>
    <n v="0"/>
    <n v="0"/>
    <n v="0"/>
    <n v="0"/>
    <n v="0"/>
    <n v="0"/>
    <n v="0"/>
    <n v="0"/>
    <n v="0"/>
    <n v="0"/>
    <n v="0"/>
    <n v="0"/>
    <n v="0"/>
    <n v="0"/>
    <n v="1"/>
    <n v="0"/>
    <n v="0"/>
    <n v="0"/>
    <s v="MMR001CMP111"/>
    <x v="0"/>
    <x v="1"/>
    <s v="P2"/>
    <n v="0"/>
    <m/>
  </r>
  <r>
    <n v="41.6"/>
    <d v="2013-11-30T00:00:00"/>
    <x v="6"/>
    <s v="MDCG"/>
    <s v="Kachin"/>
    <s v="Bhamo"/>
    <s v="AD-2000 Tharthana Compound"/>
    <m/>
    <m/>
    <m/>
    <m/>
    <m/>
    <n v="104"/>
    <m/>
    <m/>
    <m/>
    <m/>
    <n v="146"/>
    <n v="39"/>
    <n v="0"/>
    <m/>
    <m/>
    <m/>
    <m/>
    <n v="0"/>
    <n v="0"/>
    <n v="0"/>
    <n v="0"/>
    <n v="0"/>
    <n v="0"/>
    <n v="0"/>
    <n v="0"/>
    <n v="0"/>
    <n v="0"/>
    <n v="0"/>
    <n v="0"/>
    <n v="0"/>
    <n v="0"/>
    <n v="1"/>
    <n v="0"/>
    <n v="0"/>
    <n v="0"/>
    <s v="MMR001CMP050"/>
    <x v="0"/>
    <x v="0"/>
    <s v="P4"/>
    <n v="0"/>
    <s v="No"/>
  </r>
  <r>
    <n v="41.6"/>
    <d v="2013-11-30T00:00:00"/>
    <x v="1"/>
    <m/>
    <s v="Kachin"/>
    <s v="Bhamo"/>
    <s v="Aung Thar Church"/>
    <m/>
    <m/>
    <m/>
    <m/>
    <m/>
    <m/>
    <m/>
    <m/>
    <m/>
    <m/>
    <m/>
    <m/>
    <m/>
    <m/>
    <m/>
    <m/>
    <m/>
    <n v="0"/>
    <n v="0"/>
    <n v="0"/>
    <n v="0"/>
    <n v="0"/>
    <n v="0"/>
    <n v="0"/>
    <n v="0"/>
    <n v="0"/>
    <n v="0"/>
    <n v="0"/>
    <n v="0"/>
    <n v="0"/>
    <n v="0"/>
    <n v="0"/>
    <n v="0"/>
    <n v="0"/>
    <n v="0"/>
    <s v="MMR001CMP194"/>
    <x v="0"/>
    <x v="1"/>
    <s v="P4"/>
    <n v="0"/>
    <s v="No"/>
  </r>
  <r>
    <n v="41.6"/>
    <d v="2013-11-30T00:00:00"/>
    <x v="1"/>
    <m/>
    <s v="Kachin"/>
    <s v="Bhamo"/>
    <s v="AD-2000 Tharthana Compound"/>
    <m/>
    <m/>
    <m/>
    <m/>
    <m/>
    <m/>
    <m/>
    <m/>
    <m/>
    <n v="660"/>
    <m/>
    <m/>
    <m/>
    <m/>
    <m/>
    <m/>
    <m/>
    <n v="0"/>
    <n v="0"/>
    <n v="0"/>
    <n v="0"/>
    <n v="0"/>
    <n v="0"/>
    <n v="0"/>
    <n v="0"/>
    <n v="0"/>
    <n v="0"/>
    <n v="0"/>
    <n v="0"/>
    <n v="0"/>
    <n v="0"/>
    <n v="0"/>
    <n v="0"/>
    <n v="0"/>
    <n v="0"/>
    <s v="MMR001CMP050"/>
    <x v="0"/>
    <x v="0"/>
    <s v="P4"/>
    <n v="0"/>
    <s v="No"/>
  </r>
  <r>
    <n v="41.6"/>
    <d v="2013-11-30T00:00:00"/>
    <x v="0"/>
    <s v="UNHCR"/>
    <s v="Kachin"/>
    <s v="Bhamo"/>
    <s v="AD-2000 Tharthana Compound"/>
    <m/>
    <m/>
    <m/>
    <n v="6"/>
    <n v="6"/>
    <n v="6"/>
    <n v="6"/>
    <n v="6"/>
    <m/>
    <m/>
    <m/>
    <m/>
    <m/>
    <m/>
    <m/>
    <m/>
    <m/>
    <n v="0"/>
    <n v="0"/>
    <n v="0"/>
    <n v="0"/>
    <n v="0"/>
    <n v="0"/>
    <n v="0"/>
    <n v="0"/>
    <n v="0"/>
    <n v="0"/>
    <n v="0"/>
    <n v="0"/>
    <n v="0"/>
    <n v="0"/>
    <n v="0"/>
    <n v="0"/>
    <n v="0"/>
    <n v="0"/>
    <s v="MMR001CMP050"/>
    <x v="0"/>
    <x v="0"/>
    <s v="P4"/>
    <n v="1.4688601645123384E-4"/>
    <s v="No"/>
  </r>
  <r>
    <n v="41.6"/>
    <d v="2013-11-30T00:00:00"/>
    <x v="1"/>
    <s v="KBC"/>
    <s v="Kachin"/>
    <s v="Waingmaw"/>
    <s v="Border Post 8"/>
    <m/>
    <m/>
    <m/>
    <m/>
    <m/>
    <m/>
    <m/>
    <m/>
    <m/>
    <m/>
    <m/>
    <m/>
    <m/>
    <m/>
    <m/>
    <m/>
    <m/>
    <n v="0"/>
    <n v="0"/>
    <n v="0"/>
    <n v="0"/>
    <n v="0"/>
    <n v="0"/>
    <n v="0"/>
    <n v="0"/>
    <n v="0"/>
    <n v="0"/>
    <n v="0"/>
    <n v="0"/>
    <n v="0"/>
    <n v="0"/>
    <n v="0"/>
    <n v="0"/>
    <n v="0"/>
    <n v="0"/>
    <s v="MMR001CMP113"/>
    <x v="0"/>
    <x v="0"/>
    <s v="P1"/>
    <n v="0"/>
    <s v="No"/>
  </r>
  <r>
    <n v="41.6"/>
    <d v="2013-11-30T00:00:00"/>
    <x v="6"/>
    <s v="MDCG"/>
    <s v="Kachin"/>
    <s v="Mansi"/>
    <s v="Bum Tsit Pa "/>
    <m/>
    <m/>
    <m/>
    <m/>
    <m/>
    <n v="819"/>
    <m/>
    <m/>
    <m/>
    <m/>
    <n v="966"/>
    <n v="484"/>
    <n v="0"/>
    <m/>
    <m/>
    <m/>
    <m/>
    <n v="0"/>
    <n v="0"/>
    <n v="0"/>
    <n v="0"/>
    <n v="0"/>
    <n v="0"/>
    <n v="0"/>
    <n v="0"/>
    <n v="0"/>
    <n v="0"/>
    <n v="0"/>
    <n v="0"/>
    <n v="0"/>
    <n v="0"/>
    <n v="1"/>
    <n v="0"/>
    <n v="0"/>
    <n v="0"/>
    <s v="MMR001CMP129"/>
    <x v="0"/>
    <x v="0"/>
    <s v="P2"/>
    <n v="0"/>
    <s v="No"/>
  </r>
  <r>
    <n v="41.6"/>
    <d v="2013-11-30T00:00:00"/>
    <x v="1"/>
    <s v="KBC"/>
    <s v="Kachin"/>
    <s v="Mansi"/>
    <s v="Bum Tsit Pa "/>
    <m/>
    <m/>
    <m/>
    <m/>
    <m/>
    <m/>
    <m/>
    <m/>
    <m/>
    <n v="321"/>
    <m/>
    <m/>
    <m/>
    <m/>
    <m/>
    <m/>
    <m/>
    <n v="0"/>
    <n v="0"/>
    <n v="0"/>
    <n v="0"/>
    <n v="0"/>
    <n v="0"/>
    <n v="0"/>
    <n v="0"/>
    <n v="0"/>
    <n v="0"/>
    <n v="0"/>
    <n v="0"/>
    <n v="0"/>
    <n v="0"/>
    <n v="0"/>
    <n v="0"/>
    <n v="0"/>
    <n v="0"/>
    <s v="MMR001CMP129"/>
    <x v="0"/>
    <x v="0"/>
    <s v="P2"/>
    <n v="0"/>
    <s v="No"/>
  </r>
  <r>
    <n v="41.6"/>
    <d v="2013-11-30T00:00:00"/>
    <x v="0"/>
    <s v="UNHCR"/>
    <s v="Kachin"/>
    <s v="Mansi"/>
    <s v="Bum Tsit Pa "/>
    <m/>
    <m/>
    <m/>
    <m/>
    <m/>
    <m/>
    <m/>
    <m/>
    <m/>
    <m/>
    <m/>
    <m/>
    <m/>
    <m/>
    <m/>
    <m/>
    <m/>
    <n v="0"/>
    <n v="0"/>
    <n v="0"/>
    <n v="0"/>
    <n v="0"/>
    <n v="0"/>
    <n v="0"/>
    <n v="0"/>
    <n v="0"/>
    <n v="0"/>
    <n v="0"/>
    <n v="0"/>
    <n v="0"/>
    <n v="0"/>
    <n v="0"/>
    <n v="0"/>
    <n v="0"/>
    <n v="0"/>
    <s v="MMR001CMP129"/>
    <x v="0"/>
    <x v="0"/>
    <s v="P2"/>
    <n v="0"/>
    <s v="No"/>
  </r>
  <r>
    <n v="41.6"/>
    <d v="2013-11-30T00:00:00"/>
    <x v="1"/>
    <s v="KBC"/>
    <s v="Kachin"/>
    <s v="Momauk"/>
    <s v="Dum Bung "/>
    <m/>
    <m/>
    <m/>
    <m/>
    <m/>
    <m/>
    <m/>
    <m/>
    <m/>
    <m/>
    <m/>
    <m/>
    <m/>
    <m/>
    <m/>
    <m/>
    <m/>
    <n v="0"/>
    <n v="0"/>
    <n v="0"/>
    <n v="0"/>
    <n v="0"/>
    <n v="0"/>
    <n v="0"/>
    <n v="0"/>
    <n v="0"/>
    <n v="0"/>
    <n v="0"/>
    <n v="0"/>
    <n v="0"/>
    <n v="0"/>
    <n v="0"/>
    <n v="0"/>
    <n v="0"/>
    <n v="0"/>
    <s v="MMR001CMP123"/>
    <x v="0"/>
    <x v="0"/>
    <s v="P2"/>
    <n v="0"/>
    <s v="No"/>
  </r>
  <r>
    <n v="41.6"/>
    <d v="2013-11-30T00:00:00"/>
    <x v="0"/>
    <s v="UNHCR"/>
    <s v="Kachin"/>
    <s v="Momauk"/>
    <s v="Dum Bung "/>
    <m/>
    <m/>
    <m/>
    <m/>
    <m/>
    <m/>
    <m/>
    <m/>
    <m/>
    <m/>
    <m/>
    <m/>
    <m/>
    <m/>
    <m/>
    <m/>
    <m/>
    <n v="0"/>
    <n v="0"/>
    <n v="0"/>
    <n v="0"/>
    <n v="0"/>
    <n v="0"/>
    <n v="0"/>
    <n v="0"/>
    <n v="0"/>
    <n v="0"/>
    <n v="0"/>
    <n v="0"/>
    <n v="0"/>
    <n v="0"/>
    <n v="0"/>
    <n v="0"/>
    <n v="0"/>
    <n v="0"/>
    <s v="MMR001CMP123"/>
    <x v="0"/>
    <x v="0"/>
    <s v="P2"/>
    <n v="0"/>
    <s v="No"/>
  </r>
  <r>
    <n v="41.6"/>
    <d v="2013-11-30T00:00:00"/>
    <x v="1"/>
    <s v="KBC"/>
    <s v="Kachin"/>
    <s v="Waingmaw"/>
    <s v="Hkat Cho "/>
    <m/>
    <m/>
    <m/>
    <m/>
    <m/>
    <m/>
    <m/>
    <m/>
    <m/>
    <m/>
    <m/>
    <m/>
    <m/>
    <m/>
    <m/>
    <m/>
    <m/>
    <n v="0"/>
    <n v="0"/>
    <n v="0"/>
    <n v="0"/>
    <n v="0"/>
    <n v="0"/>
    <n v="0"/>
    <n v="0"/>
    <n v="0"/>
    <n v="0"/>
    <n v="0"/>
    <n v="0"/>
    <n v="0"/>
    <n v="0"/>
    <n v="0"/>
    <n v="0"/>
    <n v="0"/>
    <n v="0"/>
    <s v="MMR001CMP028"/>
    <x v="0"/>
    <x v="0"/>
    <s v="P4"/>
    <n v="0"/>
    <s v="No"/>
  </r>
  <r>
    <n v="41.6"/>
    <d v="2013-11-30T00:00:00"/>
    <x v="1"/>
    <s v="KBC"/>
    <s v="Kachin"/>
    <s v="Waingmaw"/>
    <s v="Hkau Shau (BP 12)"/>
    <m/>
    <m/>
    <m/>
    <m/>
    <m/>
    <m/>
    <m/>
    <m/>
    <m/>
    <m/>
    <m/>
    <m/>
    <m/>
    <m/>
    <m/>
    <m/>
    <m/>
    <n v="0"/>
    <n v="0"/>
    <n v="0"/>
    <n v="0"/>
    <n v="0"/>
    <n v="0"/>
    <n v="0"/>
    <n v="0"/>
    <n v="0"/>
    <n v="0"/>
    <n v="0"/>
    <n v="0"/>
    <n v="0"/>
    <n v="0"/>
    <n v="0"/>
    <n v="0"/>
    <n v="0"/>
    <n v="0"/>
    <s v="MMR001CMP115"/>
    <x v="0"/>
    <x v="0"/>
    <s v="P1"/>
    <n v="0"/>
    <s v="No"/>
  </r>
  <r>
    <n v="41.6"/>
    <d v="2013-11-30T00:00:00"/>
    <x v="1"/>
    <s v="KBC"/>
    <s v="Kachin"/>
    <s v="Momauk"/>
    <s v="Hpun Lum Yang "/>
    <m/>
    <m/>
    <m/>
    <m/>
    <m/>
    <m/>
    <m/>
    <m/>
    <m/>
    <n v="978"/>
    <m/>
    <m/>
    <m/>
    <m/>
    <m/>
    <m/>
    <m/>
    <n v="0"/>
    <n v="0"/>
    <n v="0"/>
    <n v="0"/>
    <n v="0"/>
    <n v="0"/>
    <n v="0"/>
    <n v="0"/>
    <n v="0"/>
    <n v="0"/>
    <n v="0"/>
    <n v="0"/>
    <n v="0"/>
    <n v="0"/>
    <n v="0"/>
    <n v="0"/>
    <n v="0"/>
    <n v="0"/>
    <s v="MMR001CMP122"/>
    <x v="0"/>
    <x v="0"/>
    <s v="P2"/>
    <n v="0"/>
    <s v="No"/>
  </r>
  <r>
    <n v="41.6"/>
    <d v="2013-11-30T00:00:00"/>
    <x v="6"/>
    <s v="MDCG"/>
    <s v="Kachin"/>
    <s v="Mansi"/>
    <s v="Lagatyan "/>
    <m/>
    <m/>
    <m/>
    <m/>
    <m/>
    <n v="447"/>
    <m/>
    <m/>
    <m/>
    <m/>
    <n v="398"/>
    <n v="390"/>
    <n v="0"/>
    <m/>
    <m/>
    <m/>
    <m/>
    <n v="0"/>
    <n v="0"/>
    <n v="0"/>
    <n v="0"/>
    <n v="0"/>
    <n v="0"/>
    <n v="0"/>
    <n v="0"/>
    <n v="0"/>
    <n v="0"/>
    <n v="0"/>
    <n v="0"/>
    <n v="0"/>
    <n v="0"/>
    <n v="1"/>
    <n v="0"/>
    <n v="0"/>
    <n v="0"/>
    <s v="MMR001CMP202"/>
    <x v="0"/>
    <x v="1"/>
    <s v="P4"/>
    <n v="0"/>
    <s v="No"/>
  </r>
  <r>
    <n v="41.6"/>
    <d v="2013-11-30T00:00:00"/>
    <x v="1"/>
    <m/>
    <s v="Kachin"/>
    <s v="Mansi"/>
    <s v="Lagatyan "/>
    <m/>
    <m/>
    <m/>
    <m/>
    <m/>
    <m/>
    <m/>
    <m/>
    <m/>
    <m/>
    <m/>
    <m/>
    <m/>
    <m/>
    <m/>
    <m/>
    <m/>
    <n v="0"/>
    <n v="0"/>
    <n v="0"/>
    <n v="0"/>
    <n v="0"/>
    <n v="0"/>
    <n v="0"/>
    <n v="0"/>
    <n v="0"/>
    <n v="0"/>
    <n v="0"/>
    <n v="0"/>
    <n v="0"/>
    <n v="0"/>
    <n v="0"/>
    <n v="0"/>
    <n v="0"/>
    <n v="0"/>
    <s v="MMR001CMP202"/>
    <x v="0"/>
    <x v="1"/>
    <s v="P4"/>
    <n v="0"/>
    <s v="No"/>
  </r>
  <r>
    <n v="41.6"/>
    <d v="2013-11-30T00:00:00"/>
    <x v="1"/>
    <s v="KBC"/>
    <s v="Kachin"/>
    <s v="Waingmaw"/>
    <s v="Laiza Market 3 - Laiza Gat"/>
    <m/>
    <m/>
    <m/>
    <m/>
    <m/>
    <m/>
    <m/>
    <m/>
    <m/>
    <n v="729"/>
    <m/>
    <m/>
    <m/>
    <m/>
    <m/>
    <m/>
    <m/>
    <n v="0"/>
    <n v="0"/>
    <n v="0"/>
    <n v="0"/>
    <n v="0"/>
    <n v="0"/>
    <n v="0"/>
    <n v="0"/>
    <n v="0"/>
    <n v="0"/>
    <n v="0"/>
    <n v="0"/>
    <n v="0"/>
    <n v="0"/>
    <n v="0"/>
    <n v="0"/>
    <n v="0"/>
    <n v="0"/>
    <s v="MMR001CMP117"/>
    <x v="0"/>
    <x v="1"/>
    <s v="P2"/>
    <n v="0"/>
    <s v="No"/>
  </r>
  <r>
    <n v="41.6"/>
    <d v="2013-11-30T00:00:00"/>
    <x v="6"/>
    <s v="MDCG"/>
    <s v="Kachin"/>
    <s v="Bhamo"/>
    <s v="Htoi San Church"/>
    <m/>
    <m/>
    <m/>
    <m/>
    <m/>
    <n v="105"/>
    <m/>
    <m/>
    <m/>
    <m/>
    <n v="154"/>
    <n v="26"/>
    <n v="0"/>
    <m/>
    <m/>
    <m/>
    <m/>
    <n v="0"/>
    <n v="0"/>
    <n v="0"/>
    <n v="0"/>
    <n v="0"/>
    <n v="0"/>
    <n v="0"/>
    <n v="0"/>
    <n v="0"/>
    <n v="0"/>
    <n v="0"/>
    <n v="0"/>
    <n v="0"/>
    <n v="0"/>
    <n v="1"/>
    <n v="0"/>
    <n v="0"/>
    <n v="0"/>
    <s v="MMR001CMP052"/>
    <x v="0"/>
    <x v="0"/>
    <s v="P4"/>
    <n v="0"/>
    <s v="No"/>
  </r>
  <r>
    <n v="41.6"/>
    <d v="2013-11-30T00:00:00"/>
    <x v="1"/>
    <m/>
    <s v="Kachin"/>
    <s v="Bhamo"/>
    <s v="Htoi San Church"/>
    <m/>
    <m/>
    <m/>
    <m/>
    <m/>
    <m/>
    <m/>
    <m/>
    <m/>
    <n v="138"/>
    <m/>
    <m/>
    <m/>
    <m/>
    <m/>
    <m/>
    <m/>
    <n v="0"/>
    <n v="0"/>
    <n v="0"/>
    <n v="0"/>
    <n v="0"/>
    <n v="0"/>
    <n v="0"/>
    <n v="0"/>
    <n v="0"/>
    <n v="0"/>
    <n v="0"/>
    <n v="0"/>
    <n v="0"/>
    <n v="0"/>
    <n v="0"/>
    <n v="0"/>
    <n v="0"/>
    <n v="0"/>
    <s v="MMR001CMP052"/>
    <x v="0"/>
    <x v="0"/>
    <s v="P4"/>
    <n v="0"/>
    <s v="No"/>
  </r>
  <r>
    <n v="41.6"/>
    <d v="2013-11-30T00:00:00"/>
    <x v="1"/>
    <s v="KBC"/>
    <s v="Kachin"/>
    <s v="Momauk"/>
    <s v="Je Yang Hka "/>
    <m/>
    <m/>
    <m/>
    <m/>
    <m/>
    <m/>
    <m/>
    <m/>
    <m/>
    <n v="5268"/>
    <m/>
    <m/>
    <m/>
    <m/>
    <m/>
    <m/>
    <m/>
    <n v="0"/>
    <n v="0"/>
    <n v="0"/>
    <n v="0"/>
    <n v="0"/>
    <n v="0"/>
    <n v="0"/>
    <n v="0"/>
    <n v="0"/>
    <n v="0"/>
    <n v="0"/>
    <n v="0"/>
    <n v="0"/>
    <n v="0"/>
    <n v="0"/>
    <n v="0"/>
    <n v="0"/>
    <n v="0"/>
    <s v="MMR001CMP121"/>
    <x v="0"/>
    <x v="0"/>
    <s v="P2"/>
    <n v="0"/>
    <s v="No"/>
  </r>
  <r>
    <n v="41.6"/>
    <d v="2013-11-30T00:00:00"/>
    <x v="1"/>
    <s v="LDO"/>
    <s v="Kachin"/>
    <s v="Mansi"/>
    <s v="Lana Zup Ja "/>
    <m/>
    <m/>
    <m/>
    <m/>
    <m/>
    <m/>
    <m/>
    <m/>
    <m/>
    <m/>
    <m/>
    <m/>
    <m/>
    <m/>
    <m/>
    <m/>
    <m/>
    <n v="0"/>
    <n v="0"/>
    <n v="0"/>
    <n v="0"/>
    <n v="0"/>
    <n v="0"/>
    <n v="0"/>
    <n v="0"/>
    <n v="0"/>
    <n v="0"/>
    <n v="0"/>
    <n v="0"/>
    <n v="0"/>
    <n v="0"/>
    <n v="0"/>
    <n v="0"/>
    <n v="0"/>
    <n v="0"/>
    <s v="MMR001CMP128"/>
    <x v="0"/>
    <x v="0"/>
    <s v="P2"/>
    <n v="0"/>
    <s v="No"/>
  </r>
  <r>
    <n v="41.6"/>
    <d v="2013-11-30T00:00:00"/>
    <x v="0"/>
    <s v="UNHCR"/>
    <s v="Kachin"/>
    <s v="Mansi"/>
    <s v="Lana Zup Ja "/>
    <m/>
    <m/>
    <m/>
    <m/>
    <m/>
    <m/>
    <m/>
    <m/>
    <m/>
    <m/>
    <m/>
    <m/>
    <m/>
    <m/>
    <m/>
    <m/>
    <m/>
    <n v="0"/>
    <n v="0"/>
    <n v="0"/>
    <n v="0"/>
    <n v="0"/>
    <n v="0"/>
    <n v="0"/>
    <n v="0"/>
    <n v="0"/>
    <n v="0"/>
    <n v="0"/>
    <n v="0"/>
    <n v="0"/>
    <n v="0"/>
    <n v="0"/>
    <n v="0"/>
    <n v="0"/>
    <n v="0"/>
    <s v="MMR001CMP128"/>
    <x v="0"/>
    <x v="0"/>
    <s v="P2"/>
    <n v="0"/>
    <s v="No"/>
  </r>
  <r>
    <n v="41.6"/>
    <d v="2013-11-30T00:00:00"/>
    <x v="1"/>
    <s v="KBC"/>
    <s v="Kachin"/>
    <s v="Chipwi"/>
    <s v="Lhaovao Baptist Church (LBC)"/>
    <m/>
    <m/>
    <m/>
    <m/>
    <m/>
    <m/>
    <m/>
    <m/>
    <m/>
    <m/>
    <m/>
    <m/>
    <m/>
    <m/>
    <m/>
    <m/>
    <m/>
    <n v="0"/>
    <n v="0"/>
    <n v="0"/>
    <n v="0"/>
    <n v="0"/>
    <n v="0"/>
    <n v="0"/>
    <n v="0"/>
    <n v="0"/>
    <n v="0"/>
    <n v="0"/>
    <n v="0"/>
    <n v="0"/>
    <n v="0"/>
    <n v="0"/>
    <n v="0"/>
    <n v="0"/>
    <n v="0"/>
    <s v="MMR001CMP195"/>
    <x v="0"/>
    <x v="0"/>
    <s v="P1"/>
    <n v="0"/>
    <s v="No"/>
  </r>
  <r>
    <n v="41.6"/>
    <d v="2013-11-30T00:00:00"/>
    <x v="6"/>
    <s v="MDCG"/>
    <s v="Kachin"/>
    <s v="Bhamo"/>
    <s v="Lisu Boarding-House"/>
    <m/>
    <m/>
    <m/>
    <m/>
    <m/>
    <n v="206"/>
    <m/>
    <m/>
    <m/>
    <m/>
    <n v="242"/>
    <n v="156"/>
    <n v="0"/>
    <m/>
    <m/>
    <m/>
    <m/>
    <n v="0"/>
    <n v="0"/>
    <n v="0"/>
    <n v="0"/>
    <n v="0"/>
    <n v="0"/>
    <n v="0"/>
    <n v="0"/>
    <n v="0"/>
    <n v="0"/>
    <n v="0"/>
    <n v="0"/>
    <n v="0"/>
    <n v="0"/>
    <n v="1"/>
    <n v="0"/>
    <n v="0"/>
    <n v="0"/>
    <s v="MMR001CMP049"/>
    <x v="0"/>
    <x v="0"/>
    <s v="P4"/>
    <n v="0"/>
    <s v="No"/>
  </r>
  <r>
    <n v="41.6"/>
    <d v="2013-11-30T00:00:00"/>
    <x v="1"/>
    <m/>
    <s v="Kachin"/>
    <s v="Bhamo"/>
    <s v="Lisu Boarding-House"/>
    <m/>
    <m/>
    <m/>
    <m/>
    <m/>
    <m/>
    <m/>
    <m/>
    <m/>
    <n v="120"/>
    <m/>
    <m/>
    <m/>
    <m/>
    <m/>
    <m/>
    <m/>
    <n v="0"/>
    <n v="0"/>
    <n v="0"/>
    <n v="0"/>
    <n v="0"/>
    <n v="0"/>
    <n v="0"/>
    <n v="0"/>
    <n v="0"/>
    <n v="0"/>
    <n v="0"/>
    <n v="0"/>
    <n v="0"/>
    <n v="0"/>
    <n v="0"/>
    <n v="0"/>
    <n v="0"/>
    <n v="0"/>
    <s v="MMR001CMP049"/>
    <x v="0"/>
    <x v="0"/>
    <s v="P4"/>
    <n v="0"/>
    <s v="No"/>
  </r>
  <r>
    <n v="41.6"/>
    <d v="2013-11-30T00:00:00"/>
    <x v="1"/>
    <m/>
    <s v="Kachin"/>
    <s v="Momauk"/>
    <s v="Loi Je Baptist Church"/>
    <m/>
    <m/>
    <m/>
    <m/>
    <m/>
    <m/>
    <m/>
    <m/>
    <m/>
    <n v="105"/>
    <m/>
    <m/>
    <m/>
    <m/>
    <m/>
    <m/>
    <m/>
    <n v="0"/>
    <n v="0"/>
    <n v="0"/>
    <n v="0"/>
    <n v="0"/>
    <n v="0"/>
    <n v="0"/>
    <n v="0"/>
    <n v="0"/>
    <n v="0"/>
    <n v="0"/>
    <n v="0"/>
    <n v="0"/>
    <n v="0"/>
    <n v="0"/>
    <n v="0"/>
    <n v="0"/>
    <n v="0"/>
    <s v="MMR001CMP071"/>
    <x v="0"/>
    <x v="0"/>
    <s v="P3"/>
    <n v="0"/>
    <s v="No"/>
  </r>
  <r>
    <n v="41.6"/>
    <d v="2013-11-30T00:00:00"/>
    <x v="1"/>
    <s v="LDO"/>
    <s v="Kachin"/>
    <s v="Mansi"/>
    <s v="Lung Kawk  ( Hka Hkye Zup)"/>
    <m/>
    <m/>
    <m/>
    <m/>
    <m/>
    <m/>
    <m/>
    <m/>
    <m/>
    <m/>
    <m/>
    <m/>
    <m/>
    <m/>
    <m/>
    <m/>
    <m/>
    <n v="0"/>
    <n v="0"/>
    <n v="0"/>
    <n v="0"/>
    <n v="0"/>
    <n v="0"/>
    <n v="0"/>
    <n v="0"/>
    <n v="0"/>
    <n v="0"/>
    <n v="0"/>
    <n v="0"/>
    <n v="0"/>
    <n v="0"/>
    <n v="0"/>
    <n v="0"/>
    <n v="0"/>
    <n v="0"/>
    <s v="MMR001CMP135"/>
    <x v="0"/>
    <x v="1"/>
    <s v="P2"/>
    <n v="0"/>
    <s v="No"/>
  </r>
  <r>
    <n v="41.6"/>
    <d v="2013-11-30T00:00:00"/>
    <x v="1"/>
    <m/>
    <s v="Kachin"/>
    <s v="Momauk"/>
    <s v="Loi Je Catholic Church"/>
    <m/>
    <m/>
    <m/>
    <m/>
    <m/>
    <m/>
    <m/>
    <m/>
    <m/>
    <n v="246"/>
    <m/>
    <m/>
    <m/>
    <m/>
    <m/>
    <m/>
    <m/>
    <n v="0"/>
    <n v="0"/>
    <n v="0"/>
    <n v="0"/>
    <n v="0"/>
    <n v="0"/>
    <n v="0"/>
    <n v="0"/>
    <n v="0"/>
    <n v="0"/>
    <n v="0"/>
    <n v="0"/>
    <n v="0"/>
    <n v="0"/>
    <n v="0"/>
    <n v="0"/>
    <n v="0"/>
    <n v="0"/>
    <s v="MMR001CMP069"/>
    <x v="0"/>
    <x v="0"/>
    <s v="P3"/>
    <n v="0"/>
    <s v="No"/>
  </r>
  <r>
    <n v="41.6"/>
    <d v="2013-11-30T00:00:00"/>
    <x v="1"/>
    <m/>
    <s v="Kachin"/>
    <s v="Momauk"/>
    <s v="Loi Je Lisu Camp"/>
    <m/>
    <m/>
    <m/>
    <m/>
    <m/>
    <m/>
    <m/>
    <m/>
    <m/>
    <n v="369"/>
    <m/>
    <m/>
    <m/>
    <m/>
    <m/>
    <m/>
    <m/>
    <n v="0"/>
    <n v="0"/>
    <n v="0"/>
    <n v="0"/>
    <n v="0"/>
    <n v="0"/>
    <n v="0"/>
    <n v="0"/>
    <n v="0"/>
    <n v="0"/>
    <n v="0"/>
    <n v="0"/>
    <n v="0"/>
    <n v="0"/>
    <n v="0"/>
    <n v="0"/>
    <n v="0"/>
    <n v="0"/>
    <s v="MMR001CMP070"/>
    <x v="0"/>
    <x v="0"/>
    <s v="P3"/>
    <n v="0"/>
    <s v="No"/>
  </r>
  <r>
    <n v="41.6"/>
    <d v="2013-11-30T00:00:00"/>
    <x v="1"/>
    <s v="KBC"/>
    <s v="Kachin"/>
    <s v="Waingmaw"/>
    <s v="Mading Baptist Church"/>
    <m/>
    <m/>
    <m/>
    <m/>
    <m/>
    <m/>
    <m/>
    <m/>
    <m/>
    <m/>
    <m/>
    <m/>
    <m/>
    <m/>
    <m/>
    <m/>
    <m/>
    <n v="0"/>
    <n v="0"/>
    <n v="0"/>
    <n v="0"/>
    <n v="0"/>
    <n v="0"/>
    <n v="0"/>
    <n v="0"/>
    <n v="0"/>
    <n v="0"/>
    <n v="0"/>
    <n v="0"/>
    <n v="0"/>
    <n v="0"/>
    <n v="0"/>
    <n v="0"/>
    <n v="0"/>
    <n v="0"/>
    <s v="MMR001CMP027"/>
    <x v="0"/>
    <x v="0"/>
    <s v="P4"/>
    <n v="0"/>
    <s v="No"/>
  </r>
  <r>
    <n v="41.6"/>
    <d v="2013-11-30T00:00:00"/>
    <x v="1"/>
    <s v="KBC"/>
    <s v="Kachin"/>
    <s v="Waingmaw"/>
    <s v="Maga Yang "/>
    <m/>
    <m/>
    <m/>
    <m/>
    <m/>
    <m/>
    <m/>
    <m/>
    <m/>
    <m/>
    <m/>
    <m/>
    <m/>
    <m/>
    <m/>
    <m/>
    <m/>
    <n v="0"/>
    <n v="0"/>
    <n v="0"/>
    <n v="0"/>
    <n v="0"/>
    <n v="0"/>
    <n v="0"/>
    <n v="0"/>
    <n v="0"/>
    <n v="0"/>
    <n v="0"/>
    <n v="0"/>
    <n v="0"/>
    <n v="0"/>
    <n v="0"/>
    <n v="0"/>
    <n v="0"/>
    <n v="0"/>
    <s v="MMR001CMP119"/>
    <x v="0"/>
    <x v="0"/>
    <s v="P2"/>
    <n v="0"/>
    <s v="No"/>
  </r>
  <r>
    <n v="41.6"/>
    <d v="2013-11-30T00:00:00"/>
    <x v="1"/>
    <s v="KBC"/>
    <s v="Kachin"/>
    <s v="Waingmaw"/>
    <s v="Maina AG Church"/>
    <m/>
    <m/>
    <m/>
    <m/>
    <m/>
    <m/>
    <m/>
    <m/>
    <m/>
    <m/>
    <m/>
    <m/>
    <m/>
    <m/>
    <m/>
    <m/>
    <m/>
    <n v="0"/>
    <n v="0"/>
    <n v="0"/>
    <n v="0"/>
    <n v="0"/>
    <n v="0"/>
    <n v="0"/>
    <n v="0"/>
    <n v="0"/>
    <n v="0"/>
    <n v="0"/>
    <n v="0"/>
    <n v="0"/>
    <n v="0"/>
    <n v="0"/>
    <n v="0"/>
    <n v="0"/>
    <n v="0"/>
    <s v="MMR001CMP031"/>
    <x v="0"/>
    <x v="0"/>
    <s v="P4"/>
    <n v="0"/>
    <s v="No"/>
  </r>
  <r>
    <n v="41.6"/>
    <d v="2013-11-30T00:00:00"/>
    <x v="1"/>
    <s v="KBC"/>
    <s v="Kachin"/>
    <s v="Waingmaw"/>
    <s v="Maina KBC (Bawng Ring)"/>
    <m/>
    <m/>
    <m/>
    <m/>
    <m/>
    <m/>
    <m/>
    <m/>
    <m/>
    <m/>
    <m/>
    <m/>
    <m/>
    <m/>
    <m/>
    <m/>
    <m/>
    <n v="0"/>
    <n v="0"/>
    <n v="0"/>
    <n v="0"/>
    <n v="0"/>
    <n v="0"/>
    <n v="0"/>
    <n v="0"/>
    <n v="0"/>
    <n v="0"/>
    <n v="0"/>
    <n v="0"/>
    <n v="0"/>
    <n v="0"/>
    <n v="0"/>
    <n v="0"/>
    <n v="0"/>
    <n v="0"/>
    <s v="MMR001CMP040"/>
    <x v="0"/>
    <x v="0"/>
    <s v="P4"/>
    <n v="0"/>
    <s v="No"/>
  </r>
  <r>
    <n v="41.6"/>
    <d v="2013-11-30T00:00:00"/>
    <x v="1"/>
    <s v="KBC"/>
    <s v="Kachin"/>
    <s v="Waingmaw"/>
    <s v="Maina Lawang Baptist Church"/>
    <m/>
    <m/>
    <m/>
    <m/>
    <m/>
    <m/>
    <m/>
    <m/>
    <m/>
    <m/>
    <m/>
    <m/>
    <m/>
    <m/>
    <m/>
    <m/>
    <m/>
    <n v="0"/>
    <n v="0"/>
    <n v="0"/>
    <n v="0"/>
    <n v="0"/>
    <n v="0"/>
    <n v="0"/>
    <n v="0"/>
    <n v="0"/>
    <n v="0"/>
    <n v="0"/>
    <n v="0"/>
    <n v="0"/>
    <n v="0"/>
    <n v="0"/>
    <n v="0"/>
    <n v="0"/>
    <n v="0"/>
    <s v="MMR001CMP039"/>
    <x v="0"/>
    <x v="0"/>
    <s v="P4"/>
    <n v="0"/>
    <s v="No"/>
  </r>
  <r>
    <n v="41.6"/>
    <d v="2013-11-30T00:00:00"/>
    <x v="1"/>
    <m/>
    <s v="Kachin"/>
    <s v="Momauk"/>
    <s v="Man Bung Catholic compound"/>
    <m/>
    <m/>
    <m/>
    <m/>
    <m/>
    <m/>
    <m/>
    <m/>
    <m/>
    <n v="141"/>
    <m/>
    <m/>
    <m/>
    <m/>
    <m/>
    <m/>
    <m/>
    <n v="0"/>
    <n v="0"/>
    <n v="0"/>
    <n v="0"/>
    <n v="0"/>
    <n v="0"/>
    <n v="0"/>
    <n v="0"/>
    <n v="0"/>
    <n v="0"/>
    <n v="0"/>
    <n v="0"/>
    <n v="0"/>
    <n v="0"/>
    <n v="0"/>
    <n v="0"/>
    <n v="0"/>
    <n v="0"/>
    <s v="MMR001CMP062"/>
    <x v="0"/>
    <x v="0"/>
    <s v="P4"/>
    <n v="0"/>
    <s v="No"/>
  </r>
  <r>
    <n v="41.6"/>
    <d v="2013-11-30T00:00:00"/>
    <x v="6"/>
    <s v="MDCG"/>
    <s v="Kachin"/>
    <s v="Mansi"/>
    <s v="Man Wing Baptist Church"/>
    <m/>
    <m/>
    <m/>
    <m/>
    <m/>
    <n v="347"/>
    <m/>
    <m/>
    <m/>
    <m/>
    <n v="386"/>
    <n v="234"/>
    <n v="0"/>
    <m/>
    <m/>
    <m/>
    <m/>
    <n v="0"/>
    <n v="0"/>
    <n v="0"/>
    <n v="0"/>
    <n v="0"/>
    <n v="0"/>
    <n v="0"/>
    <n v="0"/>
    <n v="0"/>
    <n v="0"/>
    <n v="0"/>
    <n v="0"/>
    <n v="0"/>
    <n v="0"/>
    <n v="1"/>
    <n v="0"/>
    <n v="0"/>
    <n v="0"/>
    <s v="MMR001CMP133"/>
    <x v="0"/>
    <x v="0"/>
    <s v="P4"/>
    <n v="0"/>
    <s v="No"/>
  </r>
  <r>
    <n v="41.6"/>
    <d v="2013-11-30T00:00:00"/>
    <x v="1"/>
    <m/>
    <s v="Kachin"/>
    <s v="Mansi"/>
    <s v="Man Wing Baptist Church"/>
    <m/>
    <m/>
    <m/>
    <m/>
    <m/>
    <m/>
    <m/>
    <m/>
    <m/>
    <n v="444"/>
    <m/>
    <m/>
    <m/>
    <m/>
    <m/>
    <m/>
    <m/>
    <n v="0"/>
    <n v="0"/>
    <n v="0"/>
    <n v="0"/>
    <n v="0"/>
    <n v="0"/>
    <n v="0"/>
    <n v="0"/>
    <n v="0"/>
    <n v="0"/>
    <n v="0"/>
    <n v="0"/>
    <n v="0"/>
    <n v="0"/>
    <n v="0"/>
    <n v="0"/>
    <n v="0"/>
    <n v="0"/>
    <s v="MMR001CMP133"/>
    <x v="0"/>
    <x v="0"/>
    <s v="P4"/>
    <n v="0"/>
    <s v="No"/>
  </r>
  <r>
    <n v="41.6"/>
    <d v="2013-11-30T00:00:00"/>
    <x v="6"/>
    <s v="MDCG"/>
    <s v="Kachin"/>
    <s v="Mansi"/>
    <s v="Man Wing Catholic Church"/>
    <m/>
    <m/>
    <m/>
    <m/>
    <m/>
    <n v="770"/>
    <m/>
    <m/>
    <m/>
    <m/>
    <n v="889"/>
    <n v="492"/>
    <n v="0"/>
    <m/>
    <m/>
    <m/>
    <m/>
    <n v="0"/>
    <n v="0"/>
    <n v="0"/>
    <n v="0"/>
    <n v="0"/>
    <n v="0"/>
    <n v="0"/>
    <n v="0"/>
    <n v="0"/>
    <n v="0"/>
    <n v="0"/>
    <n v="0"/>
    <n v="0"/>
    <n v="0"/>
    <n v="1"/>
    <n v="0"/>
    <n v="0"/>
    <n v="0"/>
    <s v="MMR001CMP132"/>
    <x v="0"/>
    <x v="0"/>
    <s v="P4"/>
    <n v="0"/>
    <s v="No"/>
  </r>
  <r>
    <n v="41.6"/>
    <d v="2013-11-30T00:00:00"/>
    <x v="1"/>
    <m/>
    <s v="Kachin"/>
    <s v="Mansi"/>
    <s v="Man Wing Catholic Church"/>
    <m/>
    <m/>
    <m/>
    <m/>
    <m/>
    <m/>
    <m/>
    <m/>
    <m/>
    <n v="1080"/>
    <m/>
    <m/>
    <m/>
    <m/>
    <m/>
    <m/>
    <m/>
    <n v="0"/>
    <n v="0"/>
    <n v="0"/>
    <n v="0"/>
    <n v="0"/>
    <n v="0"/>
    <n v="0"/>
    <n v="0"/>
    <n v="0"/>
    <n v="0"/>
    <n v="0"/>
    <n v="0"/>
    <n v="0"/>
    <n v="0"/>
    <n v="0"/>
    <n v="0"/>
    <n v="0"/>
    <n v="0"/>
    <s v="MMR001CMP132"/>
    <x v="0"/>
    <x v="0"/>
    <s v="P4"/>
    <n v="0"/>
    <s v="No"/>
  </r>
  <r>
    <n v="41.6"/>
    <d v="2013-11-30T00:00:00"/>
    <x v="1"/>
    <m/>
    <s v="Kachin"/>
    <s v="Mansi"/>
    <s v="Mansi Baptist Church"/>
    <m/>
    <m/>
    <m/>
    <m/>
    <m/>
    <m/>
    <m/>
    <m/>
    <m/>
    <n v="225"/>
    <m/>
    <m/>
    <m/>
    <m/>
    <m/>
    <m/>
    <m/>
    <n v="0"/>
    <n v="0"/>
    <n v="0"/>
    <n v="0"/>
    <n v="0"/>
    <n v="0"/>
    <n v="0"/>
    <n v="0"/>
    <n v="0"/>
    <n v="0"/>
    <n v="0"/>
    <n v="0"/>
    <n v="0"/>
    <n v="0"/>
    <n v="0"/>
    <n v="0"/>
    <n v="0"/>
    <n v="0"/>
    <s v="MMR001CMP066"/>
    <x v="0"/>
    <x v="0"/>
    <s v="P4"/>
    <n v="0"/>
    <s v="No"/>
  </r>
  <r>
    <n v="41.6"/>
    <d v="2013-11-30T00:00:00"/>
    <x v="1"/>
    <m/>
    <s v="Kachin"/>
    <s v="Momauk"/>
    <s v="Momauk Catholic Church (St. Patrick)"/>
    <m/>
    <m/>
    <m/>
    <m/>
    <m/>
    <m/>
    <m/>
    <m/>
    <m/>
    <n v="543"/>
    <m/>
    <m/>
    <m/>
    <m/>
    <m/>
    <m/>
    <m/>
    <n v="0"/>
    <n v="0"/>
    <n v="0"/>
    <n v="0"/>
    <n v="0"/>
    <n v="0"/>
    <n v="0"/>
    <n v="0"/>
    <n v="0"/>
    <n v="0"/>
    <n v="0"/>
    <n v="0"/>
    <n v="0"/>
    <n v="0"/>
    <n v="0"/>
    <n v="0"/>
    <n v="0"/>
    <n v="0"/>
    <s v="MMR001CMP057"/>
    <x v="0"/>
    <x v="1"/>
    <s v="P4"/>
    <n v="0"/>
    <s v="No"/>
  </r>
  <r>
    <n v="41.6"/>
    <d v="2013-11-30T00:00:00"/>
    <x v="1"/>
    <s v="KBC"/>
    <s v="Kachin"/>
    <s v="Mansi"/>
    <s v="Nam Lim Pa - Scattered IDPs in forest"/>
    <m/>
    <m/>
    <m/>
    <m/>
    <m/>
    <m/>
    <m/>
    <m/>
    <m/>
    <m/>
    <m/>
    <m/>
    <m/>
    <m/>
    <m/>
    <m/>
    <m/>
    <n v="0"/>
    <n v="0"/>
    <n v="0"/>
    <n v="0"/>
    <n v="0"/>
    <n v="0"/>
    <n v="0"/>
    <n v="0"/>
    <n v="0"/>
    <n v="0"/>
    <n v="0"/>
    <n v="0"/>
    <n v="0"/>
    <n v="0"/>
    <n v="0"/>
    <n v="0"/>
    <n v="0"/>
    <n v="0"/>
    <s v="MMR001CMP137"/>
    <x v="0"/>
    <x v="1"/>
    <s v=""/>
    <s v=""/>
    <s v="No"/>
  </r>
  <r>
    <n v="41.6"/>
    <d v="2013-11-30T00:00:00"/>
    <x v="6"/>
    <s v="MDCG"/>
    <s v="Shan_North"/>
    <s v="Kutkai"/>
    <s v="Mine Yu Lay village"/>
    <m/>
    <m/>
    <m/>
    <m/>
    <m/>
    <n v="258"/>
    <m/>
    <m/>
    <m/>
    <m/>
    <n v="349"/>
    <n v="175"/>
    <n v="0"/>
    <m/>
    <m/>
    <m/>
    <m/>
    <n v="0"/>
    <n v="0"/>
    <n v="0"/>
    <n v="0"/>
    <n v="0"/>
    <n v="0"/>
    <n v="0"/>
    <n v="0"/>
    <n v="0"/>
    <n v="0"/>
    <n v="0"/>
    <n v="0"/>
    <n v="0"/>
    <n v="0"/>
    <n v="1"/>
    <n v="0"/>
    <n v="0"/>
    <n v="0"/>
    <s v="MMR015CMP018"/>
    <x v="0"/>
    <x v="0"/>
    <s v="P3"/>
    <n v="0"/>
    <s v="No"/>
  </r>
  <r>
    <n v="41.6"/>
    <d v="2013-11-30T00:00:00"/>
    <x v="1"/>
    <m/>
    <s v="Kachin"/>
    <s v="Momauk"/>
    <s v="Momauk Baptist Church"/>
    <m/>
    <m/>
    <m/>
    <m/>
    <m/>
    <m/>
    <m/>
    <m/>
    <m/>
    <n v="906"/>
    <m/>
    <m/>
    <m/>
    <m/>
    <m/>
    <m/>
    <m/>
    <n v="0"/>
    <n v="0"/>
    <n v="0"/>
    <n v="0"/>
    <n v="0"/>
    <n v="0"/>
    <n v="0"/>
    <n v="0"/>
    <n v="0"/>
    <n v="0"/>
    <n v="0"/>
    <n v="0"/>
    <n v="0"/>
    <n v="0"/>
    <n v="0"/>
    <n v="0"/>
    <n v="0"/>
    <n v="0"/>
    <s v="MMR001CMP056"/>
    <x v="0"/>
    <x v="0"/>
    <s v="P4"/>
    <n v="0"/>
    <s v="No"/>
  </r>
  <r>
    <n v="41.6"/>
    <d v="2013-11-30T00:00:00"/>
    <x v="1"/>
    <m/>
    <s v="Kachin"/>
    <s v="Bhamo"/>
    <s v="Nant Hlaing Church"/>
    <m/>
    <m/>
    <m/>
    <m/>
    <m/>
    <m/>
    <m/>
    <m/>
    <m/>
    <n v="57"/>
    <m/>
    <m/>
    <m/>
    <m/>
    <m/>
    <m/>
    <m/>
    <n v="0"/>
    <n v="0"/>
    <n v="0"/>
    <n v="0"/>
    <n v="0"/>
    <n v="0"/>
    <n v="0"/>
    <n v="0"/>
    <n v="0"/>
    <n v="0"/>
    <n v="0"/>
    <n v="0"/>
    <n v="0"/>
    <n v="0"/>
    <n v="0"/>
    <n v="0"/>
    <n v="0"/>
    <n v="0"/>
    <s v="MMR001CMP054"/>
    <x v="0"/>
    <x v="0"/>
    <s v="P4"/>
    <n v="0"/>
    <s v="No"/>
  </r>
  <r>
    <n v="41.6"/>
    <d v="2013-11-30T00:00:00"/>
    <x v="1"/>
    <m/>
    <s v="Kachin"/>
    <s v="Momauk"/>
    <s v="Ni Thaw Ka Monestry"/>
    <m/>
    <m/>
    <m/>
    <m/>
    <m/>
    <m/>
    <m/>
    <m/>
    <m/>
    <n v="60"/>
    <m/>
    <m/>
    <m/>
    <m/>
    <m/>
    <m/>
    <m/>
    <n v="0"/>
    <n v="0"/>
    <n v="0"/>
    <n v="0"/>
    <n v="0"/>
    <n v="0"/>
    <n v="0"/>
    <n v="0"/>
    <n v="0"/>
    <n v="0"/>
    <n v="0"/>
    <n v="0"/>
    <n v="0"/>
    <n v="0"/>
    <n v="0"/>
    <n v="0"/>
    <n v="0"/>
    <n v="0"/>
    <s v="MMR001CMP059"/>
    <x v="0"/>
    <x v="1"/>
    <s v="P4"/>
    <n v="0"/>
    <s v="No"/>
  </r>
  <r>
    <n v="41.6"/>
    <d v="2013-11-30T00:00:00"/>
    <x v="6"/>
    <s v="MDCG"/>
    <s v="Shan_North"/>
    <s v="Hseni"/>
    <s v="Narte"/>
    <m/>
    <m/>
    <m/>
    <m/>
    <m/>
    <n v="201"/>
    <m/>
    <m/>
    <m/>
    <m/>
    <n v="266"/>
    <n v="126"/>
    <n v="0"/>
    <m/>
    <m/>
    <m/>
    <m/>
    <n v="0"/>
    <n v="0"/>
    <n v="0"/>
    <n v="0"/>
    <n v="0"/>
    <n v="0"/>
    <n v="0"/>
    <n v="0"/>
    <n v="0"/>
    <n v="0"/>
    <n v="0"/>
    <n v="0"/>
    <n v="0"/>
    <n v="0"/>
    <n v="1"/>
    <n v="0"/>
    <n v="0"/>
    <n v="0"/>
    <s v="MMR015CMP207"/>
    <x v="0"/>
    <x v="0"/>
    <s v="P4"/>
    <n v="0"/>
    <s v="No"/>
  </r>
  <r>
    <n v="41.6"/>
    <d v="2013-11-30T00:00:00"/>
    <x v="1"/>
    <s v="LDO"/>
    <s v="Kachin"/>
    <s v="Momauk"/>
    <s v="Nhkawng Pa "/>
    <m/>
    <m/>
    <m/>
    <m/>
    <m/>
    <m/>
    <m/>
    <m/>
    <m/>
    <m/>
    <m/>
    <m/>
    <m/>
    <m/>
    <m/>
    <m/>
    <m/>
    <n v="0"/>
    <n v="0"/>
    <n v="0"/>
    <n v="0"/>
    <n v="0"/>
    <n v="0"/>
    <n v="0"/>
    <n v="0"/>
    <n v="0"/>
    <n v="0"/>
    <n v="0"/>
    <n v="0"/>
    <n v="0"/>
    <n v="0"/>
    <n v="0"/>
    <n v="0"/>
    <n v="0"/>
    <n v="0"/>
    <s v="MMR001CMP131"/>
    <x v="0"/>
    <x v="0"/>
    <s v="P1"/>
    <n v="0"/>
    <s v="No"/>
  </r>
  <r>
    <n v="41.6"/>
    <d v="2013-11-30T00:00:00"/>
    <x v="1"/>
    <m/>
    <s v="Kachin"/>
    <s v="Momauk"/>
    <s v="Nyaung Na Pin "/>
    <m/>
    <m/>
    <m/>
    <m/>
    <m/>
    <m/>
    <m/>
    <m/>
    <m/>
    <n v="135"/>
    <m/>
    <m/>
    <m/>
    <m/>
    <m/>
    <m/>
    <m/>
    <n v="0"/>
    <n v="0"/>
    <n v="0"/>
    <n v="0"/>
    <n v="0"/>
    <n v="0"/>
    <n v="0"/>
    <n v="0"/>
    <n v="0"/>
    <n v="0"/>
    <n v="0"/>
    <n v="0"/>
    <n v="0"/>
    <n v="0"/>
    <n v="0"/>
    <n v="0"/>
    <n v="0"/>
    <n v="0"/>
    <s v="MMR001CMP072"/>
    <x v="0"/>
    <x v="0"/>
    <s v="P3"/>
    <n v="0"/>
    <s v="No"/>
  </r>
  <r>
    <n v="41.6"/>
    <d v="2013-11-30T00:00:00"/>
    <x v="1"/>
    <s v="LDO"/>
    <s v="Kachin"/>
    <s v="Momauk"/>
    <s v="Pa Kahtawng "/>
    <m/>
    <m/>
    <m/>
    <m/>
    <m/>
    <m/>
    <m/>
    <m/>
    <m/>
    <m/>
    <m/>
    <m/>
    <m/>
    <m/>
    <m/>
    <m/>
    <m/>
    <n v="0"/>
    <n v="0"/>
    <n v="0"/>
    <n v="0"/>
    <n v="0"/>
    <n v="0"/>
    <n v="0"/>
    <n v="0"/>
    <n v="0"/>
    <n v="0"/>
    <n v="0"/>
    <n v="0"/>
    <n v="0"/>
    <n v="0"/>
    <n v="0"/>
    <n v="0"/>
    <n v="0"/>
    <n v="0"/>
    <s v="MMR001CMP126"/>
    <x v="0"/>
    <x v="0"/>
    <s v="P2"/>
    <n v="0"/>
    <s v="No"/>
  </r>
  <r>
    <n v="41.6"/>
    <d v="2013-11-30T00:00:00"/>
    <x v="0"/>
    <s v="UNHCR"/>
    <s v="Kachin"/>
    <s v="Momauk"/>
    <s v="Pa Kahtawng "/>
    <m/>
    <m/>
    <m/>
    <m/>
    <m/>
    <m/>
    <m/>
    <m/>
    <m/>
    <m/>
    <m/>
    <m/>
    <m/>
    <m/>
    <m/>
    <m/>
    <m/>
    <n v="0"/>
    <n v="0"/>
    <n v="0"/>
    <n v="0"/>
    <n v="0"/>
    <n v="0"/>
    <n v="0"/>
    <n v="0"/>
    <n v="0"/>
    <n v="0"/>
    <n v="0"/>
    <n v="0"/>
    <n v="0"/>
    <n v="0"/>
    <n v="0"/>
    <n v="0"/>
    <n v="0"/>
    <n v="0"/>
    <s v="MMR001CMP126"/>
    <x v="0"/>
    <x v="0"/>
    <s v="P2"/>
    <n v="0"/>
    <s v="No"/>
  </r>
  <r>
    <n v="41.6"/>
    <d v="2013-11-30T00:00:00"/>
    <x v="1"/>
    <s v="KBC"/>
    <s v="Kachin"/>
    <s v="Waingmaw"/>
    <s v="Pajau - Jan Mai"/>
    <m/>
    <m/>
    <m/>
    <m/>
    <m/>
    <m/>
    <m/>
    <m/>
    <m/>
    <m/>
    <m/>
    <m/>
    <m/>
    <m/>
    <m/>
    <m/>
    <m/>
    <n v="0"/>
    <n v="0"/>
    <n v="0"/>
    <n v="0"/>
    <n v="0"/>
    <n v="0"/>
    <n v="0"/>
    <n v="0"/>
    <n v="0"/>
    <n v="0"/>
    <n v="0"/>
    <n v="0"/>
    <n v="0"/>
    <n v="0"/>
    <n v="0"/>
    <n v="0"/>
    <n v="0"/>
    <n v="0"/>
    <s v="MMR001CMP120"/>
    <x v="0"/>
    <x v="0"/>
    <s v="P1"/>
    <n v="0"/>
    <s v="No"/>
  </r>
  <r>
    <n v="41.6"/>
    <d v="2013-11-30T00:00:00"/>
    <x v="6"/>
    <s v="MDCG"/>
    <s v="Kachin"/>
    <s v="Bhamo"/>
    <s v="Phan Khar Kone"/>
    <m/>
    <m/>
    <m/>
    <m/>
    <m/>
    <n v="320"/>
    <m/>
    <m/>
    <m/>
    <m/>
    <n v="234"/>
    <n v="336"/>
    <n v="0"/>
    <m/>
    <m/>
    <m/>
    <m/>
    <n v="0"/>
    <n v="0"/>
    <n v="0"/>
    <n v="0"/>
    <n v="0"/>
    <n v="0"/>
    <n v="0"/>
    <n v="0"/>
    <n v="0"/>
    <n v="0"/>
    <n v="0"/>
    <n v="0"/>
    <n v="0"/>
    <n v="0"/>
    <n v="1"/>
    <n v="0"/>
    <n v="0"/>
    <n v="0"/>
    <s v="MMR001CMP193"/>
    <x v="0"/>
    <x v="0"/>
    <s v="P4"/>
    <n v="0"/>
    <s v="No"/>
  </r>
  <r>
    <n v="41.6"/>
    <d v="2013-11-30T00:00:00"/>
    <x v="1"/>
    <m/>
    <s v="Kachin"/>
    <s v="Bhamo"/>
    <s v="Phan Khar Kone"/>
    <m/>
    <m/>
    <m/>
    <m/>
    <m/>
    <m/>
    <m/>
    <m/>
    <m/>
    <m/>
    <m/>
    <m/>
    <m/>
    <m/>
    <m/>
    <m/>
    <m/>
    <n v="0"/>
    <n v="0"/>
    <n v="0"/>
    <n v="0"/>
    <n v="0"/>
    <n v="0"/>
    <n v="0"/>
    <n v="0"/>
    <n v="0"/>
    <n v="0"/>
    <n v="0"/>
    <n v="0"/>
    <n v="0"/>
    <n v="0"/>
    <n v="0"/>
    <n v="0"/>
    <n v="0"/>
    <n v="0"/>
    <s v="MMR001CMP193"/>
    <x v="0"/>
    <x v="0"/>
    <s v="P4"/>
    <n v="0"/>
    <s v="No"/>
  </r>
  <r>
    <n v="41.6"/>
    <d v="2013-11-30T00:00:00"/>
    <x v="1"/>
    <s v="KBC"/>
    <s v="Kachin"/>
    <s v="Waingmaw"/>
    <s v="Post 6 Camp"/>
    <m/>
    <m/>
    <m/>
    <m/>
    <m/>
    <m/>
    <m/>
    <m/>
    <m/>
    <m/>
    <m/>
    <m/>
    <m/>
    <m/>
    <m/>
    <m/>
    <m/>
    <n v="0"/>
    <n v="0"/>
    <n v="0"/>
    <n v="0"/>
    <n v="0"/>
    <n v="0"/>
    <n v="0"/>
    <n v="0"/>
    <n v="0"/>
    <n v="0"/>
    <n v="0"/>
    <n v="0"/>
    <n v="0"/>
    <n v="0"/>
    <n v="0"/>
    <n v="0"/>
    <n v="0"/>
    <n v="0"/>
    <s v="MMR001CMP160"/>
    <x v="0"/>
    <x v="0"/>
    <s v="P1"/>
    <n v="0"/>
    <s v="No"/>
  </r>
  <r>
    <n v="41.6"/>
    <d v="2013-11-30T00:00:00"/>
    <x v="1"/>
    <s v="KBC"/>
    <s v="Kachin"/>
    <s v="Waingmaw"/>
    <s v="Qtr. 2 Myoma Baptist Church"/>
    <m/>
    <m/>
    <m/>
    <m/>
    <m/>
    <m/>
    <m/>
    <m/>
    <m/>
    <m/>
    <m/>
    <m/>
    <m/>
    <m/>
    <m/>
    <m/>
    <m/>
    <n v="0"/>
    <n v="0"/>
    <n v="0"/>
    <n v="0"/>
    <n v="0"/>
    <n v="0"/>
    <n v="0"/>
    <n v="0"/>
    <n v="0"/>
    <n v="0"/>
    <n v="0"/>
    <n v="0"/>
    <n v="0"/>
    <n v="0"/>
    <n v="0"/>
    <n v="0"/>
    <n v="0"/>
    <n v="0"/>
    <s v="MMR001CMP025"/>
    <x v="0"/>
    <x v="0"/>
    <s v="P4"/>
    <n v="0"/>
    <s v="No"/>
  </r>
  <r>
    <n v="41.6"/>
    <d v="2013-11-30T00:00:00"/>
    <x v="1"/>
    <s v="KBC"/>
    <s v="Kachin"/>
    <s v="Waingmaw"/>
    <s v="Qtr. 3 Mu-yin  Baptist Church"/>
    <m/>
    <m/>
    <m/>
    <m/>
    <m/>
    <m/>
    <m/>
    <m/>
    <m/>
    <m/>
    <m/>
    <m/>
    <m/>
    <m/>
    <m/>
    <m/>
    <m/>
    <n v="0"/>
    <n v="0"/>
    <n v="0"/>
    <n v="0"/>
    <n v="0"/>
    <n v="0"/>
    <n v="0"/>
    <n v="0"/>
    <n v="0"/>
    <n v="0"/>
    <n v="0"/>
    <n v="0"/>
    <n v="0"/>
    <n v="0"/>
    <n v="0"/>
    <n v="0"/>
    <n v="0"/>
    <n v="0"/>
    <s v="MMR001CMP030"/>
    <x v="0"/>
    <x v="0"/>
    <s v="P4"/>
    <n v="0"/>
    <s v="No"/>
  </r>
  <r>
    <n v="41.6"/>
    <d v="2013-11-30T00:00:00"/>
    <x v="1"/>
    <s v="KBC"/>
    <s v="Kachin"/>
    <s v="Waingmaw"/>
    <s v="Qtr. 4 Monestry (Thargaya Thayett Taw)"/>
    <m/>
    <m/>
    <m/>
    <m/>
    <m/>
    <m/>
    <m/>
    <m/>
    <m/>
    <m/>
    <m/>
    <m/>
    <m/>
    <m/>
    <m/>
    <m/>
    <m/>
    <n v="0"/>
    <n v="0"/>
    <n v="0"/>
    <n v="0"/>
    <n v="0"/>
    <n v="0"/>
    <n v="0"/>
    <n v="0"/>
    <n v="0"/>
    <n v="0"/>
    <n v="0"/>
    <n v="0"/>
    <n v="0"/>
    <n v="0"/>
    <n v="0"/>
    <n v="0"/>
    <n v="0"/>
    <n v="0"/>
    <s v="MMR001CMP026"/>
    <x v="0"/>
    <x v="0"/>
    <s v="P4"/>
    <n v="0"/>
    <s v="No"/>
  </r>
  <r>
    <n v="41.6"/>
    <d v="2013-11-30T00:00:00"/>
    <x v="1"/>
    <m/>
    <s v="Kachin"/>
    <s v="Bhamo"/>
    <s v="Robert Church"/>
    <m/>
    <m/>
    <m/>
    <m/>
    <m/>
    <m/>
    <m/>
    <m/>
    <m/>
    <n v="1164"/>
    <m/>
    <m/>
    <m/>
    <m/>
    <m/>
    <m/>
    <m/>
    <n v="0"/>
    <n v="0"/>
    <n v="0"/>
    <n v="0"/>
    <n v="0"/>
    <n v="0"/>
    <n v="0"/>
    <n v="0"/>
    <n v="0"/>
    <n v="0"/>
    <n v="0"/>
    <n v="0"/>
    <n v="0"/>
    <n v="0"/>
    <n v="0"/>
    <n v="0"/>
    <n v="0"/>
    <n v="0"/>
    <s v="MMR001CMP047"/>
    <x v="0"/>
    <x v="0"/>
    <s v="P4"/>
    <n v="0"/>
    <s v="No"/>
  </r>
  <r>
    <n v="41.6"/>
    <d v="2013-11-30T00:00:00"/>
    <x v="0"/>
    <s v="UNHCR"/>
    <s v="Kachin"/>
    <s v="Bhamo"/>
    <s v="Robert Church"/>
    <m/>
    <m/>
    <m/>
    <n v="75"/>
    <n v="36"/>
    <n v="75"/>
    <n v="36"/>
    <n v="36"/>
    <m/>
    <m/>
    <m/>
    <m/>
    <m/>
    <m/>
    <m/>
    <m/>
    <m/>
    <n v="0"/>
    <n v="0"/>
    <n v="0"/>
    <n v="0"/>
    <n v="0"/>
    <n v="0"/>
    <n v="0"/>
    <n v="0"/>
    <n v="0"/>
    <n v="0"/>
    <n v="0"/>
    <n v="0"/>
    <n v="0"/>
    <n v="0"/>
    <n v="0"/>
    <n v="0"/>
    <n v="0"/>
    <n v="0"/>
    <s v="MMR001CMP047"/>
    <x v="0"/>
    <x v="0"/>
    <s v="P4"/>
    <n v="8.8397790055248619E-4"/>
    <s v="No"/>
  </r>
  <r>
    <n v="41.6"/>
    <d v="2013-11-30T00:00:00"/>
    <x v="1"/>
    <m/>
    <s v="Kachin"/>
    <s v="Momauk"/>
    <s v="Seng Ja "/>
    <m/>
    <m/>
    <m/>
    <m/>
    <m/>
    <m/>
    <m/>
    <m/>
    <m/>
    <n v="99"/>
    <m/>
    <m/>
    <m/>
    <m/>
    <m/>
    <m/>
    <m/>
    <n v="0"/>
    <n v="0"/>
    <n v="0"/>
    <n v="0"/>
    <n v="0"/>
    <n v="0"/>
    <n v="0"/>
    <n v="0"/>
    <n v="0"/>
    <n v="0"/>
    <n v="0"/>
    <n v="0"/>
    <n v="0"/>
    <n v="0"/>
    <n v="0"/>
    <n v="0"/>
    <n v="0"/>
    <n v="0"/>
    <s v="MMR001CMP073"/>
    <x v="0"/>
    <x v="0"/>
    <s v="P3"/>
    <n v="0"/>
    <s v="No"/>
  </r>
  <r>
    <n v="41.6"/>
    <d v="2013-11-30T00:00:00"/>
    <x v="1"/>
    <s v="KBC"/>
    <s v="Kachin"/>
    <s v="Waingmaw"/>
    <s v="Shing Jai"/>
    <m/>
    <m/>
    <m/>
    <m/>
    <m/>
    <m/>
    <m/>
    <m/>
    <m/>
    <m/>
    <m/>
    <m/>
    <m/>
    <m/>
    <m/>
    <m/>
    <m/>
    <n v="0"/>
    <n v="0"/>
    <n v="0"/>
    <n v="0"/>
    <n v="0"/>
    <n v="0"/>
    <n v="0"/>
    <n v="0"/>
    <n v="0"/>
    <n v="0"/>
    <n v="0"/>
    <n v="0"/>
    <n v="0"/>
    <n v="0"/>
    <n v="0"/>
    <n v="0"/>
    <n v="0"/>
    <n v="0"/>
    <s v="MMR001CMP041"/>
    <x v="0"/>
    <x v="0"/>
    <s v="P1"/>
    <n v="0"/>
    <s v="No"/>
  </r>
  <r>
    <n v="41.6"/>
    <d v="2013-11-30T00:00:00"/>
    <x v="6"/>
    <s v="MDCG"/>
    <s v="Kachin"/>
    <s v="Shwegu"/>
    <s v="Shwe Gu Baptist Church"/>
    <m/>
    <m/>
    <m/>
    <m/>
    <m/>
    <n v="197"/>
    <m/>
    <m/>
    <m/>
    <m/>
    <n v="226"/>
    <n v="68"/>
    <n v="0"/>
    <m/>
    <m/>
    <m/>
    <m/>
    <n v="0"/>
    <n v="0"/>
    <n v="0"/>
    <n v="0"/>
    <n v="0"/>
    <n v="0"/>
    <n v="0"/>
    <n v="0"/>
    <n v="0"/>
    <n v="0"/>
    <n v="0"/>
    <n v="0"/>
    <n v="0"/>
    <n v="0"/>
    <n v="1"/>
    <n v="0"/>
    <n v="0"/>
    <n v="0"/>
    <s v="MMR001CMP067"/>
    <x v="0"/>
    <x v="0"/>
    <s v="P4"/>
    <n v="0"/>
    <s v="No"/>
  </r>
  <r>
    <n v="41.6"/>
    <d v="2013-11-30T00:00:00"/>
    <x v="1"/>
    <m/>
    <s v="Kachin"/>
    <s v="Shwegu"/>
    <s v="Shwe Gu Baptist Church"/>
    <m/>
    <m/>
    <m/>
    <m/>
    <m/>
    <m/>
    <m/>
    <m/>
    <m/>
    <n v="204"/>
    <m/>
    <m/>
    <m/>
    <m/>
    <m/>
    <m/>
    <m/>
    <n v="0"/>
    <n v="0"/>
    <n v="0"/>
    <n v="0"/>
    <n v="0"/>
    <n v="0"/>
    <n v="0"/>
    <n v="0"/>
    <n v="0"/>
    <n v="0"/>
    <n v="0"/>
    <n v="0"/>
    <n v="0"/>
    <n v="0"/>
    <n v="0"/>
    <n v="0"/>
    <n v="0"/>
    <n v="0"/>
    <s v="MMR001CMP067"/>
    <x v="0"/>
    <x v="0"/>
    <s v="P4"/>
    <n v="0"/>
    <s v="No"/>
  </r>
  <r>
    <n v="41.6"/>
    <d v="2013-11-30T00:00:00"/>
    <x v="6"/>
    <s v="MDCG"/>
    <s v="Kachin"/>
    <s v="Shwegu"/>
    <s v="Shwe Gu Catholic Church"/>
    <m/>
    <m/>
    <m/>
    <m/>
    <m/>
    <n v="142"/>
    <m/>
    <m/>
    <m/>
    <m/>
    <n v="182"/>
    <n v="60"/>
    <n v="0"/>
    <m/>
    <m/>
    <m/>
    <m/>
    <n v="0"/>
    <n v="0"/>
    <n v="0"/>
    <n v="0"/>
    <n v="0"/>
    <n v="0"/>
    <n v="0"/>
    <n v="0"/>
    <n v="0"/>
    <n v="0"/>
    <n v="0"/>
    <n v="0"/>
    <n v="0"/>
    <n v="0"/>
    <n v="1"/>
    <n v="0"/>
    <n v="0"/>
    <n v="0"/>
    <s v="MMR001CMP068"/>
    <x v="0"/>
    <x v="0"/>
    <s v="P4"/>
    <n v="0"/>
    <s v="No"/>
  </r>
  <r>
    <n v="41.6"/>
    <d v="2013-11-30T00:00:00"/>
    <x v="1"/>
    <m/>
    <s v="Kachin"/>
    <s v="Shwegu"/>
    <s v="Shwe Gu Catholic Church"/>
    <m/>
    <m/>
    <m/>
    <m/>
    <m/>
    <m/>
    <m/>
    <m/>
    <m/>
    <n v="126"/>
    <m/>
    <m/>
    <m/>
    <m/>
    <m/>
    <m/>
    <m/>
    <n v="0"/>
    <n v="0"/>
    <n v="0"/>
    <n v="0"/>
    <n v="0"/>
    <n v="0"/>
    <n v="0"/>
    <n v="0"/>
    <n v="0"/>
    <n v="0"/>
    <n v="0"/>
    <n v="0"/>
    <n v="0"/>
    <n v="0"/>
    <n v="0"/>
    <n v="0"/>
    <n v="0"/>
    <n v="0"/>
    <s v="MMR001CMP068"/>
    <x v="0"/>
    <x v="0"/>
    <s v="P4"/>
    <n v="0"/>
    <s v="No"/>
  </r>
  <r>
    <n v="41.6"/>
    <d v="2013-11-30T00:00:00"/>
    <x v="6"/>
    <s v="MDCG"/>
    <s v="Kachin"/>
    <s v="Bhamo"/>
    <s v="Ta Gun Taing Monastery (Shwe Kyi Na)"/>
    <m/>
    <m/>
    <m/>
    <m/>
    <m/>
    <n v="135"/>
    <m/>
    <m/>
    <m/>
    <m/>
    <n v="68"/>
    <n v="61"/>
    <n v="0"/>
    <m/>
    <m/>
    <m/>
    <m/>
    <n v="0"/>
    <n v="0"/>
    <n v="0"/>
    <n v="0"/>
    <n v="0"/>
    <n v="0"/>
    <n v="0"/>
    <n v="0"/>
    <n v="0"/>
    <n v="0"/>
    <n v="0"/>
    <n v="0"/>
    <n v="0"/>
    <n v="0"/>
    <n v="1"/>
    <n v="0"/>
    <n v="0"/>
    <n v="0"/>
    <s v="MMR001CMP055"/>
    <x v="0"/>
    <x v="0"/>
    <s v="P4"/>
    <n v="0"/>
    <s v="No"/>
  </r>
  <r>
    <n v="41.6"/>
    <d v="2013-11-30T00:00:00"/>
    <x v="1"/>
    <m/>
    <s v="Kachin"/>
    <s v="Bhamo"/>
    <s v="Ta Gun Taing Monastery (Shwe Kyi Na)"/>
    <m/>
    <m/>
    <m/>
    <m/>
    <m/>
    <m/>
    <m/>
    <m/>
    <m/>
    <m/>
    <m/>
    <m/>
    <m/>
    <m/>
    <m/>
    <m/>
    <m/>
    <n v="0"/>
    <n v="0"/>
    <n v="0"/>
    <n v="0"/>
    <n v="0"/>
    <n v="0"/>
    <n v="0"/>
    <n v="0"/>
    <n v="0"/>
    <n v="0"/>
    <n v="0"/>
    <n v="0"/>
    <n v="0"/>
    <n v="0"/>
    <n v="0"/>
    <n v="0"/>
    <n v="0"/>
    <n v="0"/>
    <s v="MMR001CMP055"/>
    <x v="0"/>
    <x v="0"/>
    <s v="P4"/>
    <n v="0"/>
    <s v="No"/>
  </r>
  <r>
    <n v="41.6"/>
    <d v="2013-11-30T00:00:00"/>
    <x v="1"/>
    <s v="KBC"/>
    <s v="Kachin"/>
    <s v="Waingmaw"/>
    <s v="Thargaya Lisu Baptist Church"/>
    <m/>
    <m/>
    <m/>
    <m/>
    <m/>
    <m/>
    <m/>
    <m/>
    <m/>
    <m/>
    <m/>
    <m/>
    <m/>
    <m/>
    <m/>
    <m/>
    <m/>
    <n v="0"/>
    <n v="0"/>
    <n v="0"/>
    <n v="0"/>
    <n v="0"/>
    <n v="0"/>
    <n v="0"/>
    <n v="0"/>
    <n v="0"/>
    <n v="0"/>
    <n v="0"/>
    <n v="0"/>
    <n v="0"/>
    <n v="0"/>
    <n v="0"/>
    <n v="0"/>
    <n v="0"/>
    <n v="0"/>
    <s v="MMR001CMP037"/>
    <x v="0"/>
    <x v="0"/>
    <s v="P4"/>
    <n v="0"/>
    <s v="No"/>
  </r>
  <r>
    <n v="41.6"/>
    <d v="2013-11-30T00:00:00"/>
    <x v="1"/>
    <s v="KBC"/>
    <s v="Kachin"/>
    <s v="Waingmaw"/>
    <s v="Waingmaw AG Church"/>
    <m/>
    <m/>
    <m/>
    <m/>
    <m/>
    <m/>
    <m/>
    <m/>
    <m/>
    <m/>
    <m/>
    <m/>
    <m/>
    <m/>
    <m/>
    <m/>
    <m/>
    <n v="0"/>
    <n v="0"/>
    <n v="0"/>
    <n v="0"/>
    <n v="0"/>
    <n v="0"/>
    <n v="0"/>
    <n v="0"/>
    <n v="0"/>
    <n v="0"/>
    <n v="0"/>
    <n v="0"/>
    <n v="0"/>
    <n v="0"/>
    <n v="0"/>
    <n v="0"/>
    <n v="0"/>
    <n v="0"/>
    <s v="MMR001CMP038"/>
    <x v="0"/>
    <x v="0"/>
    <s v="P4"/>
    <n v="0"/>
    <s v="No"/>
  </r>
  <r>
    <n v="41.6"/>
    <d v="2013-11-30T00:00:00"/>
    <x v="1"/>
    <s v="KBC"/>
    <s v="Kachin"/>
    <s v="Waingmaw"/>
    <s v="Woi Chyai "/>
    <m/>
    <m/>
    <m/>
    <m/>
    <m/>
    <m/>
    <m/>
    <m/>
    <m/>
    <n v="1851"/>
    <m/>
    <m/>
    <m/>
    <m/>
    <m/>
    <m/>
    <m/>
    <n v="0"/>
    <n v="0"/>
    <n v="0"/>
    <n v="0"/>
    <n v="0"/>
    <n v="0"/>
    <n v="0"/>
    <n v="0"/>
    <n v="0"/>
    <n v="0"/>
    <n v="0"/>
    <n v="0"/>
    <n v="0"/>
    <n v="0"/>
    <n v="0"/>
    <n v="0"/>
    <n v="0"/>
    <n v="0"/>
    <s v="MMR001CMP116"/>
    <x v="0"/>
    <x v="0"/>
    <s v="P4"/>
    <n v="0"/>
    <s v="No"/>
  </r>
  <r>
    <n v="41.6"/>
    <d v="2013-11-30T00:00:00"/>
    <x v="6"/>
    <s v="MDCG"/>
    <s v="Kachin"/>
    <s v="Bhamo"/>
    <s v="Yoe Kyi Monastery"/>
    <m/>
    <m/>
    <m/>
    <m/>
    <m/>
    <n v="64"/>
    <m/>
    <m/>
    <m/>
    <m/>
    <n v="58"/>
    <n v="52"/>
    <n v="0"/>
    <m/>
    <m/>
    <m/>
    <m/>
    <n v="0"/>
    <n v="0"/>
    <n v="0"/>
    <n v="0"/>
    <n v="0"/>
    <n v="0"/>
    <n v="0"/>
    <n v="0"/>
    <n v="0"/>
    <n v="0"/>
    <n v="0"/>
    <n v="0"/>
    <n v="0"/>
    <n v="0"/>
    <n v="1"/>
    <n v="0"/>
    <n v="0"/>
    <n v="0"/>
    <s v="MMR001CMP053"/>
    <x v="0"/>
    <x v="0"/>
    <s v="P4"/>
    <n v="0"/>
    <s v="No"/>
  </r>
  <r>
    <n v="41.6"/>
    <d v="2013-11-30T00:00:00"/>
    <x v="1"/>
    <m/>
    <s v="Kachin"/>
    <s v="Bhamo"/>
    <s v="Yoe Kyi Monastery"/>
    <m/>
    <m/>
    <m/>
    <m/>
    <m/>
    <m/>
    <m/>
    <m/>
    <m/>
    <n v="99"/>
    <m/>
    <m/>
    <m/>
    <m/>
    <m/>
    <m/>
    <m/>
    <n v="0"/>
    <n v="0"/>
    <n v="0"/>
    <n v="0"/>
    <n v="0"/>
    <n v="0"/>
    <n v="0"/>
    <n v="0"/>
    <n v="0"/>
    <n v="0"/>
    <n v="0"/>
    <n v="0"/>
    <n v="0"/>
    <n v="0"/>
    <n v="0"/>
    <n v="0"/>
    <n v="0"/>
    <n v="0"/>
    <s v="MMR001CMP053"/>
    <x v="0"/>
    <x v="0"/>
    <s v="P4"/>
    <n v="0"/>
    <s v="No"/>
  </r>
  <r>
    <n v="41.56666666666667"/>
    <d v="2013-12-01T00:00:00"/>
    <x v="0"/>
    <s v="UNHCR"/>
    <s v="Kachin"/>
    <s v="Bhamo"/>
    <s v="Robert Church"/>
    <m/>
    <m/>
    <m/>
    <m/>
    <m/>
    <n v="30"/>
    <m/>
    <m/>
    <m/>
    <m/>
    <m/>
    <m/>
    <m/>
    <m/>
    <m/>
    <m/>
    <m/>
    <n v="0"/>
    <n v="0"/>
    <n v="0"/>
    <n v="0"/>
    <n v="0"/>
    <n v="0"/>
    <n v="0"/>
    <n v="0"/>
    <n v="0"/>
    <n v="0"/>
    <n v="0"/>
    <n v="0"/>
    <n v="0"/>
    <n v="0"/>
    <n v="0"/>
    <n v="0"/>
    <n v="0"/>
    <n v="0"/>
    <s v="MMR001CMP047"/>
    <x v="0"/>
    <x v="0"/>
    <s v="P4"/>
    <n v="0"/>
    <s v="No"/>
  </r>
  <r>
    <n v="41.533333333333331"/>
    <d v="2013-12-02T00:00:00"/>
    <x v="1"/>
    <s v="KBC"/>
    <s v="Kachin"/>
    <s v="Waingmaw"/>
    <s v="Post 6 Camp"/>
    <m/>
    <m/>
    <m/>
    <m/>
    <m/>
    <m/>
    <m/>
    <m/>
    <m/>
    <m/>
    <n v="124"/>
    <n v="248"/>
    <n v="744"/>
    <n v="372"/>
    <m/>
    <m/>
    <m/>
    <n v="0"/>
    <n v="0"/>
    <n v="0"/>
    <n v="0"/>
    <n v="0"/>
    <n v="0"/>
    <n v="0"/>
    <n v="0"/>
    <n v="0"/>
    <n v="0"/>
    <n v="0"/>
    <n v="0"/>
    <n v="0"/>
    <n v="0"/>
    <n v="1"/>
    <n v="0"/>
    <n v="0"/>
    <n v="0"/>
    <s v="MMR001CMP160"/>
    <x v="0"/>
    <x v="0"/>
    <s v="P1"/>
    <n v="0"/>
    <m/>
  </r>
  <r>
    <n v="41.6"/>
    <d v="2013-11-30T00:00:00"/>
    <x v="1"/>
    <s v="KBC"/>
    <s v="Kachin"/>
    <s v="Waingmaw"/>
    <s v="Zai Awng - Mung Ga Zup"/>
    <m/>
    <m/>
    <m/>
    <m/>
    <m/>
    <m/>
    <m/>
    <m/>
    <m/>
    <m/>
    <m/>
    <m/>
    <m/>
    <m/>
    <m/>
    <m/>
    <m/>
    <n v="0"/>
    <n v="0"/>
    <n v="0"/>
    <n v="0"/>
    <n v="0"/>
    <n v="0"/>
    <n v="0"/>
    <n v="0"/>
    <n v="0"/>
    <n v="0"/>
    <n v="0"/>
    <n v="0"/>
    <n v="0"/>
    <n v="0"/>
    <n v="0"/>
    <n v="0"/>
    <n v="0"/>
    <n v="0"/>
    <s v="MMR001CMP111"/>
    <x v="0"/>
    <x v="1"/>
    <s v="P2"/>
    <n v="0"/>
    <s v="No"/>
  </r>
  <r>
    <n v="41.5"/>
    <d v="2013-12-03T00:00:00"/>
    <x v="1"/>
    <s v="KBC"/>
    <s v="Kachin"/>
    <s v="Waingmaw"/>
    <s v="Border Post 8"/>
    <m/>
    <m/>
    <m/>
    <m/>
    <m/>
    <m/>
    <m/>
    <m/>
    <m/>
    <m/>
    <n v="181"/>
    <n v="362"/>
    <n v="1086"/>
    <n v="543"/>
    <m/>
    <m/>
    <m/>
    <n v="0"/>
    <n v="0"/>
    <n v="0"/>
    <n v="0"/>
    <n v="0"/>
    <n v="0"/>
    <n v="0"/>
    <n v="0"/>
    <n v="0"/>
    <n v="0"/>
    <n v="0"/>
    <n v="0"/>
    <n v="0"/>
    <n v="0"/>
    <n v="1"/>
    <n v="0"/>
    <n v="0"/>
    <n v="0"/>
    <s v="MMR001CMP113"/>
    <x v="0"/>
    <x v="0"/>
    <s v="P1"/>
    <n v="0"/>
    <m/>
  </r>
  <r>
    <n v="41.5"/>
    <d v="2013-12-03T00:00:00"/>
    <x v="0"/>
    <s v="UNHCR"/>
    <s v="Kachin"/>
    <s v="Momauk"/>
    <s v="Momauk Baptist Church"/>
    <m/>
    <m/>
    <m/>
    <n v="25"/>
    <n v="13"/>
    <n v="25"/>
    <n v="13"/>
    <n v="13"/>
    <m/>
    <m/>
    <m/>
    <m/>
    <m/>
    <m/>
    <m/>
    <m/>
    <m/>
    <n v="0"/>
    <n v="0"/>
    <n v="0"/>
    <n v="0"/>
    <n v="0"/>
    <n v="0"/>
    <n v="0"/>
    <n v="0"/>
    <n v="0"/>
    <n v="0"/>
    <n v="0"/>
    <n v="0"/>
    <n v="0"/>
    <n v="0"/>
    <n v="0"/>
    <n v="0"/>
    <n v="0"/>
    <n v="0"/>
    <s v="MMR001CMP056"/>
    <x v="0"/>
    <x v="0"/>
    <s v="P4"/>
    <n v="3.1944956382848013E-4"/>
    <s v="No"/>
  </r>
  <r>
    <n v="41.466666666666669"/>
    <d v="2013-12-04T00:00:00"/>
    <x v="0"/>
    <s v="UNHCR"/>
    <s v="Kachin"/>
    <s v="Bhamo"/>
    <s v="Aung Thar Church"/>
    <m/>
    <m/>
    <m/>
    <m/>
    <m/>
    <n v="10"/>
    <n v="5"/>
    <n v="5"/>
    <m/>
    <m/>
    <m/>
    <m/>
    <m/>
    <m/>
    <m/>
    <m/>
    <m/>
    <n v="0"/>
    <n v="0"/>
    <n v="0"/>
    <n v="0"/>
    <n v="0"/>
    <n v="0"/>
    <n v="0"/>
    <n v="0"/>
    <n v="0"/>
    <n v="0"/>
    <n v="0"/>
    <n v="0"/>
    <n v="0"/>
    <n v="0"/>
    <n v="0"/>
    <n v="0"/>
    <n v="0"/>
    <n v="0"/>
    <s v="MMR001CMP194"/>
    <x v="0"/>
    <x v="0"/>
    <s v="P4"/>
    <n v="1.2258807953514599E-4"/>
    <s v="No"/>
  </r>
  <r>
    <n v="41.466666666666669"/>
    <d v="2013-12-04T00:00:00"/>
    <x v="0"/>
    <s v="UNHCR"/>
    <s v="Kachin"/>
    <s v="Bhamo"/>
    <s v="Robert Church"/>
    <m/>
    <m/>
    <m/>
    <m/>
    <m/>
    <n v="120"/>
    <m/>
    <m/>
    <m/>
    <m/>
    <m/>
    <m/>
    <m/>
    <m/>
    <m/>
    <m/>
    <m/>
    <n v="0"/>
    <n v="0"/>
    <n v="0"/>
    <n v="0"/>
    <n v="0"/>
    <n v="0"/>
    <n v="0"/>
    <n v="0"/>
    <n v="0"/>
    <n v="0"/>
    <n v="0"/>
    <n v="0"/>
    <n v="0"/>
    <n v="0"/>
    <n v="0"/>
    <n v="0"/>
    <n v="0"/>
    <n v="0"/>
    <s v="MMR001CMP047"/>
    <x v="0"/>
    <x v="0"/>
    <s v="P4"/>
    <n v="0"/>
    <s v="No"/>
  </r>
  <r>
    <n v="41.466666666666669"/>
    <d v="2013-12-04T00:00:00"/>
    <x v="0"/>
    <s v="UNHCR"/>
    <s v="Kachin"/>
    <s v="Bhamo"/>
    <s v="Robert Church"/>
    <m/>
    <m/>
    <m/>
    <m/>
    <n v="5"/>
    <m/>
    <m/>
    <m/>
    <m/>
    <m/>
    <m/>
    <m/>
    <m/>
    <m/>
    <m/>
    <m/>
    <m/>
    <n v="0"/>
    <n v="0"/>
    <n v="0"/>
    <n v="0"/>
    <n v="0"/>
    <n v="0"/>
    <n v="0"/>
    <n v="0"/>
    <n v="0"/>
    <n v="0"/>
    <n v="0"/>
    <n v="0"/>
    <n v="0"/>
    <n v="0"/>
    <n v="0"/>
    <n v="0"/>
    <n v="0"/>
    <n v="0"/>
    <s v="MMR001CMP047"/>
    <x v="0"/>
    <x v="0"/>
    <s v="P4"/>
    <n v="0"/>
    <s v="No"/>
  </r>
  <r>
    <n v="41.43333333333333"/>
    <d v="2013-12-05T00:00:00"/>
    <x v="1"/>
    <s v="KBC"/>
    <s v="Kachin"/>
    <s v="Momauk"/>
    <s v="Dum Bung "/>
    <m/>
    <m/>
    <m/>
    <m/>
    <m/>
    <m/>
    <m/>
    <m/>
    <m/>
    <m/>
    <n v="120"/>
    <n v="240"/>
    <n v="720"/>
    <n v="360"/>
    <m/>
    <m/>
    <m/>
    <n v="0"/>
    <n v="0"/>
    <n v="0"/>
    <n v="0"/>
    <n v="0"/>
    <n v="0"/>
    <n v="0"/>
    <n v="0"/>
    <n v="0"/>
    <n v="0"/>
    <n v="0"/>
    <n v="0"/>
    <n v="0"/>
    <n v="0"/>
    <n v="1"/>
    <n v="0"/>
    <n v="0"/>
    <n v="0"/>
    <s v="MMR001CMP123"/>
    <x v="0"/>
    <x v="0"/>
    <s v="P2"/>
    <n v="0"/>
    <m/>
  </r>
  <r>
    <n v="41.266666666666666"/>
    <d v="2013-12-10T00:00:00"/>
    <x v="2"/>
    <m/>
    <s v="Kachin"/>
    <s v="Mansi"/>
    <s v="Man Wing Catholic Church"/>
    <m/>
    <m/>
    <m/>
    <m/>
    <m/>
    <m/>
    <m/>
    <m/>
    <m/>
    <m/>
    <m/>
    <n v="256"/>
    <m/>
    <m/>
    <m/>
    <m/>
    <m/>
    <n v="0"/>
    <n v="0"/>
    <n v="0"/>
    <n v="0"/>
    <n v="0"/>
    <n v="0"/>
    <n v="0"/>
    <n v="0"/>
    <n v="0"/>
    <n v="0"/>
    <n v="0"/>
    <n v="0"/>
    <n v="0"/>
    <n v="0"/>
    <n v="1"/>
    <n v="0"/>
    <n v="0"/>
    <n v="0"/>
    <s v="MMR001CMP132"/>
    <x v="0"/>
    <x v="0"/>
    <s v="P4"/>
    <n v="0"/>
    <s v="No"/>
  </r>
  <r>
    <n v="41.233333333333334"/>
    <d v="2013-12-11T00:00:00"/>
    <x v="7"/>
    <s v="WPN"/>
    <s v="Kachin"/>
    <s v="Mansi"/>
    <s v="Bum Tsit Pa "/>
    <m/>
    <m/>
    <m/>
    <m/>
    <m/>
    <n v="278"/>
    <m/>
    <m/>
    <m/>
    <m/>
    <m/>
    <m/>
    <m/>
    <m/>
    <m/>
    <m/>
    <m/>
    <n v="0"/>
    <n v="0"/>
    <n v="0"/>
    <n v="0"/>
    <n v="0"/>
    <n v="0"/>
    <n v="0"/>
    <n v="0"/>
    <n v="0"/>
    <n v="0"/>
    <n v="0"/>
    <n v="0"/>
    <n v="0"/>
    <n v="0"/>
    <n v="0"/>
    <n v="0"/>
    <n v="0"/>
    <n v="0"/>
    <s v="MMR001CMP129"/>
    <x v="0"/>
    <x v="0"/>
    <s v="P2"/>
    <n v="0"/>
    <s v="No"/>
  </r>
  <r>
    <n v="41.233333333333334"/>
    <d v="2013-12-11T00:00:00"/>
    <x v="7"/>
    <s v="WPN"/>
    <s v="Kachin"/>
    <s v="Mansi"/>
    <s v="Bum Tsit Pa "/>
    <m/>
    <m/>
    <m/>
    <m/>
    <m/>
    <n v="174"/>
    <m/>
    <m/>
    <m/>
    <m/>
    <m/>
    <m/>
    <m/>
    <m/>
    <m/>
    <m/>
    <m/>
    <n v="0"/>
    <n v="0"/>
    <n v="0"/>
    <n v="0"/>
    <n v="0"/>
    <n v="0"/>
    <n v="0"/>
    <n v="0"/>
    <n v="0"/>
    <n v="0"/>
    <n v="0"/>
    <n v="0"/>
    <n v="0"/>
    <n v="0"/>
    <n v="0"/>
    <n v="0"/>
    <n v="0"/>
    <n v="0"/>
    <s v="MMR001CMP129"/>
    <x v="0"/>
    <x v="0"/>
    <s v="P2"/>
    <n v="0"/>
    <s v="No"/>
  </r>
  <r>
    <n v="41.233333333333334"/>
    <d v="2013-12-11T00:00:00"/>
    <x v="7"/>
    <s v="WPN"/>
    <s v="Kachin"/>
    <s v="Mansi"/>
    <s v="Lung Kawk  ( Hka Hkye Zup)"/>
    <m/>
    <m/>
    <m/>
    <m/>
    <m/>
    <n v="38"/>
    <m/>
    <m/>
    <m/>
    <m/>
    <m/>
    <m/>
    <m/>
    <m/>
    <m/>
    <m/>
    <m/>
    <n v="0"/>
    <n v="0"/>
    <n v="0"/>
    <n v="0"/>
    <n v="0"/>
    <n v="0"/>
    <n v="0"/>
    <n v="0"/>
    <n v="0"/>
    <n v="0"/>
    <n v="0"/>
    <n v="0"/>
    <n v="0"/>
    <n v="0"/>
    <n v="0"/>
    <n v="0"/>
    <n v="0"/>
    <n v="0"/>
    <s v="MMR001CMP135"/>
    <x v="0"/>
    <x v="1"/>
    <s v="P2"/>
    <n v="0"/>
    <s v="No"/>
  </r>
  <r>
    <n v="41.233333333333334"/>
    <d v="2013-12-11T00:00:00"/>
    <x v="7"/>
    <s v="WPN"/>
    <s v="Kachin"/>
    <s v="Mansi"/>
    <s v="Lana Zup Ja "/>
    <m/>
    <m/>
    <m/>
    <m/>
    <m/>
    <n v="543"/>
    <m/>
    <m/>
    <m/>
    <m/>
    <m/>
    <m/>
    <m/>
    <m/>
    <m/>
    <m/>
    <m/>
    <n v="0"/>
    <n v="0"/>
    <n v="0"/>
    <n v="0"/>
    <n v="0"/>
    <n v="0"/>
    <n v="0"/>
    <n v="0"/>
    <n v="0"/>
    <n v="0"/>
    <n v="0"/>
    <n v="0"/>
    <n v="0"/>
    <n v="0"/>
    <n v="0"/>
    <n v="0"/>
    <n v="0"/>
    <n v="0"/>
    <s v="MMR001CMP128"/>
    <x v="0"/>
    <x v="0"/>
    <s v="P2"/>
    <n v="0"/>
    <s v="No"/>
  </r>
  <r>
    <n v="41.233333333333334"/>
    <d v="2013-12-11T00:00:00"/>
    <x v="7"/>
    <s v="WPN"/>
    <s v="Kachin"/>
    <s v="Momauk"/>
    <s v="Nhkawng Pa "/>
    <m/>
    <m/>
    <m/>
    <m/>
    <m/>
    <n v="350"/>
    <m/>
    <m/>
    <m/>
    <m/>
    <m/>
    <m/>
    <m/>
    <m/>
    <m/>
    <m/>
    <m/>
    <n v="0"/>
    <n v="0"/>
    <n v="0"/>
    <n v="0"/>
    <n v="0"/>
    <n v="0"/>
    <n v="0"/>
    <n v="0"/>
    <n v="0"/>
    <n v="0"/>
    <n v="0"/>
    <n v="0"/>
    <n v="0"/>
    <n v="0"/>
    <n v="0"/>
    <n v="0"/>
    <n v="0"/>
    <n v="0"/>
    <s v="MMR001CMP131"/>
    <x v="0"/>
    <x v="0"/>
    <s v="P1"/>
    <n v="0"/>
    <s v="No"/>
  </r>
  <r>
    <n v="41.233333333333334"/>
    <d v="2013-12-11T00:00:00"/>
    <x v="7"/>
    <s v="WPN"/>
    <s v="Kachin"/>
    <s v="Momauk"/>
    <s v="Pa Kahtawng "/>
    <m/>
    <m/>
    <m/>
    <m/>
    <m/>
    <n v="417"/>
    <m/>
    <m/>
    <m/>
    <m/>
    <m/>
    <m/>
    <m/>
    <m/>
    <m/>
    <m/>
    <m/>
    <n v="0"/>
    <n v="0"/>
    <n v="0"/>
    <n v="0"/>
    <n v="0"/>
    <n v="0"/>
    <n v="0"/>
    <n v="0"/>
    <n v="0"/>
    <n v="0"/>
    <n v="0"/>
    <n v="0"/>
    <n v="0"/>
    <n v="0"/>
    <n v="0"/>
    <n v="0"/>
    <n v="0"/>
    <n v="0"/>
    <s v="MMR001CMP126"/>
    <x v="0"/>
    <x v="0"/>
    <s v="P2"/>
    <n v="0"/>
    <s v="No"/>
  </r>
  <r>
    <n v="41.166666666666664"/>
    <d v="2013-12-13T00:00:00"/>
    <x v="1"/>
    <s v="Solidarities"/>
    <s v="Kachin"/>
    <s v="Mansi"/>
    <s v="Mansi Baptist Church"/>
    <m/>
    <m/>
    <m/>
    <m/>
    <m/>
    <m/>
    <m/>
    <m/>
    <m/>
    <m/>
    <n v="13"/>
    <n v="53"/>
    <n v="132"/>
    <n v="66"/>
    <m/>
    <m/>
    <m/>
    <n v="0"/>
    <n v="0"/>
    <n v="0"/>
    <n v="0"/>
    <n v="0"/>
    <n v="0"/>
    <n v="0"/>
    <n v="0"/>
    <n v="0"/>
    <n v="0"/>
    <n v="0"/>
    <n v="0"/>
    <n v="0"/>
    <n v="0"/>
    <n v="1"/>
    <n v="0"/>
    <n v="0"/>
    <n v="0"/>
    <s v="MMR001CMP066"/>
    <x v="0"/>
    <x v="0"/>
    <s v="P4"/>
    <n v="0"/>
    <m/>
  </r>
  <r>
    <n v="41.06666666666667"/>
    <d v="2013-12-16T00:00:00"/>
    <x v="1"/>
    <s v="KBC"/>
    <s v="Kachin"/>
    <s v="Waingmaw"/>
    <s v="Waingmaw AG Church"/>
    <m/>
    <m/>
    <m/>
    <m/>
    <m/>
    <m/>
    <m/>
    <m/>
    <m/>
    <m/>
    <n v="77"/>
    <n v="153"/>
    <n v="460"/>
    <n v="230"/>
    <m/>
    <m/>
    <m/>
    <n v="0"/>
    <n v="0"/>
    <n v="0"/>
    <n v="0"/>
    <n v="0"/>
    <n v="0"/>
    <n v="0"/>
    <n v="0"/>
    <n v="0"/>
    <n v="0"/>
    <n v="0"/>
    <n v="0"/>
    <n v="0"/>
    <n v="0"/>
    <n v="1"/>
    <n v="0"/>
    <n v="0"/>
    <n v="0"/>
    <s v="MMR001CMP038"/>
    <x v="0"/>
    <x v="0"/>
    <s v="P4"/>
    <n v="0"/>
    <m/>
  </r>
  <r>
    <n v="41.033333333333331"/>
    <d v="2013-12-17T00:00:00"/>
    <x v="1"/>
    <s v="KBC"/>
    <s v="Kachin"/>
    <s v="Waingmaw"/>
    <s v="Qtr. 2 Myoma Baptist Church"/>
    <m/>
    <m/>
    <m/>
    <m/>
    <m/>
    <m/>
    <m/>
    <m/>
    <m/>
    <m/>
    <n v="73"/>
    <n v="146"/>
    <n v="438"/>
    <n v="219"/>
    <m/>
    <m/>
    <m/>
    <n v="0"/>
    <n v="0"/>
    <n v="0"/>
    <n v="0"/>
    <n v="0"/>
    <n v="0"/>
    <n v="0"/>
    <n v="0"/>
    <n v="0"/>
    <n v="0"/>
    <n v="0"/>
    <n v="0"/>
    <n v="0"/>
    <n v="0"/>
    <n v="1"/>
    <n v="0"/>
    <n v="0"/>
    <n v="0"/>
    <s v="MMR001CMP025"/>
    <x v="0"/>
    <x v="0"/>
    <s v="P4"/>
    <n v="0"/>
    <m/>
  </r>
  <r>
    <n v="41.033333333333331"/>
    <d v="2013-12-17T00:00:00"/>
    <x v="1"/>
    <s v="KBC"/>
    <s v="Kachin"/>
    <s v="Waingmaw"/>
    <s v="Shing Jai"/>
    <m/>
    <m/>
    <m/>
    <m/>
    <m/>
    <m/>
    <m/>
    <m/>
    <m/>
    <m/>
    <n v="188"/>
    <n v="343"/>
    <n v="1062"/>
    <n v="531"/>
    <m/>
    <m/>
    <m/>
    <n v="0"/>
    <n v="0"/>
    <n v="0"/>
    <n v="0"/>
    <n v="0"/>
    <n v="0"/>
    <n v="0"/>
    <n v="0"/>
    <n v="0"/>
    <n v="0"/>
    <n v="0"/>
    <n v="0"/>
    <n v="0"/>
    <n v="0"/>
    <n v="1"/>
    <n v="0"/>
    <n v="0"/>
    <n v="0"/>
    <s v="MMR001CMP041"/>
    <x v="0"/>
    <x v="0"/>
    <s v="P1"/>
    <n v="0"/>
    <m/>
  </r>
  <r>
    <n v="41"/>
    <d v="2013-12-18T00:00:00"/>
    <x v="1"/>
    <s v="KBC"/>
    <s v="Kachin"/>
    <s v="Waingmaw"/>
    <s v="Hkat Cho "/>
    <m/>
    <m/>
    <m/>
    <m/>
    <m/>
    <m/>
    <m/>
    <m/>
    <m/>
    <m/>
    <n v="134"/>
    <n v="238"/>
    <n v="744"/>
    <n v="372"/>
    <m/>
    <m/>
    <m/>
    <n v="0"/>
    <n v="0"/>
    <n v="0"/>
    <n v="0"/>
    <n v="0"/>
    <n v="0"/>
    <n v="0"/>
    <n v="0"/>
    <n v="0"/>
    <n v="0"/>
    <n v="0"/>
    <n v="0"/>
    <n v="0"/>
    <n v="0"/>
    <n v="1"/>
    <n v="0"/>
    <n v="0"/>
    <n v="0"/>
    <s v="MMR001CMP028"/>
    <x v="0"/>
    <x v="0"/>
    <s v="P4"/>
    <n v="0"/>
    <m/>
  </r>
  <r>
    <n v="41"/>
    <d v="2013-12-18T00:00:00"/>
    <x v="0"/>
    <s v="UNHCR"/>
    <s v="Kachin"/>
    <s v="Bhamo"/>
    <s v="Host Families"/>
    <m/>
    <m/>
    <m/>
    <m/>
    <n v="4"/>
    <m/>
    <m/>
    <m/>
    <m/>
    <m/>
    <m/>
    <m/>
    <m/>
    <m/>
    <m/>
    <m/>
    <m/>
    <n v="0"/>
    <n v="0"/>
    <n v="0"/>
    <n v="0"/>
    <n v="0"/>
    <n v="0"/>
    <n v="0"/>
    <n v="0"/>
    <n v="0"/>
    <n v="0"/>
    <n v="0"/>
    <n v="0"/>
    <n v="0"/>
    <n v="0"/>
    <n v="0"/>
    <n v="0"/>
    <n v="0"/>
    <n v="0"/>
    <s v="MMR001CMP163"/>
    <x v="0"/>
    <x v="0"/>
    <s v="P4"/>
    <s v=""/>
    <s v="No"/>
  </r>
  <r>
    <n v="41"/>
    <d v="2013-12-18T00:00:00"/>
    <x v="1"/>
    <s v="KBC"/>
    <s v="Kachin"/>
    <s v="Waingmaw"/>
    <s v="Mading Baptist Church"/>
    <m/>
    <m/>
    <m/>
    <m/>
    <m/>
    <m/>
    <m/>
    <m/>
    <m/>
    <m/>
    <n v="23"/>
    <n v="45"/>
    <n v="136"/>
    <n v="68"/>
    <m/>
    <m/>
    <m/>
    <n v="0"/>
    <n v="0"/>
    <n v="0"/>
    <n v="0"/>
    <n v="0"/>
    <n v="0"/>
    <n v="0"/>
    <n v="0"/>
    <n v="0"/>
    <n v="0"/>
    <n v="0"/>
    <n v="0"/>
    <n v="0"/>
    <n v="0"/>
    <n v="1"/>
    <n v="0"/>
    <n v="0"/>
    <n v="0"/>
    <s v="MMR001CMP027"/>
    <x v="0"/>
    <x v="0"/>
    <s v="P4"/>
    <n v="0"/>
    <m/>
  </r>
  <r>
    <n v="41"/>
    <d v="2013-12-18T00:00:00"/>
    <x v="1"/>
    <s v="KBC"/>
    <s v="Kachin"/>
    <s v="Waingmaw"/>
    <s v="Qtr. 3 Mu-yin  Baptist Church"/>
    <m/>
    <m/>
    <m/>
    <m/>
    <m/>
    <m/>
    <m/>
    <m/>
    <m/>
    <m/>
    <n v="30"/>
    <n v="57"/>
    <n v="174"/>
    <n v="87"/>
    <m/>
    <m/>
    <m/>
    <n v="0"/>
    <n v="0"/>
    <n v="0"/>
    <n v="0"/>
    <n v="0"/>
    <n v="0"/>
    <n v="0"/>
    <n v="0"/>
    <n v="0"/>
    <n v="0"/>
    <n v="0"/>
    <n v="0"/>
    <n v="0"/>
    <n v="0"/>
    <n v="1"/>
    <n v="0"/>
    <n v="0"/>
    <n v="0"/>
    <s v="MMR001CMP030"/>
    <x v="0"/>
    <x v="0"/>
    <s v="P4"/>
    <n v="0"/>
    <m/>
  </r>
  <r>
    <n v="40.966666666666669"/>
    <d v="2013-12-19T00:00:00"/>
    <x v="1"/>
    <s v="KBC"/>
    <s v="Kachin"/>
    <s v="Waingmaw"/>
    <s v="Maina KBC (Bawng Ring)"/>
    <m/>
    <m/>
    <m/>
    <m/>
    <m/>
    <m/>
    <m/>
    <m/>
    <m/>
    <m/>
    <n v="414"/>
    <n v="764"/>
    <n v="2356"/>
    <n v="1178"/>
    <m/>
    <m/>
    <m/>
    <n v="0"/>
    <n v="0"/>
    <n v="0"/>
    <n v="0"/>
    <n v="0"/>
    <n v="0"/>
    <n v="0"/>
    <n v="0"/>
    <n v="0"/>
    <n v="0"/>
    <n v="0"/>
    <n v="0"/>
    <n v="0"/>
    <n v="0"/>
    <n v="1"/>
    <n v="0"/>
    <n v="0"/>
    <n v="0"/>
    <s v="MMR001CMP040"/>
    <x v="0"/>
    <x v="0"/>
    <s v="P4"/>
    <n v="0"/>
    <m/>
  </r>
  <r>
    <n v="40.93333333333333"/>
    <d v="2013-12-20T00:00:00"/>
    <x v="1"/>
    <s v="KBC"/>
    <s v="Kachin"/>
    <s v="Waingmaw"/>
    <s v="Maina AG Church"/>
    <m/>
    <m/>
    <m/>
    <m/>
    <m/>
    <m/>
    <m/>
    <m/>
    <m/>
    <m/>
    <n v="141"/>
    <n v="265"/>
    <n v="812"/>
    <n v="406"/>
    <m/>
    <m/>
    <m/>
    <n v="0"/>
    <n v="0"/>
    <n v="0"/>
    <n v="0"/>
    <n v="0"/>
    <n v="0"/>
    <n v="0"/>
    <n v="0"/>
    <n v="0"/>
    <n v="0"/>
    <n v="0"/>
    <n v="0"/>
    <n v="0"/>
    <n v="0"/>
    <n v="1"/>
    <n v="0"/>
    <n v="0"/>
    <n v="0"/>
    <s v="MMR001CMP031"/>
    <x v="0"/>
    <x v="0"/>
    <s v="P4"/>
    <n v="0"/>
    <m/>
  </r>
  <r>
    <n v="40.93333333333333"/>
    <d v="2013-12-20T00:00:00"/>
    <x v="1"/>
    <s v="KBC"/>
    <s v="Kachin"/>
    <s v="Waingmaw"/>
    <s v="Maina Lawang Baptist Church"/>
    <m/>
    <m/>
    <m/>
    <m/>
    <m/>
    <m/>
    <m/>
    <m/>
    <m/>
    <m/>
    <n v="47"/>
    <n v="85"/>
    <n v="264"/>
    <n v="132"/>
    <m/>
    <m/>
    <m/>
    <n v="0"/>
    <n v="0"/>
    <n v="0"/>
    <n v="0"/>
    <n v="0"/>
    <n v="0"/>
    <n v="0"/>
    <n v="0"/>
    <n v="0"/>
    <n v="0"/>
    <n v="0"/>
    <n v="0"/>
    <n v="0"/>
    <n v="0"/>
    <n v="1"/>
    <n v="0"/>
    <n v="0"/>
    <n v="0"/>
    <s v="MMR001CMP039"/>
    <x v="0"/>
    <x v="0"/>
    <s v="P4"/>
    <n v="0"/>
    <m/>
  </r>
  <r>
    <n v="40.93333333333333"/>
    <d v="2013-12-20T00:00:00"/>
    <x v="1"/>
    <s v="KBC"/>
    <s v="Kachin"/>
    <s v="Waingmaw"/>
    <s v="Qtr. 4 Monestry (Thargaya Thayett Taw)"/>
    <m/>
    <m/>
    <m/>
    <m/>
    <m/>
    <m/>
    <m/>
    <m/>
    <m/>
    <m/>
    <n v="102"/>
    <n v="188"/>
    <n v="580"/>
    <n v="290"/>
    <m/>
    <m/>
    <m/>
    <n v="0"/>
    <n v="0"/>
    <n v="0"/>
    <n v="0"/>
    <n v="0"/>
    <n v="0"/>
    <n v="0"/>
    <n v="0"/>
    <n v="0"/>
    <n v="0"/>
    <n v="0"/>
    <n v="0"/>
    <n v="0"/>
    <n v="0"/>
    <n v="1"/>
    <n v="0"/>
    <n v="0"/>
    <n v="0"/>
    <s v="MMR001CMP026"/>
    <x v="0"/>
    <x v="0"/>
    <s v="P4"/>
    <n v="0"/>
    <m/>
  </r>
  <r>
    <n v="40.9"/>
    <d v="2013-12-21T00:00:00"/>
    <x v="1"/>
    <s v="KBC"/>
    <s v="Kachin"/>
    <s v="Waingmaw"/>
    <s v="Thargaya Lisu Baptist Church"/>
    <m/>
    <m/>
    <m/>
    <m/>
    <m/>
    <m/>
    <m/>
    <m/>
    <m/>
    <m/>
    <n v="75"/>
    <n v="139"/>
    <n v="428"/>
    <n v="214"/>
    <m/>
    <m/>
    <m/>
    <n v="0"/>
    <n v="0"/>
    <n v="0"/>
    <n v="0"/>
    <n v="0"/>
    <n v="0"/>
    <n v="0"/>
    <n v="0"/>
    <n v="0"/>
    <n v="0"/>
    <n v="0"/>
    <n v="0"/>
    <n v="0"/>
    <n v="0"/>
    <n v="1"/>
    <n v="0"/>
    <n v="0"/>
    <n v="0"/>
    <s v="MMR001CMP037"/>
    <x v="0"/>
    <x v="0"/>
    <s v="P4"/>
    <n v="0"/>
    <m/>
  </r>
  <r>
    <n v="40.833333333333336"/>
    <d v="2013-12-23T00:00:00"/>
    <x v="0"/>
    <s v="UNHCR"/>
    <s v="Kachin"/>
    <s v="Bhamo"/>
    <s v="AD-2000 Tharthana Compound"/>
    <m/>
    <m/>
    <n v="10"/>
    <n v="10"/>
    <n v="7"/>
    <n v="10"/>
    <n v="7"/>
    <n v="7"/>
    <m/>
    <m/>
    <m/>
    <m/>
    <m/>
    <m/>
    <m/>
    <m/>
    <m/>
    <n v="0"/>
    <n v="0"/>
    <n v="0"/>
    <n v="0"/>
    <n v="0"/>
    <n v="0"/>
    <n v="0"/>
    <n v="0"/>
    <n v="0"/>
    <n v="0"/>
    <n v="0"/>
    <n v="0"/>
    <n v="0"/>
    <n v="0"/>
    <n v="0"/>
    <n v="0"/>
    <n v="0"/>
    <n v="0"/>
    <s v="MMR001CMP050"/>
    <x v="0"/>
    <x v="0"/>
    <s v="P4"/>
    <n v="1.7136701919310616E-4"/>
    <s v="No"/>
  </r>
  <r>
    <n v="40.833333333333336"/>
    <d v="2013-12-23T00:00:00"/>
    <x v="1"/>
    <s v="KBC"/>
    <s v="Kachin"/>
    <s v="Waingmaw"/>
    <s v="IDP Boarding School, A Len Bum"/>
    <m/>
    <m/>
    <m/>
    <m/>
    <m/>
    <m/>
    <m/>
    <m/>
    <m/>
    <m/>
    <n v="2"/>
    <n v="111"/>
    <n v="226"/>
    <n v="113"/>
    <m/>
    <m/>
    <m/>
    <n v="0"/>
    <n v="0"/>
    <n v="0"/>
    <n v="0"/>
    <n v="0"/>
    <n v="0"/>
    <n v="0"/>
    <n v="0"/>
    <n v="0"/>
    <n v="0"/>
    <n v="0"/>
    <n v="0"/>
    <n v="0"/>
    <n v="0"/>
    <n v="1"/>
    <n v="0"/>
    <n v="0"/>
    <n v="0"/>
    <s v="MMR001CMP208"/>
    <x v="0"/>
    <x v="0"/>
    <s v="P2"/>
    <s v=""/>
    <m/>
  </r>
  <r>
    <n v="40.833333333333336"/>
    <d v="2013-12-23T00:00:00"/>
    <x v="1"/>
    <s v="KBC"/>
    <s v="Kachin"/>
    <s v="Waingmaw"/>
    <s v="Qtr. 2 Lhaovo Baptist Church"/>
    <m/>
    <m/>
    <m/>
    <m/>
    <m/>
    <m/>
    <m/>
    <m/>
    <m/>
    <m/>
    <n v="59"/>
    <n v="196"/>
    <n v="510"/>
    <n v="255"/>
    <m/>
    <m/>
    <m/>
    <n v="0"/>
    <n v="0"/>
    <n v="0"/>
    <n v="0"/>
    <n v="0"/>
    <n v="0"/>
    <n v="0"/>
    <n v="0"/>
    <n v="0"/>
    <n v="0"/>
    <n v="0"/>
    <n v="0"/>
    <n v="0"/>
    <n v="0"/>
    <n v="1"/>
    <n v="0"/>
    <n v="0"/>
    <n v="0"/>
    <s v="MMR001CMP032"/>
    <x v="0"/>
    <x v="0"/>
    <s v="P4"/>
    <n v="0"/>
    <m/>
  </r>
  <r>
    <n v="40.533333333333331"/>
    <d v="2014-01-01T00:00:00"/>
    <x v="8"/>
    <s v="MRCS"/>
    <s v="Kachin"/>
    <s v="Mogaung"/>
    <s v="Mang Hawng Baptist Church"/>
    <m/>
    <m/>
    <m/>
    <m/>
    <m/>
    <m/>
    <n v="14"/>
    <m/>
    <m/>
    <m/>
    <m/>
    <m/>
    <m/>
    <m/>
    <m/>
    <m/>
    <m/>
    <n v="0"/>
    <n v="0"/>
    <n v="0"/>
    <n v="0"/>
    <n v="0"/>
    <n v="0"/>
    <n v="0"/>
    <n v="0"/>
    <n v="0"/>
    <n v="0"/>
    <n v="0"/>
    <n v="0"/>
    <n v="0"/>
    <n v="0"/>
    <n v="0"/>
    <n v="0"/>
    <n v="0"/>
    <n v="0"/>
    <s v="MMR001CMP077"/>
    <x v="0"/>
    <x v="0"/>
    <s v="P4"/>
    <n v="3.4121374603948332E-4"/>
    <s v="No"/>
  </r>
  <r>
    <n v="40.533333333333331"/>
    <d v="2014-01-01T00:00:00"/>
    <x v="8"/>
    <s v="MRCS"/>
    <s v="Kachin"/>
    <s v="Mogaung"/>
    <s v="Nat Gyi Kone Baptist Church "/>
    <m/>
    <m/>
    <m/>
    <m/>
    <m/>
    <m/>
    <n v="13"/>
    <m/>
    <m/>
    <m/>
    <m/>
    <m/>
    <m/>
    <m/>
    <m/>
    <m/>
    <m/>
    <n v="0"/>
    <n v="0"/>
    <n v="0"/>
    <n v="0"/>
    <n v="0"/>
    <n v="0"/>
    <n v="0"/>
    <n v="0"/>
    <n v="0"/>
    <n v="0"/>
    <n v="0"/>
    <n v="0"/>
    <n v="0"/>
    <n v="0"/>
    <n v="0"/>
    <n v="0"/>
    <n v="0"/>
    <n v="0"/>
    <s v="MMR001CMP079"/>
    <x v="0"/>
    <x v="0"/>
    <s v="P4"/>
    <n v="3.1731309038541335E-4"/>
    <s v="No"/>
  </r>
  <r>
    <n v="40.533333333333331"/>
    <d v="2014-01-01T00:00:00"/>
    <x v="8"/>
    <s v="MRCS"/>
    <s v="Kachin"/>
    <s v="Mohnyin"/>
    <s v="Nant Mun"/>
    <m/>
    <m/>
    <m/>
    <m/>
    <m/>
    <m/>
    <n v="12"/>
    <m/>
    <m/>
    <m/>
    <m/>
    <m/>
    <m/>
    <m/>
    <m/>
    <m/>
    <m/>
    <n v="0"/>
    <n v="0"/>
    <n v="0"/>
    <n v="0"/>
    <n v="0"/>
    <n v="0"/>
    <n v="0"/>
    <n v="0"/>
    <n v="0"/>
    <n v="0"/>
    <n v="0"/>
    <n v="0"/>
    <n v="0"/>
    <n v="0"/>
    <n v="0"/>
    <n v="0"/>
    <n v="0"/>
    <n v="0"/>
    <s v="MMR001CMP081"/>
    <x v="0"/>
    <x v="1"/>
    <s v="P4"/>
    <n v="2.9290439112499695E-4"/>
    <s v="No"/>
  </r>
  <r>
    <n v="40.533333333333331"/>
    <d v="2014-01-01T00:00:00"/>
    <x v="8"/>
    <s v="MRCS"/>
    <s v="Kachin"/>
    <s v="Chipwi"/>
    <s v="Pan Wa"/>
    <m/>
    <m/>
    <m/>
    <m/>
    <m/>
    <m/>
    <n v="92"/>
    <m/>
    <m/>
    <m/>
    <m/>
    <m/>
    <m/>
    <m/>
    <m/>
    <m/>
    <m/>
    <n v="0"/>
    <n v="0"/>
    <n v="0"/>
    <n v="0"/>
    <n v="0"/>
    <n v="0"/>
    <n v="0"/>
    <n v="0"/>
    <n v="0"/>
    <n v="0"/>
    <n v="0"/>
    <n v="0"/>
    <n v="0"/>
    <n v="0"/>
    <n v="0"/>
    <n v="0"/>
    <n v="0"/>
    <n v="0"/>
    <s v="MMR001CMP210"/>
    <x v="0"/>
    <x v="0"/>
    <s v="P1"/>
    <n v="2.2389330997055318E-3"/>
    <s v="No"/>
  </r>
  <r>
    <n v="40.333333333333336"/>
    <d v="2014-01-07T00:00:00"/>
    <x v="0"/>
    <s v="UNHCR"/>
    <s v="Kachin"/>
    <s v="Bhamo"/>
    <s v="Robert Church"/>
    <m/>
    <m/>
    <m/>
    <n v="44"/>
    <n v="30"/>
    <n v="44"/>
    <n v="20"/>
    <n v="20"/>
    <m/>
    <m/>
    <m/>
    <m/>
    <m/>
    <m/>
    <m/>
    <m/>
    <m/>
    <n v="0"/>
    <n v="0"/>
    <n v="0"/>
    <n v="0"/>
    <n v="0"/>
    <n v="0"/>
    <n v="0"/>
    <n v="0"/>
    <n v="0"/>
    <n v="0"/>
    <n v="0"/>
    <n v="0"/>
    <n v="0"/>
    <n v="0"/>
    <n v="0"/>
    <n v="0"/>
    <n v="0"/>
    <n v="0"/>
    <s v="MMR001CMP047"/>
    <x v="0"/>
    <x v="0"/>
    <s v="P4"/>
    <n v="4.9109883364027013E-4"/>
    <s v="No"/>
  </r>
  <r>
    <n v="40.200000000000003"/>
    <d v="2014-01-11T00:00:00"/>
    <x v="0"/>
    <m/>
    <s v="Kachin"/>
    <s v="Bhamo"/>
    <s v="Phan Khar Kone"/>
    <m/>
    <m/>
    <m/>
    <m/>
    <n v="10"/>
    <m/>
    <m/>
    <m/>
    <m/>
    <m/>
    <m/>
    <m/>
    <m/>
    <m/>
    <m/>
    <m/>
    <m/>
    <n v="0"/>
    <n v="0"/>
    <n v="0"/>
    <n v="0"/>
    <n v="0"/>
    <n v="0"/>
    <n v="0"/>
    <n v="0"/>
    <n v="0"/>
    <n v="0"/>
    <n v="0"/>
    <n v="0"/>
    <n v="0"/>
    <n v="0"/>
    <n v="0"/>
    <n v="0"/>
    <n v="0"/>
    <n v="0"/>
    <s v="MMR001CMP193"/>
    <x v="0"/>
    <x v="0"/>
    <s v="P4"/>
    <n v="0"/>
    <m/>
  </r>
  <r>
    <n v="40.166666666666664"/>
    <d v="2014-01-12T00:00:00"/>
    <x v="2"/>
    <s v="KMSS"/>
    <s v="Kachin"/>
    <s v="Momauk"/>
    <s v="Dum Bung "/>
    <m/>
    <m/>
    <m/>
    <m/>
    <m/>
    <m/>
    <m/>
    <n v="125"/>
    <m/>
    <m/>
    <m/>
    <m/>
    <m/>
    <m/>
    <m/>
    <m/>
    <m/>
    <n v="0"/>
    <n v="0"/>
    <n v="0"/>
    <n v="0"/>
    <n v="0"/>
    <n v="0"/>
    <n v="0"/>
    <n v="0"/>
    <n v="0"/>
    <n v="0"/>
    <n v="0"/>
    <n v="0"/>
    <n v="0"/>
    <n v="0"/>
    <n v="0"/>
    <n v="0"/>
    <n v="0"/>
    <n v="0"/>
    <s v="MMR001CMP123"/>
    <x v="0"/>
    <x v="0"/>
    <s v="P2"/>
    <n v="0"/>
    <s v="No"/>
  </r>
  <r>
    <n v="40.266666666666666"/>
    <d v="2014-01-09T00:00:00"/>
    <x v="1"/>
    <s v="KBC"/>
    <s v="Kachin"/>
    <s v="Mansi"/>
    <s v="IDPs scattered in South Mansi"/>
    <m/>
    <m/>
    <m/>
    <m/>
    <m/>
    <m/>
    <m/>
    <m/>
    <m/>
    <m/>
    <n v="142"/>
    <n v="284"/>
    <n v="852"/>
    <n v="426"/>
    <m/>
    <m/>
    <m/>
    <n v="0"/>
    <n v="0"/>
    <n v="0"/>
    <n v="0"/>
    <n v="0"/>
    <n v="0"/>
    <n v="0"/>
    <n v="0"/>
    <n v="0"/>
    <n v="0"/>
    <n v="0"/>
    <n v="0"/>
    <n v="0"/>
    <n v="0"/>
    <n v="1"/>
    <n v="0"/>
    <n v="0"/>
    <n v="0"/>
    <s v="MMR001CMP217"/>
    <x v="0"/>
    <x v="1"/>
    <s v=""/>
    <s v=""/>
    <m/>
  </r>
  <r>
    <n v="40.166666666666664"/>
    <d v="2014-01-12T00:00:00"/>
    <x v="2"/>
    <s v="KMSS"/>
    <s v="Kachin"/>
    <s v="Momauk"/>
    <s v="Dum Bung "/>
    <m/>
    <m/>
    <m/>
    <m/>
    <m/>
    <m/>
    <m/>
    <m/>
    <m/>
    <m/>
    <n v="393"/>
    <n v="232"/>
    <m/>
    <m/>
    <m/>
    <m/>
    <m/>
    <n v="0"/>
    <n v="0"/>
    <n v="0"/>
    <n v="0"/>
    <n v="0"/>
    <n v="0"/>
    <n v="0"/>
    <n v="0"/>
    <n v="0"/>
    <n v="0"/>
    <n v="0"/>
    <n v="0"/>
    <n v="0"/>
    <n v="0"/>
    <n v="1"/>
    <n v="0"/>
    <n v="0"/>
    <n v="0"/>
    <s v="MMR001CMP123"/>
    <x v="0"/>
    <x v="0"/>
    <s v="P2"/>
    <n v="0"/>
    <s v="No"/>
  </r>
  <r>
    <n v="40.1"/>
    <d v="2014-01-14T00:00:00"/>
    <x v="2"/>
    <s v="KMSS"/>
    <s v="Kachin"/>
    <s v="Waingmaw"/>
    <s v="Border Post 8"/>
    <m/>
    <m/>
    <m/>
    <m/>
    <m/>
    <m/>
    <m/>
    <n v="180"/>
    <m/>
    <m/>
    <m/>
    <m/>
    <m/>
    <m/>
    <m/>
    <m/>
    <m/>
    <n v="0"/>
    <n v="0"/>
    <n v="0"/>
    <n v="0"/>
    <n v="0"/>
    <n v="0"/>
    <n v="0"/>
    <n v="0"/>
    <n v="0"/>
    <n v="0"/>
    <n v="0"/>
    <n v="0"/>
    <n v="0"/>
    <n v="0"/>
    <n v="0"/>
    <n v="0"/>
    <n v="0"/>
    <n v="0"/>
    <s v="MMR001CMP113"/>
    <x v="0"/>
    <x v="0"/>
    <s v="P1"/>
    <n v="0"/>
    <s v="No"/>
  </r>
  <r>
    <n v="40.1"/>
    <d v="2014-01-14T00:00:00"/>
    <x v="2"/>
    <s v="KMSS"/>
    <s v="Kachin"/>
    <s v="Waingmaw"/>
    <s v="Border Post 8"/>
    <m/>
    <m/>
    <m/>
    <m/>
    <m/>
    <m/>
    <m/>
    <m/>
    <m/>
    <m/>
    <n v="501"/>
    <n v="335"/>
    <m/>
    <m/>
    <m/>
    <m/>
    <m/>
    <n v="0"/>
    <n v="0"/>
    <n v="0"/>
    <n v="0"/>
    <n v="0"/>
    <n v="0"/>
    <n v="0"/>
    <n v="0"/>
    <n v="0"/>
    <n v="0"/>
    <n v="0"/>
    <n v="0"/>
    <n v="0"/>
    <n v="0"/>
    <n v="1"/>
    <n v="0"/>
    <n v="0"/>
    <n v="0"/>
    <s v="MMR001CMP113"/>
    <x v="0"/>
    <x v="0"/>
    <s v="P1"/>
    <n v="0"/>
    <s v="No"/>
  </r>
  <r>
    <n v="40.1"/>
    <d v="2014-01-14T00:00:00"/>
    <x v="0"/>
    <s v="UNHCR"/>
    <s v="Kachin"/>
    <s v="Mansi"/>
    <s v="Lana Zup Ja "/>
    <m/>
    <m/>
    <m/>
    <n v="140"/>
    <n v="70"/>
    <n v="140"/>
    <n v="70"/>
    <m/>
    <n v="70"/>
    <n v="350"/>
    <m/>
    <m/>
    <m/>
    <m/>
    <m/>
    <m/>
    <m/>
    <n v="0"/>
    <n v="0"/>
    <n v="0"/>
    <n v="0"/>
    <n v="0"/>
    <n v="0"/>
    <n v="0"/>
    <n v="0"/>
    <n v="0"/>
    <n v="0"/>
    <n v="0"/>
    <n v="0"/>
    <n v="0"/>
    <n v="0"/>
    <n v="0"/>
    <n v="0"/>
    <n v="0"/>
    <n v="0"/>
    <s v="MMR001CMP128"/>
    <x v="0"/>
    <x v="0"/>
    <s v="P2"/>
    <n v="1.7149717029669011E-3"/>
    <s v="No"/>
  </r>
  <r>
    <n v="40.033333333333331"/>
    <d v="2014-01-16T00:00:00"/>
    <x v="0"/>
    <s v="UNHCR"/>
    <s v="Kachin"/>
    <s v="Mansi"/>
    <s v="Bum Tsit Pa "/>
    <m/>
    <m/>
    <m/>
    <n v="45"/>
    <n v="30"/>
    <n v="45"/>
    <n v="30"/>
    <m/>
    <n v="30"/>
    <n v="150"/>
    <m/>
    <m/>
    <m/>
    <m/>
    <m/>
    <m/>
    <m/>
    <n v="0"/>
    <n v="0"/>
    <n v="0"/>
    <n v="0"/>
    <n v="0"/>
    <n v="0"/>
    <n v="0"/>
    <n v="0"/>
    <n v="0"/>
    <n v="0"/>
    <n v="0"/>
    <n v="0"/>
    <n v="0"/>
    <n v="0"/>
    <n v="0"/>
    <n v="0"/>
    <n v="0"/>
    <n v="0"/>
    <s v="MMR001CMP129"/>
    <x v="0"/>
    <x v="0"/>
    <s v="P2"/>
    <n v="7.3498787270010043E-4"/>
    <s v="No"/>
  </r>
  <r>
    <n v="40.033333333333331"/>
    <d v="2014-01-16T00:00:00"/>
    <x v="2"/>
    <s v="KMSS"/>
    <s v="Kachin"/>
    <s v="Waingmaw"/>
    <s v="Maga Yang "/>
    <m/>
    <m/>
    <m/>
    <m/>
    <m/>
    <m/>
    <m/>
    <n v="600"/>
    <m/>
    <m/>
    <m/>
    <m/>
    <m/>
    <m/>
    <m/>
    <m/>
    <m/>
    <n v="0"/>
    <n v="0"/>
    <n v="0"/>
    <n v="0"/>
    <n v="0"/>
    <n v="0"/>
    <n v="0"/>
    <n v="0"/>
    <n v="0"/>
    <n v="0"/>
    <n v="0"/>
    <n v="0"/>
    <n v="0"/>
    <n v="0"/>
    <n v="0"/>
    <n v="0"/>
    <n v="0"/>
    <n v="0"/>
    <s v="MMR001CMP119"/>
    <x v="0"/>
    <x v="0"/>
    <s v="P2"/>
    <n v="0"/>
    <s v="No"/>
  </r>
  <r>
    <n v="39.9"/>
    <d v="2014-01-20T00:00:00"/>
    <x v="2"/>
    <s v="KMSS"/>
    <s v="Kachin"/>
    <s v="Waingmaw"/>
    <s v="Maga Yang "/>
    <m/>
    <m/>
    <m/>
    <m/>
    <m/>
    <m/>
    <m/>
    <m/>
    <m/>
    <m/>
    <n v="1497"/>
    <n v="925"/>
    <m/>
    <m/>
    <m/>
    <m/>
    <m/>
    <n v="0"/>
    <n v="0"/>
    <n v="0"/>
    <n v="0"/>
    <n v="0"/>
    <n v="0"/>
    <n v="0"/>
    <n v="0"/>
    <n v="0"/>
    <n v="0"/>
    <n v="0"/>
    <n v="0"/>
    <n v="0"/>
    <n v="0"/>
    <n v="1"/>
    <n v="0"/>
    <n v="0"/>
    <n v="0"/>
    <s v="MMR001CMP119"/>
    <x v="0"/>
    <x v="0"/>
    <s v="P2"/>
    <n v="0"/>
    <s v="No"/>
  </r>
  <r>
    <n v="39.9"/>
    <d v="2014-01-20T00:00:00"/>
    <x v="2"/>
    <s v="KMSS"/>
    <s v="Kachin"/>
    <s v="Waingmaw"/>
    <s v="Post 6 Camp"/>
    <m/>
    <m/>
    <m/>
    <m/>
    <m/>
    <m/>
    <m/>
    <n v="127"/>
    <m/>
    <m/>
    <m/>
    <m/>
    <m/>
    <m/>
    <m/>
    <m/>
    <m/>
    <n v="0"/>
    <n v="0"/>
    <n v="0"/>
    <n v="0"/>
    <n v="0"/>
    <n v="0"/>
    <n v="0"/>
    <n v="0"/>
    <n v="0"/>
    <n v="0"/>
    <n v="0"/>
    <n v="0"/>
    <n v="0"/>
    <n v="0"/>
    <n v="0"/>
    <n v="0"/>
    <n v="0"/>
    <n v="0"/>
    <s v="MMR001CMP160"/>
    <x v="0"/>
    <x v="0"/>
    <s v="P1"/>
    <n v="0"/>
    <s v="No"/>
  </r>
  <r>
    <n v="39.9"/>
    <d v="2014-01-20T00:00:00"/>
    <x v="9"/>
    <s v="MRCS"/>
    <s v="Kachin"/>
    <s v="Machanbaw"/>
    <s v="Machanbaw - KBC"/>
    <m/>
    <m/>
    <m/>
    <n v="8"/>
    <n v="16"/>
    <n v="16"/>
    <n v="8"/>
    <m/>
    <m/>
    <m/>
    <n v="19"/>
    <n v="9"/>
    <m/>
    <m/>
    <m/>
    <m/>
    <m/>
    <n v="0"/>
    <n v="0"/>
    <n v="0"/>
    <n v="0"/>
    <n v="0"/>
    <n v="0"/>
    <n v="0"/>
    <n v="0"/>
    <n v="0"/>
    <n v="0"/>
    <n v="0"/>
    <n v="0"/>
    <n v="0"/>
    <n v="0"/>
    <n v="1"/>
    <n v="0"/>
    <n v="0"/>
    <n v="0"/>
    <s v="MMR001CMP221"/>
    <x v="0"/>
    <x v="1"/>
    <s v="P3"/>
    <n v="1.9268750903222699E-4"/>
    <m/>
  </r>
  <r>
    <n v="39.9"/>
    <d v="2014-01-20T00:00:00"/>
    <x v="9"/>
    <s v="MRCS"/>
    <s v="Kachin"/>
    <s v="Puta-O"/>
    <s v="Naung Khaing"/>
    <m/>
    <m/>
    <m/>
    <n v="17"/>
    <n v="34"/>
    <n v="34"/>
    <n v="17"/>
    <m/>
    <m/>
    <m/>
    <n v="31"/>
    <n v="28"/>
    <m/>
    <m/>
    <m/>
    <m/>
    <m/>
    <n v="0"/>
    <n v="0"/>
    <n v="0"/>
    <n v="0"/>
    <n v="0"/>
    <n v="0"/>
    <n v="0"/>
    <n v="0"/>
    <n v="0"/>
    <n v="0"/>
    <n v="0"/>
    <n v="0"/>
    <n v="0"/>
    <n v="0"/>
    <n v="1"/>
    <n v="0"/>
    <n v="0"/>
    <n v="0"/>
    <s v="MMR001CMP220"/>
    <x v="0"/>
    <x v="1"/>
    <s v="P3"/>
    <n v="4.0976691493720927E-4"/>
    <m/>
  </r>
  <r>
    <n v="39.9"/>
    <d v="2014-01-20T00:00:00"/>
    <x v="2"/>
    <s v="KMSS"/>
    <s v="Kachin"/>
    <s v="Waingmaw"/>
    <s v="Post 6 Camp"/>
    <m/>
    <m/>
    <m/>
    <m/>
    <m/>
    <m/>
    <m/>
    <m/>
    <m/>
    <m/>
    <n v="443"/>
    <n v="218"/>
    <m/>
    <m/>
    <m/>
    <m/>
    <m/>
    <n v="0"/>
    <n v="0"/>
    <n v="0"/>
    <n v="0"/>
    <n v="0"/>
    <n v="0"/>
    <n v="0"/>
    <n v="0"/>
    <n v="0"/>
    <n v="0"/>
    <n v="0"/>
    <n v="0"/>
    <n v="0"/>
    <n v="0"/>
    <n v="1"/>
    <n v="0"/>
    <n v="0"/>
    <n v="0"/>
    <s v="MMR001CMP160"/>
    <x v="0"/>
    <x v="0"/>
    <s v="P1"/>
    <n v="0"/>
    <s v="No"/>
  </r>
  <r>
    <n v="39.9"/>
    <d v="2014-01-20T00:00:00"/>
    <x v="9"/>
    <s v="MRCS"/>
    <s v="Kachin"/>
    <s v="Puta-O"/>
    <s v="Tote Tan Ward"/>
    <m/>
    <m/>
    <m/>
    <n v="18"/>
    <n v="36"/>
    <n v="36"/>
    <n v="18"/>
    <m/>
    <m/>
    <m/>
    <n v="53"/>
    <n v="42"/>
    <m/>
    <m/>
    <m/>
    <m/>
    <m/>
    <n v="0"/>
    <n v="0"/>
    <n v="0"/>
    <n v="0"/>
    <n v="0"/>
    <n v="0"/>
    <n v="0"/>
    <n v="0"/>
    <n v="0"/>
    <n v="0"/>
    <n v="0"/>
    <n v="0"/>
    <n v="0"/>
    <n v="0"/>
    <n v="1"/>
    <n v="0"/>
    <n v="0"/>
    <n v="0"/>
    <s v="MMR001CMP075"/>
    <x v="0"/>
    <x v="0"/>
    <s v="P3"/>
    <s v=""/>
    <m/>
  </r>
  <r>
    <n v="39.766666666666666"/>
    <d v="2014-01-24T00:00:00"/>
    <x v="2"/>
    <m/>
    <s v="Kachin"/>
    <s v="Mansi"/>
    <s v="Bum Tsit Pa "/>
    <m/>
    <m/>
    <m/>
    <m/>
    <m/>
    <m/>
    <m/>
    <m/>
    <m/>
    <m/>
    <m/>
    <n v="838"/>
    <m/>
    <m/>
    <m/>
    <m/>
    <m/>
    <n v="0"/>
    <n v="0"/>
    <n v="0"/>
    <n v="0"/>
    <n v="0"/>
    <n v="0"/>
    <n v="0"/>
    <n v="0"/>
    <n v="0"/>
    <n v="0"/>
    <n v="0"/>
    <n v="0"/>
    <n v="0"/>
    <n v="0"/>
    <n v="1"/>
    <n v="0"/>
    <n v="0"/>
    <n v="0"/>
    <s v="MMR001CMP129"/>
    <x v="0"/>
    <x v="0"/>
    <s v="P2"/>
    <n v="0"/>
    <s v="No"/>
  </r>
  <r>
    <n v="39.766666666666666"/>
    <d v="2014-01-24T00:00:00"/>
    <x v="0"/>
    <s v="UNHCR"/>
    <s v="Kachin"/>
    <s v="Momauk"/>
    <s v="Pa Kahtawng "/>
    <m/>
    <m/>
    <m/>
    <n v="60"/>
    <n v="30"/>
    <n v="60"/>
    <n v="30"/>
    <m/>
    <n v="30"/>
    <n v="150"/>
    <m/>
    <m/>
    <m/>
    <m/>
    <m/>
    <m/>
    <m/>
    <n v="0"/>
    <n v="0"/>
    <n v="0"/>
    <n v="0"/>
    <n v="0"/>
    <n v="0"/>
    <n v="0"/>
    <n v="0"/>
    <n v="0"/>
    <n v="0"/>
    <n v="0"/>
    <n v="0"/>
    <n v="0"/>
    <n v="0"/>
    <n v="0"/>
    <n v="0"/>
    <n v="0"/>
    <n v="0"/>
    <s v="MMR001CMP126"/>
    <x v="0"/>
    <x v="0"/>
    <s v="P2"/>
    <n v="7.3170731707317073E-4"/>
    <s v="No"/>
  </r>
  <r>
    <n v="39.733333333333334"/>
    <d v="2014-01-25T00:00:00"/>
    <x v="0"/>
    <s v="UNHCR"/>
    <s v="Kachin"/>
    <s v="Momauk"/>
    <s v="Dum Bung "/>
    <m/>
    <m/>
    <m/>
    <n v="62"/>
    <n v="31"/>
    <n v="62"/>
    <n v="31"/>
    <m/>
    <n v="31"/>
    <n v="155"/>
    <m/>
    <m/>
    <m/>
    <m/>
    <m/>
    <m/>
    <m/>
    <n v="0"/>
    <n v="0"/>
    <n v="0"/>
    <n v="0"/>
    <n v="0"/>
    <n v="0"/>
    <n v="0"/>
    <n v="0"/>
    <n v="0"/>
    <n v="0"/>
    <n v="0"/>
    <n v="0"/>
    <n v="0"/>
    <n v="0"/>
    <n v="0"/>
    <n v="0"/>
    <n v="0"/>
    <n v="0"/>
    <s v="MMR001CMP123"/>
    <x v="0"/>
    <x v="0"/>
    <s v="P2"/>
    <n v="7.6062420257140052E-4"/>
    <s v="No"/>
  </r>
  <r>
    <n v="39.733333333333334"/>
    <d v="2014-01-25T00:00:00"/>
    <x v="10"/>
    <s v="KBC"/>
    <s v="Kachin"/>
    <s v="Waingmaw"/>
    <s v="Pajau - Jan Mai"/>
    <m/>
    <m/>
    <m/>
    <m/>
    <m/>
    <n v="191"/>
    <n v="191"/>
    <n v="191"/>
    <m/>
    <n v="191"/>
    <m/>
    <m/>
    <m/>
    <m/>
    <m/>
    <m/>
    <m/>
    <n v="0"/>
    <n v="0"/>
    <n v="0"/>
    <n v="0"/>
    <n v="0"/>
    <n v="0"/>
    <n v="0"/>
    <n v="0"/>
    <n v="0"/>
    <n v="0"/>
    <n v="0"/>
    <n v="0"/>
    <n v="0"/>
    <n v="0"/>
    <n v="0"/>
    <n v="0"/>
    <n v="0"/>
    <n v="0"/>
    <s v="MMR001CMP120"/>
    <x v="0"/>
    <x v="0"/>
    <s v="P1"/>
    <n v="4.6899938612645796E-3"/>
    <s v="No"/>
  </r>
  <r>
    <n v="39.733333333333334"/>
    <d v="2014-01-25T00:00:00"/>
    <x v="10"/>
    <s v="KBC"/>
    <s v="Kachin"/>
    <s v="Waingmaw"/>
    <s v="Shing Jai"/>
    <m/>
    <m/>
    <m/>
    <m/>
    <m/>
    <n v="198"/>
    <n v="198"/>
    <n v="198"/>
    <m/>
    <n v="198"/>
    <m/>
    <m/>
    <m/>
    <m/>
    <m/>
    <m/>
    <m/>
    <n v="0"/>
    <n v="0"/>
    <n v="0"/>
    <n v="0"/>
    <n v="0"/>
    <n v="0"/>
    <n v="0"/>
    <n v="0"/>
    <n v="0"/>
    <n v="0"/>
    <n v="0"/>
    <n v="0"/>
    <n v="0"/>
    <n v="0"/>
    <n v="0"/>
    <n v="0"/>
    <n v="0"/>
    <n v="0"/>
    <s v="MMR001CMP041"/>
    <x v="0"/>
    <x v="0"/>
    <s v="P1"/>
    <n v="4.847238542890717E-3"/>
    <s v="No"/>
  </r>
  <r>
    <n v="39.666666666666664"/>
    <d v="2014-01-27T00:00:00"/>
    <x v="10"/>
    <s v="KBC"/>
    <s v="Kachin"/>
    <s v="Waingmaw"/>
    <s v="Hkau Shau (BP 12)"/>
    <m/>
    <m/>
    <m/>
    <m/>
    <m/>
    <n v="181"/>
    <n v="181"/>
    <n v="181"/>
    <m/>
    <n v="181"/>
    <m/>
    <m/>
    <m/>
    <m/>
    <m/>
    <m/>
    <m/>
    <n v="0"/>
    <n v="0"/>
    <n v="0"/>
    <n v="0"/>
    <n v="0"/>
    <n v="0"/>
    <n v="0"/>
    <n v="0"/>
    <n v="0"/>
    <n v="0"/>
    <n v="0"/>
    <n v="0"/>
    <n v="0"/>
    <n v="0"/>
    <n v="0"/>
    <n v="0"/>
    <n v="0"/>
    <n v="0"/>
    <s v="MMR001CMP115"/>
    <x v="0"/>
    <x v="0"/>
    <s v="P1"/>
    <n v="4.4278095797250358E-3"/>
    <s v="No"/>
  </r>
  <r>
    <n v="39.666666666666664"/>
    <d v="2014-01-27T00:00:00"/>
    <x v="10"/>
    <s v="KBC"/>
    <s v="Kachin"/>
    <s v="Chipwi"/>
    <s v="Hpare Hkyer - BP6"/>
    <m/>
    <m/>
    <m/>
    <m/>
    <m/>
    <n v="155"/>
    <n v="155"/>
    <n v="155"/>
    <m/>
    <n v="155"/>
    <m/>
    <m/>
    <m/>
    <m/>
    <m/>
    <m/>
    <m/>
    <n v="0"/>
    <n v="0"/>
    <n v="0"/>
    <n v="0"/>
    <n v="0"/>
    <n v="0"/>
    <n v="0"/>
    <n v="0"/>
    <n v="0"/>
    <n v="0"/>
    <n v="0"/>
    <n v="0"/>
    <n v="0"/>
    <n v="0"/>
    <n v="0"/>
    <n v="0"/>
    <n v="0"/>
    <n v="0"/>
    <s v="MMR001CMP043"/>
    <x v="0"/>
    <x v="0"/>
    <s v="P1"/>
    <n v="3.777723616865708E-3"/>
    <s v="No"/>
  </r>
  <r>
    <n v="39.733333333333334"/>
    <d v="2014-01-25T00:00:00"/>
    <x v="10"/>
    <s v="KBC"/>
    <s v="Kachin"/>
    <s v="Waingmaw"/>
    <s v="Zai Awng - Mung Ga Zup"/>
    <m/>
    <m/>
    <m/>
    <m/>
    <m/>
    <n v="646"/>
    <n v="646"/>
    <n v="646"/>
    <m/>
    <n v="646"/>
    <m/>
    <m/>
    <m/>
    <m/>
    <m/>
    <m/>
    <m/>
    <n v="0"/>
    <n v="0"/>
    <n v="0"/>
    <n v="0"/>
    <n v="0"/>
    <n v="0"/>
    <n v="0"/>
    <n v="0"/>
    <n v="0"/>
    <n v="0"/>
    <n v="0"/>
    <n v="0"/>
    <n v="0"/>
    <n v="0"/>
    <n v="0"/>
    <n v="0"/>
    <n v="0"/>
    <n v="0"/>
    <s v="MMR001CMP111"/>
    <x v="0"/>
    <x v="1"/>
    <s v="P2"/>
    <n v="1.5814727771249509E-2"/>
    <s v="No"/>
  </r>
  <r>
    <n v="39.633333333333333"/>
    <d v="2014-01-28T00:00:00"/>
    <x v="0"/>
    <m/>
    <s v="Kachin"/>
    <s v="Mansi"/>
    <s v="Maing Khaung Catholic Church"/>
    <m/>
    <m/>
    <m/>
    <n v="18"/>
    <n v="10"/>
    <n v="18"/>
    <n v="40"/>
    <m/>
    <n v="10"/>
    <n v="50"/>
    <m/>
    <m/>
    <m/>
    <m/>
    <m/>
    <m/>
    <m/>
    <n v="0"/>
    <n v="0"/>
    <n v="0"/>
    <n v="0"/>
    <n v="0"/>
    <n v="0"/>
    <n v="0"/>
    <n v="0"/>
    <n v="0"/>
    <n v="0"/>
    <n v="0"/>
    <n v="0"/>
    <n v="0"/>
    <n v="0"/>
    <n v="0"/>
    <n v="0"/>
    <n v="0"/>
    <n v="0"/>
    <s v="MMR001CMP223"/>
    <x v="0"/>
    <x v="0"/>
    <s v="P4"/>
    <n v="9.6274188889958602E-4"/>
    <m/>
  </r>
  <r>
    <n v="39.6"/>
    <d v="2014-01-29T00:00:00"/>
    <x v="0"/>
    <s v="UNHCR"/>
    <s v="Kachin"/>
    <s v="Mansi"/>
    <s v="Maing Khaung"/>
    <m/>
    <m/>
    <m/>
    <n v="100"/>
    <n v="58"/>
    <n v="100"/>
    <n v="58"/>
    <m/>
    <n v="58"/>
    <n v="290"/>
    <m/>
    <m/>
    <m/>
    <m/>
    <m/>
    <m/>
    <m/>
    <n v="0"/>
    <n v="0"/>
    <n v="0"/>
    <n v="0"/>
    <n v="0"/>
    <n v="0"/>
    <n v="0"/>
    <n v="0"/>
    <n v="0"/>
    <n v="0"/>
    <n v="0"/>
    <n v="0"/>
    <n v="0"/>
    <n v="0"/>
    <n v="0"/>
    <n v="0"/>
    <n v="0"/>
    <n v="0"/>
    <s v="MMR001CMP218"/>
    <x v="0"/>
    <x v="0"/>
    <s v="P4"/>
    <n v="1.3959757389043997E-3"/>
    <s v="No"/>
  </r>
  <r>
    <n v="38.799999999999997"/>
    <d v="2014-02-22T00:00:00"/>
    <x v="11"/>
    <s v="MRCS"/>
    <s v="Kachin"/>
    <s v="Chipwi"/>
    <s v="Pan Wa"/>
    <m/>
    <m/>
    <m/>
    <m/>
    <m/>
    <m/>
    <m/>
    <m/>
    <m/>
    <m/>
    <m/>
    <m/>
    <m/>
    <n v="126"/>
    <m/>
    <m/>
    <m/>
    <n v="0"/>
    <n v="0"/>
    <n v="0"/>
    <n v="0"/>
    <n v="0"/>
    <n v="0"/>
    <n v="0"/>
    <n v="0"/>
    <n v="0"/>
    <n v="0"/>
    <n v="0"/>
    <n v="0"/>
    <n v="0"/>
    <n v="0"/>
    <n v="1"/>
    <n v="0"/>
    <n v="0"/>
    <n v="0"/>
    <s v="MMR001CMP210"/>
    <x v="0"/>
    <x v="0"/>
    <s v="P1"/>
    <n v="0"/>
    <m/>
  </r>
  <r>
    <n v="38.799999999999997"/>
    <d v="2014-02-22T00:00:00"/>
    <x v="11"/>
    <s v="MRCS"/>
    <s v="Kachin"/>
    <s v="Chipwi"/>
    <s v="Saw Zam"/>
    <m/>
    <m/>
    <m/>
    <m/>
    <m/>
    <m/>
    <m/>
    <m/>
    <m/>
    <m/>
    <m/>
    <m/>
    <m/>
    <n v="58"/>
    <m/>
    <m/>
    <m/>
    <n v="0"/>
    <n v="0"/>
    <n v="0"/>
    <n v="0"/>
    <n v="0"/>
    <n v="0"/>
    <n v="0"/>
    <n v="0"/>
    <n v="0"/>
    <n v="0"/>
    <n v="0"/>
    <n v="0"/>
    <n v="0"/>
    <n v="0"/>
    <n v="1"/>
    <n v="0"/>
    <n v="0"/>
    <n v="0"/>
    <s v="MMR001CMP225"/>
    <x v="0"/>
    <x v="0"/>
    <s v="P1"/>
    <n v="0"/>
    <m/>
  </r>
  <r>
    <n v="38.799999999999997"/>
    <d v="2014-02-22T00:00:00"/>
    <x v="11"/>
    <s v="MRCS"/>
    <s v="Kachin"/>
    <s v="Sumprabum"/>
    <s v="Sumprabum"/>
    <m/>
    <m/>
    <m/>
    <m/>
    <m/>
    <m/>
    <m/>
    <m/>
    <m/>
    <m/>
    <m/>
    <m/>
    <m/>
    <n v="16"/>
    <m/>
    <m/>
    <m/>
    <n v="0"/>
    <n v="0"/>
    <n v="0"/>
    <n v="0"/>
    <n v="0"/>
    <n v="0"/>
    <n v="0"/>
    <n v="0"/>
    <n v="0"/>
    <n v="0"/>
    <n v="0"/>
    <n v="0"/>
    <n v="0"/>
    <n v="0"/>
    <n v="1"/>
    <n v="0"/>
    <n v="0"/>
    <n v="0"/>
    <s v="MMR001CMP206"/>
    <x v="0"/>
    <x v="0"/>
    <s v="P4"/>
    <s v=""/>
    <m/>
  </r>
  <r>
    <n v="38.766666666666666"/>
    <d v="2014-02-23T00:00:00"/>
    <x v="11"/>
    <s v="MRCS"/>
    <s v="Kachin"/>
    <s v="Chipwi"/>
    <s v="Chipwi KBC camp"/>
    <m/>
    <m/>
    <m/>
    <m/>
    <m/>
    <m/>
    <m/>
    <m/>
    <m/>
    <m/>
    <m/>
    <m/>
    <m/>
    <n v="222"/>
    <m/>
    <m/>
    <m/>
    <n v="0"/>
    <n v="0"/>
    <n v="0"/>
    <n v="0"/>
    <n v="0"/>
    <n v="0"/>
    <n v="0"/>
    <n v="0"/>
    <n v="0"/>
    <n v="0"/>
    <n v="0"/>
    <n v="0"/>
    <n v="0"/>
    <n v="0"/>
    <n v="1"/>
    <n v="0"/>
    <n v="0"/>
    <n v="0"/>
    <s v="MMR001CMP042"/>
    <x v="0"/>
    <x v="0"/>
    <s v="P1"/>
    <n v="0"/>
    <m/>
  </r>
  <r>
    <n v="38.766666666666666"/>
    <d v="2014-02-23T00:00:00"/>
    <x v="11"/>
    <s v="MRCS"/>
    <s v="Kachin"/>
    <s v="Chipwi"/>
    <s v="Lhaovao Baptist Church (LBC)"/>
    <m/>
    <m/>
    <m/>
    <m/>
    <m/>
    <m/>
    <m/>
    <m/>
    <m/>
    <m/>
    <m/>
    <m/>
    <m/>
    <n v="278"/>
    <m/>
    <m/>
    <m/>
    <n v="0"/>
    <n v="0"/>
    <n v="0"/>
    <n v="0"/>
    <n v="0"/>
    <n v="0"/>
    <n v="0"/>
    <n v="0"/>
    <n v="0"/>
    <n v="0"/>
    <n v="0"/>
    <n v="0"/>
    <n v="0"/>
    <n v="0"/>
    <n v="1"/>
    <n v="0"/>
    <n v="0"/>
    <n v="0"/>
    <s v="MMR001CMP195"/>
    <x v="0"/>
    <x v="0"/>
    <s v="P1"/>
    <n v="0"/>
    <m/>
  </r>
  <r>
    <n v="38.766666666666666"/>
    <d v="2014-02-23T00:00:00"/>
    <x v="11"/>
    <s v="MRCS"/>
    <s v="Kachin"/>
    <s v="Momauk"/>
    <s v="Seng Ja "/>
    <m/>
    <m/>
    <m/>
    <m/>
    <m/>
    <m/>
    <m/>
    <m/>
    <m/>
    <m/>
    <m/>
    <m/>
    <m/>
    <n v="376"/>
    <m/>
    <m/>
    <m/>
    <n v="0"/>
    <n v="0"/>
    <n v="0"/>
    <n v="0"/>
    <n v="0"/>
    <n v="0"/>
    <n v="0"/>
    <n v="0"/>
    <n v="0"/>
    <n v="0"/>
    <n v="0"/>
    <n v="0"/>
    <n v="0"/>
    <n v="0"/>
    <n v="1"/>
    <n v="0"/>
    <n v="0"/>
    <n v="0"/>
    <s v="MMR001CMP073"/>
    <x v="0"/>
    <x v="0"/>
    <s v="P3"/>
    <n v="0"/>
    <m/>
  </r>
  <r>
    <n v="38.700000000000003"/>
    <d v="2014-02-25T00:00:00"/>
    <x v="11"/>
    <s v="MRCS"/>
    <s v="Kachin"/>
    <s v="Mogaung"/>
    <s v="Kyun Taw Baptist Church "/>
    <m/>
    <m/>
    <m/>
    <m/>
    <m/>
    <m/>
    <m/>
    <m/>
    <m/>
    <m/>
    <m/>
    <m/>
    <m/>
    <n v="26"/>
    <m/>
    <m/>
    <m/>
    <n v="0"/>
    <n v="0"/>
    <n v="0"/>
    <n v="0"/>
    <n v="0"/>
    <n v="0"/>
    <n v="0"/>
    <n v="0"/>
    <n v="0"/>
    <n v="0"/>
    <n v="0"/>
    <n v="0"/>
    <n v="0"/>
    <n v="0"/>
    <n v="1"/>
    <n v="0"/>
    <n v="0"/>
    <n v="0"/>
    <s v="MMR001CMP078"/>
    <x v="0"/>
    <x v="0"/>
    <s v="P4"/>
    <n v="0"/>
    <m/>
  </r>
  <r>
    <n v="38.700000000000003"/>
    <d v="2014-02-25T00:00:00"/>
    <x v="11"/>
    <s v="MRCS"/>
    <s v="Kachin"/>
    <s v="Mogaung"/>
    <s v="Mang Hawng Baptist Church"/>
    <m/>
    <m/>
    <m/>
    <m/>
    <m/>
    <m/>
    <m/>
    <m/>
    <m/>
    <m/>
    <m/>
    <m/>
    <m/>
    <n v="26"/>
    <m/>
    <m/>
    <m/>
    <n v="0"/>
    <n v="0"/>
    <n v="0"/>
    <n v="0"/>
    <n v="0"/>
    <n v="0"/>
    <n v="0"/>
    <n v="0"/>
    <n v="0"/>
    <n v="0"/>
    <n v="0"/>
    <n v="0"/>
    <n v="0"/>
    <n v="0"/>
    <n v="1"/>
    <n v="0"/>
    <n v="0"/>
    <n v="0"/>
    <s v="MMR001CMP077"/>
    <x v="0"/>
    <x v="0"/>
    <s v="P4"/>
    <n v="0"/>
    <m/>
  </r>
  <r>
    <n v="38.700000000000003"/>
    <d v="2014-02-25T00:00:00"/>
    <x v="11"/>
    <s v="MRCS"/>
    <s v="Kachin"/>
    <s v="Mogaung"/>
    <s v="Nat Gyi Kone Baptist Church "/>
    <m/>
    <m/>
    <m/>
    <m/>
    <m/>
    <m/>
    <m/>
    <m/>
    <m/>
    <m/>
    <m/>
    <m/>
    <m/>
    <n v="28"/>
    <m/>
    <m/>
    <m/>
    <n v="0"/>
    <n v="0"/>
    <n v="0"/>
    <n v="0"/>
    <n v="0"/>
    <n v="0"/>
    <n v="0"/>
    <n v="0"/>
    <n v="0"/>
    <n v="0"/>
    <n v="0"/>
    <n v="0"/>
    <n v="0"/>
    <n v="0"/>
    <n v="1"/>
    <n v="0"/>
    <n v="0"/>
    <n v="0"/>
    <s v="MMR001CMP079"/>
    <x v="0"/>
    <x v="0"/>
    <s v="P4"/>
    <n v="0"/>
    <m/>
  </r>
  <r>
    <n v="37.5"/>
    <d v="2014-04-02T00:00:00"/>
    <x v="0"/>
    <s v="UNHCR"/>
    <s v="Kachin"/>
    <s v="Bhamo"/>
    <s v="Mu-yin Baptist Church"/>
    <m/>
    <m/>
    <m/>
    <m/>
    <n v="1"/>
    <n v="3"/>
    <n v="2"/>
    <m/>
    <n v="3"/>
    <m/>
    <m/>
    <m/>
    <m/>
    <m/>
    <m/>
    <m/>
    <m/>
    <n v="0"/>
    <n v="0"/>
    <n v="0"/>
    <n v="0"/>
    <n v="0"/>
    <n v="0"/>
    <n v="0"/>
    <n v="0"/>
    <n v="0"/>
    <n v="0"/>
    <n v="0"/>
    <n v="0"/>
    <n v="0"/>
    <n v="0"/>
    <n v="0"/>
    <n v="0"/>
    <n v="0"/>
    <n v="0"/>
    <s v="MMR001CMP051"/>
    <x v="0"/>
    <x v="0"/>
    <s v="P4"/>
    <n v="4.8563727751742226E-5"/>
    <s v="No"/>
  </r>
  <r>
    <n v="37.4"/>
    <d v="2014-04-05T00:00:00"/>
    <x v="11"/>
    <s v="MRCS"/>
    <s v="Kachin"/>
    <s v="Hpakant"/>
    <s v="Hlaing Naung Baptist"/>
    <m/>
    <m/>
    <m/>
    <m/>
    <m/>
    <m/>
    <m/>
    <m/>
    <m/>
    <m/>
    <m/>
    <m/>
    <m/>
    <n v="44"/>
    <m/>
    <m/>
    <m/>
    <n v="0"/>
    <n v="0"/>
    <n v="0"/>
    <n v="0"/>
    <n v="0"/>
    <n v="0"/>
    <n v="0"/>
    <n v="0"/>
    <n v="0"/>
    <n v="0"/>
    <n v="0"/>
    <n v="0"/>
    <n v="0"/>
    <n v="0"/>
    <n v="1"/>
    <n v="0"/>
    <n v="0"/>
    <n v="0"/>
    <s v="MMR001CMP148"/>
    <x v="0"/>
    <x v="0"/>
    <s v="P4"/>
    <n v="0"/>
    <m/>
  </r>
  <r>
    <n v="37.333333333333336"/>
    <d v="2014-04-07T00:00:00"/>
    <x v="11"/>
    <s v="MRCS"/>
    <s v="Kachin"/>
    <s v="Mansi"/>
    <s v="Host Families"/>
    <m/>
    <m/>
    <m/>
    <m/>
    <m/>
    <m/>
    <m/>
    <m/>
    <m/>
    <m/>
    <m/>
    <m/>
    <m/>
    <n v="558"/>
    <m/>
    <m/>
    <m/>
    <n v="0"/>
    <n v="0"/>
    <n v="0"/>
    <n v="0"/>
    <n v="0"/>
    <n v="0"/>
    <n v="0"/>
    <n v="0"/>
    <n v="0"/>
    <n v="0"/>
    <n v="0"/>
    <n v="0"/>
    <n v="0"/>
    <n v="0"/>
    <n v="1"/>
    <n v="0"/>
    <n v="0"/>
    <n v="0"/>
    <s v="MMR001CMP163"/>
    <x v="0"/>
    <x v="0"/>
    <s v="P4"/>
    <s v=""/>
    <m/>
  </r>
  <r>
    <n v="37.333333333333336"/>
    <d v="2014-04-07T00:00:00"/>
    <x v="11"/>
    <s v="MRCS"/>
    <s v="Kachin"/>
    <s v="Mansi"/>
    <s v="Maing Khaung"/>
    <m/>
    <m/>
    <m/>
    <m/>
    <m/>
    <m/>
    <m/>
    <m/>
    <m/>
    <m/>
    <m/>
    <m/>
    <m/>
    <n v="478"/>
    <m/>
    <m/>
    <m/>
    <n v="0"/>
    <n v="0"/>
    <n v="0"/>
    <n v="0"/>
    <n v="0"/>
    <n v="0"/>
    <n v="0"/>
    <n v="0"/>
    <n v="0"/>
    <n v="0"/>
    <n v="0"/>
    <n v="0"/>
    <n v="0"/>
    <n v="0"/>
    <n v="1"/>
    <n v="0"/>
    <n v="0"/>
    <n v="0"/>
    <s v="MMR001CMP218"/>
    <x v="0"/>
    <x v="0"/>
    <s v="P4"/>
    <n v="0"/>
    <m/>
  </r>
  <r>
    <n v="37.366666666666667"/>
    <d v="2014-04-06T00:00:00"/>
    <x v="11"/>
    <s v="MRCS"/>
    <s v="Kachin"/>
    <s v="Hpakant"/>
    <s v="Baptist Church, Naung Hmee VT"/>
    <m/>
    <m/>
    <m/>
    <m/>
    <m/>
    <m/>
    <m/>
    <m/>
    <m/>
    <m/>
    <m/>
    <m/>
    <m/>
    <n v="30"/>
    <m/>
    <m/>
    <m/>
    <n v="0"/>
    <n v="0"/>
    <n v="0"/>
    <n v="0"/>
    <n v="0"/>
    <n v="0"/>
    <n v="0"/>
    <n v="0"/>
    <n v="0"/>
    <n v="0"/>
    <n v="0"/>
    <n v="0"/>
    <n v="0"/>
    <n v="0"/>
    <n v="1"/>
    <n v="0"/>
    <n v="0"/>
    <n v="0"/>
    <s v="MMR001CMP188"/>
    <x v="0"/>
    <x v="1"/>
    <s v="P4"/>
    <s v=""/>
    <m/>
  </r>
  <r>
    <n v="37.333333333333336"/>
    <d v="2014-04-07T00:00:00"/>
    <x v="11"/>
    <s v="MRCS"/>
    <s v="Kachin"/>
    <s v="Mansi"/>
    <s v="Maing Khaung Catholic Church"/>
    <m/>
    <m/>
    <m/>
    <m/>
    <m/>
    <m/>
    <m/>
    <m/>
    <m/>
    <m/>
    <m/>
    <m/>
    <m/>
    <n v="158"/>
    <m/>
    <m/>
    <m/>
    <n v="0"/>
    <n v="0"/>
    <n v="0"/>
    <n v="0"/>
    <n v="0"/>
    <n v="0"/>
    <n v="0"/>
    <n v="0"/>
    <n v="0"/>
    <n v="0"/>
    <n v="0"/>
    <n v="0"/>
    <n v="0"/>
    <n v="0"/>
    <n v="1"/>
    <n v="0"/>
    <n v="0"/>
    <n v="0"/>
    <s v="MMR001CMP223"/>
    <x v="0"/>
    <x v="0"/>
    <s v="P4"/>
    <n v="0"/>
    <m/>
  </r>
  <r>
    <n v="37.333333333333336"/>
    <d v="2014-04-07T00:00:00"/>
    <x v="11"/>
    <s v="MRCS"/>
    <s v="Kachin"/>
    <s v="Mansi"/>
    <s v="Mansi Baptist Church"/>
    <m/>
    <m/>
    <m/>
    <m/>
    <m/>
    <m/>
    <m/>
    <m/>
    <m/>
    <m/>
    <m/>
    <m/>
    <m/>
    <n v="262"/>
    <m/>
    <m/>
    <m/>
    <n v="0"/>
    <n v="0"/>
    <n v="0"/>
    <n v="0"/>
    <n v="0"/>
    <n v="0"/>
    <n v="0"/>
    <n v="0"/>
    <n v="0"/>
    <n v="0"/>
    <n v="0"/>
    <n v="0"/>
    <n v="0"/>
    <n v="0"/>
    <n v="1"/>
    <n v="0"/>
    <n v="0"/>
    <n v="0"/>
    <s v="MMR001CMP066"/>
    <x v="0"/>
    <x v="0"/>
    <s v="P4"/>
    <n v="0"/>
    <m/>
  </r>
  <r>
    <n v="37.299999999999997"/>
    <d v="2014-04-08T00:00:00"/>
    <x v="11"/>
    <s v="MRCS"/>
    <s v="Kachin"/>
    <s v="Bhamo"/>
    <s v="Htoi San Church"/>
    <m/>
    <m/>
    <m/>
    <m/>
    <m/>
    <m/>
    <m/>
    <m/>
    <m/>
    <m/>
    <m/>
    <m/>
    <m/>
    <n v="90"/>
    <m/>
    <m/>
    <m/>
    <n v="0"/>
    <n v="0"/>
    <n v="0"/>
    <n v="0"/>
    <n v="0"/>
    <n v="0"/>
    <n v="0"/>
    <n v="0"/>
    <n v="0"/>
    <n v="0"/>
    <n v="0"/>
    <n v="0"/>
    <n v="0"/>
    <n v="0"/>
    <n v="1"/>
    <n v="0"/>
    <n v="0"/>
    <n v="0"/>
    <s v="MMR001CMP052"/>
    <x v="0"/>
    <x v="0"/>
    <s v="P4"/>
    <n v="0"/>
    <m/>
  </r>
  <r>
    <n v="37.299999999999997"/>
    <d v="2014-04-08T00:00:00"/>
    <x v="11"/>
    <s v="MRCS"/>
    <s v="Kachin"/>
    <s v="Bhamo"/>
    <s v="Phan Khar Kone"/>
    <m/>
    <m/>
    <m/>
    <m/>
    <m/>
    <m/>
    <m/>
    <m/>
    <m/>
    <m/>
    <m/>
    <m/>
    <m/>
    <n v="372"/>
    <m/>
    <m/>
    <m/>
    <n v="0"/>
    <n v="0"/>
    <n v="0"/>
    <n v="0"/>
    <n v="0"/>
    <n v="0"/>
    <n v="0"/>
    <n v="0"/>
    <n v="0"/>
    <n v="0"/>
    <n v="0"/>
    <n v="0"/>
    <n v="0"/>
    <n v="0"/>
    <n v="1"/>
    <n v="0"/>
    <n v="0"/>
    <n v="0"/>
    <s v="MMR001CMP193"/>
    <x v="0"/>
    <x v="0"/>
    <s v="P4"/>
    <n v="0"/>
    <m/>
  </r>
  <r>
    <n v="37.299999999999997"/>
    <d v="2014-04-08T00:00:00"/>
    <x v="11"/>
    <s v="MRCS"/>
    <s v="Kachin"/>
    <s v="Momauk"/>
    <s v="Mandalay Monestry"/>
    <m/>
    <m/>
    <m/>
    <m/>
    <m/>
    <m/>
    <m/>
    <m/>
    <m/>
    <m/>
    <m/>
    <m/>
    <m/>
    <n v="10"/>
    <m/>
    <m/>
    <m/>
    <n v="0"/>
    <n v="0"/>
    <n v="0"/>
    <n v="0"/>
    <n v="0"/>
    <n v="0"/>
    <n v="0"/>
    <n v="0"/>
    <n v="0"/>
    <n v="0"/>
    <n v="0"/>
    <n v="0"/>
    <n v="0"/>
    <n v="0"/>
    <n v="1"/>
    <n v="0"/>
    <n v="0"/>
    <n v="0"/>
    <s v="MMR001CMP058"/>
    <x v="0"/>
    <x v="1"/>
    <s v="P4"/>
    <n v="0"/>
    <m/>
  </r>
  <r>
    <n v="37.299999999999997"/>
    <d v="2014-04-08T00:00:00"/>
    <x v="11"/>
    <s v="MRCS"/>
    <s v="Kachin"/>
    <s v="Momauk"/>
    <s v="Ni Thaw Ka Monestry"/>
    <m/>
    <m/>
    <m/>
    <m/>
    <m/>
    <m/>
    <m/>
    <m/>
    <m/>
    <m/>
    <m/>
    <m/>
    <m/>
    <n v="46"/>
    <m/>
    <m/>
    <m/>
    <n v="0"/>
    <n v="0"/>
    <n v="0"/>
    <n v="0"/>
    <n v="0"/>
    <n v="0"/>
    <n v="0"/>
    <n v="0"/>
    <n v="0"/>
    <n v="0"/>
    <n v="0"/>
    <n v="0"/>
    <n v="0"/>
    <n v="0"/>
    <n v="1"/>
    <n v="0"/>
    <n v="0"/>
    <n v="0"/>
    <s v="MMR001CMP059"/>
    <x v="0"/>
    <x v="1"/>
    <s v="P4"/>
    <n v="0"/>
    <m/>
  </r>
  <r>
    <n v="37.266666666666666"/>
    <d v="2014-04-09T00:00:00"/>
    <x v="11"/>
    <s v="MRCS"/>
    <s v="Kachin"/>
    <s v="Bhamo"/>
    <s v="Ta Gun Taing Monastery (Shwe Kyi Na)"/>
    <m/>
    <m/>
    <m/>
    <m/>
    <m/>
    <m/>
    <m/>
    <m/>
    <m/>
    <m/>
    <m/>
    <m/>
    <m/>
    <n v="122"/>
    <m/>
    <m/>
    <m/>
    <n v="0"/>
    <n v="0"/>
    <n v="0"/>
    <n v="0"/>
    <n v="0"/>
    <n v="0"/>
    <n v="0"/>
    <n v="0"/>
    <n v="0"/>
    <n v="0"/>
    <n v="0"/>
    <n v="0"/>
    <n v="0"/>
    <n v="0"/>
    <n v="1"/>
    <n v="0"/>
    <n v="0"/>
    <n v="0"/>
    <s v="MMR001CMP055"/>
    <x v="0"/>
    <x v="0"/>
    <s v="P4"/>
    <n v="0"/>
    <m/>
  </r>
  <r>
    <n v="37.266666666666666"/>
    <d v="2014-04-09T00:00:00"/>
    <x v="11"/>
    <s v="MRCS"/>
    <s v="Kachin"/>
    <s v="Bhamo"/>
    <s v="Yoe Kyi Monastery"/>
    <m/>
    <m/>
    <m/>
    <m/>
    <m/>
    <m/>
    <m/>
    <m/>
    <m/>
    <m/>
    <m/>
    <m/>
    <m/>
    <n v="42"/>
    <m/>
    <m/>
    <m/>
    <n v="0"/>
    <n v="0"/>
    <n v="0"/>
    <n v="0"/>
    <n v="0"/>
    <n v="0"/>
    <n v="0"/>
    <n v="0"/>
    <n v="0"/>
    <n v="0"/>
    <n v="0"/>
    <n v="0"/>
    <n v="0"/>
    <n v="0"/>
    <n v="1"/>
    <n v="0"/>
    <n v="0"/>
    <n v="0"/>
    <s v="MMR001CMP053"/>
    <x v="0"/>
    <x v="0"/>
    <s v="P4"/>
    <n v="0"/>
    <m/>
  </r>
  <r>
    <n v="37.1"/>
    <d v="2014-04-14T00:00:00"/>
    <x v="0"/>
    <s v="UNHCR"/>
    <s v="Kachin"/>
    <s v="Momauk"/>
    <s v="Momauk Baptist Church"/>
    <m/>
    <m/>
    <m/>
    <n v="10"/>
    <n v="5"/>
    <n v="15"/>
    <n v="5"/>
    <n v="5"/>
    <n v="5"/>
    <m/>
    <m/>
    <m/>
    <m/>
    <m/>
    <m/>
    <m/>
    <m/>
    <n v="0"/>
    <n v="0"/>
    <n v="0"/>
    <n v="0"/>
    <n v="0"/>
    <n v="0"/>
    <n v="0"/>
    <n v="0"/>
    <n v="0"/>
    <n v="0"/>
    <n v="0"/>
    <n v="0"/>
    <n v="0"/>
    <n v="0"/>
    <n v="0"/>
    <n v="0"/>
    <n v="0"/>
    <n v="0"/>
    <s v="MMR001CMP056"/>
    <x v="0"/>
    <x v="0"/>
    <s v="P4"/>
    <n v="1.2286521685710776E-4"/>
    <s v="No"/>
  </r>
  <r>
    <n v="37"/>
    <d v="2014-04-17T00:00:00"/>
    <x v="0"/>
    <s v="UNHCR"/>
    <s v="Kachin"/>
    <s v="Momauk"/>
    <s v="Momauk Baptist Church"/>
    <m/>
    <m/>
    <m/>
    <n v="8"/>
    <n v="4"/>
    <n v="12"/>
    <n v="4"/>
    <n v="4"/>
    <n v="4"/>
    <n v="41"/>
    <m/>
    <m/>
    <m/>
    <m/>
    <m/>
    <m/>
    <m/>
    <n v="0"/>
    <n v="0"/>
    <n v="0"/>
    <n v="0"/>
    <n v="0"/>
    <n v="0"/>
    <n v="0"/>
    <n v="0"/>
    <n v="0"/>
    <n v="0"/>
    <n v="0"/>
    <n v="0"/>
    <n v="0"/>
    <n v="0"/>
    <n v="0"/>
    <n v="0"/>
    <n v="0"/>
    <n v="0"/>
    <s v="MMR001CMP056"/>
    <x v="0"/>
    <x v="0"/>
    <s v="P4"/>
    <n v="9.8292173485686198E-5"/>
    <s v="No"/>
  </r>
  <r>
    <n v="36.93333333333333"/>
    <d v="2014-04-19T00:00:00"/>
    <x v="0"/>
    <m/>
    <s v="Kachin"/>
    <s v="Mansi"/>
    <s v="Man Wing Catholic Church"/>
    <m/>
    <m/>
    <m/>
    <n v="400"/>
    <n v="190"/>
    <n v="870"/>
    <n v="190"/>
    <m/>
    <n v="190"/>
    <n v="1000"/>
    <m/>
    <m/>
    <m/>
    <m/>
    <m/>
    <m/>
    <m/>
    <n v="0"/>
    <n v="0"/>
    <n v="0"/>
    <n v="0"/>
    <n v="0"/>
    <n v="0"/>
    <n v="0"/>
    <n v="0"/>
    <n v="0"/>
    <n v="0"/>
    <n v="0"/>
    <n v="0"/>
    <n v="0"/>
    <n v="0"/>
    <n v="0"/>
    <n v="0"/>
    <n v="0"/>
    <n v="0"/>
    <s v="MMR001CMP132"/>
    <x v="0"/>
    <x v="0"/>
    <s v="P4"/>
    <n v="4.6513905209557387E-3"/>
    <m/>
  </r>
  <r>
    <n v="36.9"/>
    <d v="2014-04-20T00:00:00"/>
    <x v="0"/>
    <m/>
    <s v="Kachin"/>
    <s v="Mansi"/>
    <s v="Man Wing Baptist Church"/>
    <m/>
    <m/>
    <m/>
    <n v="220"/>
    <n v="110"/>
    <n v="1000"/>
    <n v="110"/>
    <m/>
    <n v="110"/>
    <n v="550"/>
    <m/>
    <m/>
    <m/>
    <m/>
    <m/>
    <m/>
    <m/>
    <n v="0"/>
    <n v="0"/>
    <n v="0"/>
    <n v="0"/>
    <n v="0"/>
    <n v="0"/>
    <n v="0"/>
    <n v="0"/>
    <n v="0"/>
    <n v="0"/>
    <n v="0"/>
    <n v="0"/>
    <n v="0"/>
    <n v="0"/>
    <n v="0"/>
    <n v="0"/>
    <n v="0"/>
    <n v="0"/>
    <s v="MMR001CMP133"/>
    <x v="0"/>
    <x v="0"/>
    <s v="P4"/>
    <n v="2.6868588177821201E-3"/>
    <m/>
  </r>
  <r>
    <n v="36.866666666666667"/>
    <d v="2014-04-21T00:00:00"/>
    <x v="0"/>
    <s v="UNHCR"/>
    <s v="Kachin"/>
    <s v="Bhamo"/>
    <s v="AD-2000 Tharthana Compound"/>
    <m/>
    <m/>
    <n v="5"/>
    <n v="6"/>
    <n v="2"/>
    <n v="6"/>
    <n v="2"/>
    <n v="2"/>
    <n v="2"/>
    <n v="6"/>
    <m/>
    <m/>
    <m/>
    <m/>
    <m/>
    <m/>
    <m/>
    <n v="0"/>
    <n v="0"/>
    <n v="0"/>
    <n v="0"/>
    <n v="0"/>
    <n v="0"/>
    <n v="0"/>
    <n v="0"/>
    <n v="0"/>
    <n v="0"/>
    <n v="0"/>
    <n v="0"/>
    <n v="0"/>
    <n v="0"/>
    <n v="0"/>
    <n v="0"/>
    <n v="0"/>
    <n v="0"/>
    <s v="MMR001CMP050"/>
    <x v="0"/>
    <x v="0"/>
    <s v="P4"/>
    <n v="4.8962005483744613E-5"/>
    <s v="No"/>
  </r>
  <r>
    <n v="36.866666666666667"/>
    <d v="2014-04-21T00:00:00"/>
    <x v="0"/>
    <s v="UNHCR"/>
    <s v="Kachin"/>
    <s v="Mansi"/>
    <s v="Mansi Baptist Church"/>
    <m/>
    <m/>
    <n v="20"/>
    <n v="30"/>
    <n v="13"/>
    <n v="40"/>
    <n v="13"/>
    <n v="13"/>
    <n v="13"/>
    <n v="25"/>
    <m/>
    <m/>
    <m/>
    <m/>
    <m/>
    <m/>
    <m/>
    <n v="0"/>
    <n v="0"/>
    <n v="0"/>
    <n v="0"/>
    <n v="0"/>
    <n v="0"/>
    <n v="0"/>
    <n v="0"/>
    <n v="0"/>
    <n v="0"/>
    <n v="0"/>
    <n v="0"/>
    <n v="0"/>
    <n v="0"/>
    <n v="0"/>
    <n v="0"/>
    <n v="0"/>
    <n v="0"/>
    <s v="MMR001CMP066"/>
    <x v="0"/>
    <x v="0"/>
    <s v="P4"/>
    <n v="3.1265783207869358E-4"/>
    <s v="No"/>
  </r>
  <r>
    <n v="36.866666666666667"/>
    <d v="2014-04-21T00:00:00"/>
    <x v="0"/>
    <m/>
    <s v="Kachin"/>
    <s v="Mansi"/>
    <s v="Bum Tsit Pa Camp II"/>
    <m/>
    <m/>
    <m/>
    <n v="800"/>
    <n v="400"/>
    <m/>
    <n v="100"/>
    <m/>
    <n v="400"/>
    <n v="2000"/>
    <m/>
    <m/>
    <m/>
    <m/>
    <m/>
    <m/>
    <m/>
    <n v="0"/>
    <n v="0"/>
    <n v="0"/>
    <n v="0"/>
    <n v="0"/>
    <n v="0"/>
    <n v="0"/>
    <n v="0"/>
    <n v="0"/>
    <n v="0"/>
    <n v="0"/>
    <n v="0"/>
    <n v="0"/>
    <n v="0"/>
    <n v="0"/>
    <n v="0"/>
    <n v="0"/>
    <n v="0"/>
    <s v="MMR001CMP226"/>
    <x v="0"/>
    <x v="1"/>
    <s v="P2"/>
    <n v="2.4499595756670013E-3"/>
    <m/>
  </r>
  <r>
    <n v="36.866666666666667"/>
    <d v="2014-04-21T00:00:00"/>
    <x v="0"/>
    <s v="UNHCR"/>
    <s v="Kachin"/>
    <s v="Momauk"/>
    <s v="Momauk Baptist Church"/>
    <m/>
    <m/>
    <n v="15"/>
    <n v="16"/>
    <n v="50"/>
    <n v="16"/>
    <n v="7"/>
    <n v="7"/>
    <n v="7"/>
    <n v="13"/>
    <m/>
    <m/>
    <m/>
    <m/>
    <m/>
    <m/>
    <m/>
    <n v="0"/>
    <n v="0"/>
    <n v="0"/>
    <n v="0"/>
    <n v="0"/>
    <n v="0"/>
    <n v="0"/>
    <n v="0"/>
    <n v="0"/>
    <n v="0"/>
    <n v="0"/>
    <n v="0"/>
    <n v="0"/>
    <n v="0"/>
    <n v="0"/>
    <n v="0"/>
    <n v="0"/>
    <n v="0"/>
    <s v="MMR001CMP056"/>
    <x v="0"/>
    <x v="0"/>
    <s v="P4"/>
    <n v="1.7201130359995086E-4"/>
    <s v="No"/>
  </r>
  <r>
    <n v="36.866666666666667"/>
    <d v="2014-04-21T00:00:00"/>
    <x v="0"/>
    <m/>
    <s v="Shan_North"/>
    <s v="Namhkan"/>
    <s v="Nam Hkam (KBC Jaw Wang) II"/>
    <m/>
    <m/>
    <m/>
    <n v="0"/>
    <n v="1"/>
    <n v="167"/>
    <n v="1"/>
    <n v="0"/>
    <n v="1"/>
    <n v="0"/>
    <m/>
    <m/>
    <m/>
    <m/>
    <m/>
    <m/>
    <m/>
    <n v="0"/>
    <n v="0"/>
    <n v="0"/>
    <n v="0"/>
    <n v="0"/>
    <n v="0"/>
    <n v="0"/>
    <n v="0"/>
    <n v="0"/>
    <n v="0"/>
    <n v="0"/>
    <n v="0"/>
    <n v="0"/>
    <n v="0"/>
    <n v="0"/>
    <n v="0"/>
    <n v="0"/>
    <n v="0"/>
    <s v="MMR015CMP214"/>
    <x v="2"/>
    <x v="0"/>
    <s v="P4"/>
    <n v="2.3839607123274607E-5"/>
    <m/>
  </r>
  <r>
    <n v="36.866666666666667"/>
    <d v="2014-04-21T00:00:00"/>
    <x v="0"/>
    <m/>
    <s v="Shan_North"/>
    <s v="Namhkan"/>
    <s v="Nam Hkam (KBC Jaw Wang) II"/>
    <m/>
    <m/>
    <m/>
    <n v="90"/>
    <n v="49"/>
    <n v="98"/>
    <n v="49"/>
    <m/>
    <n v="49"/>
    <n v="225"/>
    <m/>
    <m/>
    <m/>
    <m/>
    <m/>
    <m/>
    <m/>
    <n v="0"/>
    <n v="0"/>
    <n v="0"/>
    <n v="0"/>
    <n v="0"/>
    <n v="0"/>
    <n v="0"/>
    <n v="0"/>
    <n v="0"/>
    <n v="0"/>
    <n v="0"/>
    <n v="0"/>
    <n v="0"/>
    <n v="0"/>
    <n v="0"/>
    <n v="0"/>
    <n v="0"/>
    <n v="0"/>
    <s v="MMR015CMP214"/>
    <x v="2"/>
    <x v="0"/>
    <s v="P4"/>
    <n v="1.1681407490404558E-3"/>
    <m/>
  </r>
  <r>
    <n v="36.266666666666666"/>
    <d v="2014-05-09T00:00:00"/>
    <x v="11"/>
    <s v="MRCS"/>
    <s v="Kachin"/>
    <s v="Myitkyina"/>
    <s v="Pa Dauk Myaing(Pa La Na)"/>
    <m/>
    <m/>
    <m/>
    <m/>
    <m/>
    <m/>
    <m/>
    <m/>
    <m/>
    <m/>
    <m/>
    <m/>
    <m/>
    <n v="58"/>
    <m/>
    <m/>
    <m/>
    <n v="0"/>
    <n v="0"/>
    <n v="0"/>
    <n v="0"/>
    <n v="0"/>
    <n v="0"/>
    <n v="0"/>
    <n v="0"/>
    <n v="0"/>
    <n v="0"/>
    <n v="0"/>
    <n v="0"/>
    <n v="0"/>
    <n v="0"/>
    <n v="1"/>
    <n v="0"/>
    <n v="0"/>
    <n v="0"/>
    <s v="MMR001CMP162"/>
    <x v="0"/>
    <x v="0"/>
    <s v="P4"/>
    <n v="0"/>
    <m/>
  </r>
  <r>
    <n v="36.266666666666666"/>
    <d v="2014-05-09T00:00:00"/>
    <x v="11"/>
    <s v="MRCS"/>
    <s v="Kachin"/>
    <s v="Myitkyina"/>
    <s v="Shatapru Sut Ngai Tawng"/>
    <m/>
    <m/>
    <m/>
    <m/>
    <m/>
    <m/>
    <m/>
    <m/>
    <m/>
    <m/>
    <m/>
    <m/>
    <m/>
    <n v="208"/>
    <m/>
    <m/>
    <m/>
    <n v="0"/>
    <n v="0"/>
    <n v="0"/>
    <n v="0"/>
    <n v="0"/>
    <n v="0"/>
    <n v="0"/>
    <n v="0"/>
    <n v="0"/>
    <n v="0"/>
    <n v="0"/>
    <n v="0"/>
    <n v="0"/>
    <n v="0"/>
    <n v="1"/>
    <n v="0"/>
    <n v="0"/>
    <n v="0"/>
    <s v="MMR001CMP006"/>
    <x v="0"/>
    <x v="0"/>
    <s v="P4"/>
    <n v="0"/>
    <m/>
  </r>
  <r>
    <n v="36.200000000000003"/>
    <d v="2014-05-11T00:00:00"/>
    <x v="0"/>
    <m/>
    <s v="Shan_North"/>
    <s v="Muse"/>
    <s v="Muse Baptist Church"/>
    <m/>
    <m/>
    <m/>
    <n v="138"/>
    <n v="19"/>
    <n v="238"/>
    <n v="19"/>
    <n v="0"/>
    <n v="19"/>
    <n v="95"/>
    <m/>
    <m/>
    <m/>
    <m/>
    <m/>
    <m/>
    <m/>
    <n v="0"/>
    <n v="0"/>
    <n v="0"/>
    <n v="0"/>
    <n v="0"/>
    <n v="0"/>
    <n v="0"/>
    <n v="0"/>
    <n v="0"/>
    <n v="0"/>
    <n v="0"/>
    <n v="0"/>
    <n v="0"/>
    <n v="0"/>
    <n v="0"/>
    <n v="0"/>
    <n v="0"/>
    <n v="0"/>
    <s v="MMR015CMP213"/>
    <x v="2"/>
    <x v="0"/>
    <s v="P4"/>
    <n v="4.5560271443301442E-4"/>
    <m/>
  </r>
  <r>
    <n v="36.200000000000003"/>
    <d v="2014-05-11T00:00:00"/>
    <x v="0"/>
    <m/>
    <s v="Shan_North"/>
    <s v="Muse"/>
    <s v="Muse Baptist Church"/>
    <m/>
    <m/>
    <m/>
    <n v="162"/>
    <n v="81"/>
    <n v="162"/>
    <n v="81"/>
    <m/>
    <n v="81"/>
    <n v="405"/>
    <m/>
    <m/>
    <m/>
    <m/>
    <m/>
    <m/>
    <m/>
    <n v="0"/>
    <n v="0"/>
    <n v="0"/>
    <n v="0"/>
    <n v="0"/>
    <n v="0"/>
    <n v="0"/>
    <n v="0"/>
    <n v="0"/>
    <n v="0"/>
    <n v="0"/>
    <n v="0"/>
    <n v="0"/>
    <n v="0"/>
    <n v="0"/>
    <n v="0"/>
    <n v="0"/>
    <n v="0"/>
    <s v="MMR015CMP213"/>
    <x v="2"/>
    <x v="0"/>
    <s v="P4"/>
    <n v="1.9423063088986404E-3"/>
    <m/>
  </r>
  <r>
    <n v="36.166666666666664"/>
    <d v="2014-05-12T00:00:00"/>
    <x v="11"/>
    <s v="MRCS"/>
    <s v="Kachin"/>
    <s v="Myitkyina"/>
    <s v="Man Hkring Baptist Church"/>
    <m/>
    <m/>
    <m/>
    <m/>
    <m/>
    <m/>
    <m/>
    <m/>
    <m/>
    <m/>
    <m/>
    <m/>
    <m/>
    <n v="184"/>
    <m/>
    <m/>
    <m/>
    <n v="0"/>
    <n v="0"/>
    <n v="0"/>
    <n v="0"/>
    <n v="0"/>
    <n v="0"/>
    <n v="0"/>
    <n v="0"/>
    <n v="0"/>
    <n v="0"/>
    <n v="0"/>
    <n v="0"/>
    <n v="0"/>
    <n v="0"/>
    <n v="1"/>
    <n v="0"/>
    <n v="0"/>
    <n v="0"/>
    <s v="MMR001CMP008"/>
    <x v="0"/>
    <x v="0"/>
    <s v="P4"/>
    <n v="0"/>
    <m/>
  </r>
  <r>
    <n v="36.166666666666664"/>
    <d v="2014-05-12T00:00:00"/>
    <x v="0"/>
    <m/>
    <s v="Shan_North"/>
    <s v="Muse"/>
    <s v="Muse Catholic Church"/>
    <m/>
    <m/>
    <m/>
    <n v="68"/>
    <n v="9"/>
    <n v="118"/>
    <n v="9"/>
    <n v="0"/>
    <n v="9"/>
    <n v="45"/>
    <m/>
    <m/>
    <m/>
    <m/>
    <m/>
    <m/>
    <m/>
    <n v="0"/>
    <n v="0"/>
    <n v="0"/>
    <n v="0"/>
    <n v="0"/>
    <n v="0"/>
    <n v="0"/>
    <n v="0"/>
    <n v="0"/>
    <n v="0"/>
    <n v="0"/>
    <n v="0"/>
    <n v="0"/>
    <n v="0"/>
    <n v="0"/>
    <n v="0"/>
    <n v="0"/>
    <n v="0"/>
    <s v="MMR015CMP216"/>
    <x v="2"/>
    <x v="0"/>
    <s v="P4"/>
    <n v="2.156515071644223E-4"/>
    <m/>
  </r>
  <r>
    <n v="36.166666666666664"/>
    <d v="2014-05-12T00:00:00"/>
    <x v="0"/>
    <m/>
    <s v="Shan_North"/>
    <s v="Muse"/>
    <s v="Muse Catholic Church"/>
    <m/>
    <m/>
    <m/>
    <n v="82"/>
    <n v="41"/>
    <n v="82"/>
    <n v="41"/>
    <m/>
    <n v="41"/>
    <n v="205"/>
    <m/>
    <m/>
    <m/>
    <m/>
    <m/>
    <m/>
    <m/>
    <n v="0"/>
    <n v="0"/>
    <n v="0"/>
    <n v="0"/>
    <n v="0"/>
    <n v="0"/>
    <n v="0"/>
    <n v="0"/>
    <n v="0"/>
    <n v="0"/>
    <n v="0"/>
    <n v="0"/>
    <n v="0"/>
    <n v="0"/>
    <n v="0"/>
    <n v="0"/>
    <n v="0"/>
    <n v="0"/>
    <s v="MMR015CMP216"/>
    <x v="2"/>
    <x v="0"/>
    <s v="P4"/>
    <n v="9.8241242152681259E-4"/>
    <m/>
  </r>
  <r>
    <n v="36.166666666666664"/>
    <d v="2014-05-12T00:00:00"/>
    <x v="11"/>
    <s v="MRCS"/>
    <s v="Kachin"/>
    <s v="Myitkyina"/>
    <s v="Shwe Zet Baptist Church"/>
    <m/>
    <m/>
    <m/>
    <m/>
    <m/>
    <m/>
    <m/>
    <m/>
    <m/>
    <m/>
    <m/>
    <m/>
    <m/>
    <n v="168"/>
    <m/>
    <m/>
    <m/>
    <n v="0"/>
    <n v="0"/>
    <n v="0"/>
    <n v="0"/>
    <n v="0"/>
    <n v="0"/>
    <n v="0"/>
    <n v="0"/>
    <n v="0"/>
    <n v="0"/>
    <n v="0"/>
    <n v="0"/>
    <n v="0"/>
    <n v="0"/>
    <n v="1"/>
    <n v="0"/>
    <n v="0"/>
    <n v="0"/>
    <s v="MMR001CMP009"/>
    <x v="0"/>
    <x v="0"/>
    <s v="P4"/>
    <n v="0"/>
    <m/>
  </r>
  <r>
    <n v="36.133333333333333"/>
    <d v="2014-05-13T00:00:00"/>
    <x v="11"/>
    <s v="MRCS"/>
    <s v="Kachin"/>
    <s v="Myitkyina"/>
    <s v="Njang Dung Baptist Church "/>
    <m/>
    <m/>
    <m/>
    <m/>
    <m/>
    <m/>
    <m/>
    <m/>
    <m/>
    <m/>
    <m/>
    <m/>
    <m/>
    <n v="112"/>
    <m/>
    <m/>
    <m/>
    <n v="0"/>
    <n v="0"/>
    <n v="0"/>
    <n v="0"/>
    <n v="0"/>
    <n v="0"/>
    <n v="0"/>
    <n v="0"/>
    <n v="0"/>
    <n v="0"/>
    <n v="0"/>
    <n v="0"/>
    <n v="0"/>
    <n v="0"/>
    <n v="1"/>
    <n v="0"/>
    <n v="0"/>
    <n v="0"/>
    <s v="MMR001CMP002"/>
    <x v="0"/>
    <x v="0"/>
    <s v="P4"/>
    <n v="0"/>
    <m/>
  </r>
  <r>
    <n v="36.1"/>
    <d v="2014-05-14T00:00:00"/>
    <x v="0"/>
    <s v="UNHCR"/>
    <s v="Kachin"/>
    <s v="Bhamo"/>
    <s v="AD-2000 Tharthana Compound"/>
    <m/>
    <m/>
    <n v="11"/>
    <n v="12"/>
    <n v="4"/>
    <n v="12"/>
    <n v="4"/>
    <n v="4"/>
    <n v="4"/>
    <n v="15"/>
    <m/>
    <m/>
    <m/>
    <m/>
    <m/>
    <m/>
    <m/>
    <n v="0"/>
    <n v="0"/>
    <n v="0"/>
    <n v="0"/>
    <n v="0"/>
    <n v="0"/>
    <n v="0"/>
    <n v="0"/>
    <n v="0"/>
    <n v="0"/>
    <n v="0"/>
    <n v="0"/>
    <n v="0"/>
    <n v="0"/>
    <n v="0"/>
    <n v="0"/>
    <n v="0"/>
    <n v="0"/>
    <s v="MMR001CMP050"/>
    <x v="0"/>
    <x v="0"/>
    <s v="P4"/>
    <n v="9.7924010967489225E-5"/>
    <s v="No"/>
  </r>
  <r>
    <n v="36.1"/>
    <d v="2014-05-14T00:00:00"/>
    <x v="0"/>
    <s v="UNHCR"/>
    <s v="Kachin"/>
    <s v="Momauk"/>
    <s v="Momauk Baptist Church"/>
    <m/>
    <m/>
    <n v="5"/>
    <n v="6"/>
    <n v="32"/>
    <n v="6"/>
    <n v="2"/>
    <n v="2"/>
    <n v="2"/>
    <n v="10"/>
    <m/>
    <m/>
    <m/>
    <m/>
    <m/>
    <m/>
    <m/>
    <n v="0"/>
    <n v="0"/>
    <n v="0"/>
    <n v="0"/>
    <n v="0"/>
    <n v="0"/>
    <n v="0"/>
    <n v="0"/>
    <n v="0"/>
    <n v="0"/>
    <n v="0"/>
    <n v="0"/>
    <n v="0"/>
    <n v="0"/>
    <n v="0"/>
    <n v="0"/>
    <n v="0"/>
    <n v="0"/>
    <s v="MMR001CMP056"/>
    <x v="0"/>
    <x v="0"/>
    <s v="P4"/>
    <n v="4.9146086742843099E-5"/>
    <s v="No"/>
  </r>
  <r>
    <n v="36.1"/>
    <d v="2014-05-14T00:00:00"/>
    <x v="0"/>
    <s v="UNHCR"/>
    <s v="Kachin"/>
    <s v="Bhamo"/>
    <s v="Ta Gun Taing Monastery (Shwe Kyi Na)"/>
    <m/>
    <m/>
    <n v="17"/>
    <n v="108"/>
    <n v="36"/>
    <n v="108"/>
    <n v="36"/>
    <n v="36"/>
    <n v="36"/>
    <n v="142"/>
    <m/>
    <m/>
    <m/>
    <m/>
    <m/>
    <m/>
    <m/>
    <n v="0"/>
    <n v="0"/>
    <n v="0"/>
    <n v="0"/>
    <n v="0"/>
    <n v="0"/>
    <n v="0"/>
    <n v="0"/>
    <n v="0"/>
    <n v="0"/>
    <n v="0"/>
    <n v="0"/>
    <n v="0"/>
    <n v="0"/>
    <n v="0"/>
    <n v="0"/>
    <n v="0"/>
    <n v="0"/>
    <s v="MMR001CMP055"/>
    <x v="0"/>
    <x v="0"/>
    <s v="P4"/>
    <n v="8.7740677553009995E-4"/>
    <s v="No"/>
  </r>
  <r>
    <n v="36.06666666666667"/>
    <d v="2014-05-15T00:00:00"/>
    <x v="0"/>
    <s v="UNHCR"/>
    <s v="Kachin"/>
    <s v="Bhamo"/>
    <s v="AD-2000 Tharthana Compound"/>
    <m/>
    <m/>
    <m/>
    <n v="10"/>
    <n v="4"/>
    <n v="12"/>
    <n v="4"/>
    <n v="4"/>
    <n v="4"/>
    <n v="12"/>
    <m/>
    <m/>
    <m/>
    <m/>
    <m/>
    <m/>
    <m/>
    <n v="0"/>
    <n v="0"/>
    <n v="0"/>
    <n v="0"/>
    <n v="0"/>
    <n v="0"/>
    <n v="0"/>
    <n v="0"/>
    <n v="0"/>
    <n v="0"/>
    <n v="0"/>
    <n v="0"/>
    <n v="0"/>
    <n v="0"/>
    <n v="0"/>
    <n v="0"/>
    <n v="0"/>
    <n v="0"/>
    <s v="MMR001CMP050"/>
    <x v="0"/>
    <x v="0"/>
    <s v="P4"/>
    <n v="9.7924010967489225E-5"/>
    <s v="No"/>
  </r>
  <r>
    <n v="36.06666666666667"/>
    <d v="2014-05-15T00:00:00"/>
    <x v="0"/>
    <s v="UNHCR"/>
    <s v="Kachin"/>
    <s v="Mansi"/>
    <s v="Maing Khaung"/>
    <m/>
    <m/>
    <n v="10"/>
    <n v="10"/>
    <n v="5"/>
    <n v="15"/>
    <n v="5"/>
    <n v="5"/>
    <n v="5"/>
    <n v="20"/>
    <m/>
    <m/>
    <m/>
    <m/>
    <m/>
    <m/>
    <m/>
    <n v="0"/>
    <n v="0"/>
    <n v="0"/>
    <n v="0"/>
    <n v="0"/>
    <n v="0"/>
    <n v="0"/>
    <n v="0"/>
    <n v="0"/>
    <n v="0"/>
    <n v="0"/>
    <n v="0"/>
    <n v="0"/>
    <n v="0"/>
    <n v="0"/>
    <n v="0"/>
    <n v="0"/>
    <n v="0"/>
    <s v="MMR001CMP218"/>
    <x v="0"/>
    <x v="0"/>
    <s v="P4"/>
    <n v="1.2034273611244825E-4"/>
    <s v="No"/>
  </r>
  <r>
    <n v="36.033333333333331"/>
    <d v="2014-05-16T00:00:00"/>
    <x v="11"/>
    <s v="MRCS"/>
    <s v="Kachin"/>
    <s v="Waingmaw"/>
    <s v="Maina Catholic Church (St. Joseph)"/>
    <m/>
    <m/>
    <m/>
    <m/>
    <m/>
    <m/>
    <m/>
    <m/>
    <m/>
    <m/>
    <m/>
    <m/>
    <m/>
    <n v="470"/>
    <m/>
    <m/>
    <m/>
    <n v="0"/>
    <n v="0"/>
    <n v="0"/>
    <n v="0"/>
    <n v="0"/>
    <n v="0"/>
    <n v="0"/>
    <n v="0"/>
    <n v="0"/>
    <n v="0"/>
    <n v="0"/>
    <n v="0"/>
    <n v="0"/>
    <n v="0"/>
    <n v="1"/>
    <n v="0"/>
    <n v="0"/>
    <n v="0"/>
    <s v="MMR001CMP029"/>
    <x v="0"/>
    <x v="0"/>
    <s v="P4"/>
    <n v="0"/>
    <m/>
  </r>
  <r>
    <n v="36.033333333333331"/>
    <d v="2014-05-16T00:00:00"/>
    <x v="0"/>
    <s v="UNHCR"/>
    <s v="Kachin"/>
    <s v="Bhamo"/>
    <s v="Mu-yin Baptist Church"/>
    <m/>
    <m/>
    <m/>
    <n v="10"/>
    <n v="4"/>
    <n v="10"/>
    <n v="4"/>
    <n v="4"/>
    <n v="4"/>
    <n v="18"/>
    <m/>
    <m/>
    <m/>
    <m/>
    <m/>
    <m/>
    <m/>
    <n v="0"/>
    <n v="0"/>
    <n v="0"/>
    <n v="0"/>
    <n v="0"/>
    <n v="0"/>
    <n v="0"/>
    <n v="0"/>
    <n v="0"/>
    <n v="0"/>
    <n v="0"/>
    <n v="0"/>
    <n v="0"/>
    <n v="0"/>
    <n v="0"/>
    <n v="0"/>
    <n v="0"/>
    <n v="0"/>
    <s v="MMR001CMP051"/>
    <x v="0"/>
    <x v="0"/>
    <s v="P4"/>
    <n v="9.7127455503484453E-5"/>
    <s v="No"/>
  </r>
  <r>
    <n v="36.033333333333331"/>
    <d v="2014-05-16T00:00:00"/>
    <x v="11"/>
    <s v="MRCS"/>
    <s v="Kachin"/>
    <s v="Myitkyina"/>
    <s v="Nan Kway St. John Catholic Church"/>
    <m/>
    <m/>
    <m/>
    <m/>
    <m/>
    <m/>
    <m/>
    <m/>
    <m/>
    <m/>
    <m/>
    <m/>
    <m/>
    <n v="142"/>
    <m/>
    <m/>
    <m/>
    <n v="0"/>
    <n v="0"/>
    <n v="0"/>
    <n v="0"/>
    <n v="0"/>
    <n v="0"/>
    <n v="0"/>
    <n v="0"/>
    <n v="0"/>
    <n v="0"/>
    <n v="0"/>
    <n v="0"/>
    <n v="0"/>
    <n v="0"/>
    <n v="1"/>
    <n v="0"/>
    <n v="0"/>
    <n v="0"/>
    <s v="MMR001CMP024"/>
    <x v="0"/>
    <x v="0"/>
    <s v="P4"/>
    <n v="0"/>
    <m/>
  </r>
  <r>
    <n v="36.033333333333331"/>
    <d v="2014-05-16T00:00:00"/>
    <x v="0"/>
    <s v="UNHCR"/>
    <s v="Kachin"/>
    <s v="Bhamo"/>
    <s v="Ta Gun Taing Monastery (Shwe Kyi Na)"/>
    <m/>
    <m/>
    <m/>
    <n v="24"/>
    <n v="13"/>
    <n v="24"/>
    <n v="13"/>
    <n v="13"/>
    <n v="13"/>
    <n v="33"/>
    <m/>
    <m/>
    <m/>
    <m/>
    <m/>
    <m/>
    <m/>
    <n v="0"/>
    <n v="0"/>
    <n v="0"/>
    <n v="0"/>
    <n v="0"/>
    <n v="0"/>
    <n v="0"/>
    <n v="0"/>
    <n v="0"/>
    <n v="0"/>
    <n v="0"/>
    <n v="0"/>
    <n v="0"/>
    <n v="0"/>
    <n v="0"/>
    <n v="0"/>
    <n v="0"/>
    <n v="0"/>
    <s v="MMR001CMP055"/>
    <x v="0"/>
    <x v="0"/>
    <s v="P4"/>
    <n v="3.1684133560809166E-4"/>
    <s v="No"/>
  </r>
  <r>
    <n v="35.93333333333333"/>
    <d v="2014-05-19T00:00:00"/>
    <x v="11"/>
    <s v="MRCS"/>
    <s v="Kachin"/>
    <s v="Waingmaw"/>
    <s v="Maina AG Church"/>
    <m/>
    <m/>
    <m/>
    <m/>
    <m/>
    <m/>
    <m/>
    <m/>
    <m/>
    <m/>
    <m/>
    <m/>
    <m/>
    <n v="224"/>
    <m/>
    <m/>
    <m/>
    <n v="0"/>
    <n v="0"/>
    <n v="0"/>
    <n v="0"/>
    <n v="0"/>
    <n v="0"/>
    <n v="0"/>
    <n v="0"/>
    <n v="0"/>
    <n v="0"/>
    <n v="0"/>
    <n v="0"/>
    <n v="0"/>
    <n v="0"/>
    <n v="1"/>
    <n v="0"/>
    <n v="0"/>
    <n v="0"/>
    <s v="MMR001CMP031"/>
    <x v="0"/>
    <x v="0"/>
    <s v="P4"/>
    <n v="0"/>
    <m/>
  </r>
  <r>
    <n v="35.93333333333333"/>
    <d v="2014-05-19T00:00:00"/>
    <x v="11"/>
    <s v="MRCS"/>
    <s v="Kachin"/>
    <s v="Waingmaw"/>
    <s v="Maina Lawang Baptist Church"/>
    <m/>
    <m/>
    <m/>
    <m/>
    <m/>
    <m/>
    <m/>
    <m/>
    <m/>
    <m/>
    <m/>
    <m/>
    <m/>
    <n v="230"/>
    <m/>
    <m/>
    <m/>
    <n v="0"/>
    <n v="0"/>
    <n v="0"/>
    <n v="0"/>
    <n v="0"/>
    <n v="0"/>
    <n v="0"/>
    <n v="0"/>
    <n v="0"/>
    <n v="0"/>
    <n v="0"/>
    <n v="0"/>
    <n v="0"/>
    <n v="0"/>
    <n v="1"/>
    <n v="0"/>
    <n v="0"/>
    <n v="0"/>
    <s v="MMR001CMP039"/>
    <x v="0"/>
    <x v="0"/>
    <s v="P4"/>
    <n v="0"/>
    <m/>
  </r>
  <r>
    <n v="35.93333333333333"/>
    <d v="2014-05-19T00:00:00"/>
    <x v="11"/>
    <s v="MRCS"/>
    <s v="Kachin"/>
    <s v="Waingmaw"/>
    <s v="Qtr. 3 Mu-yin  Baptist Church"/>
    <m/>
    <m/>
    <m/>
    <m/>
    <m/>
    <m/>
    <m/>
    <m/>
    <m/>
    <m/>
    <m/>
    <m/>
    <m/>
    <n v="60"/>
    <m/>
    <m/>
    <m/>
    <n v="0"/>
    <n v="0"/>
    <n v="0"/>
    <n v="0"/>
    <n v="0"/>
    <n v="0"/>
    <n v="0"/>
    <n v="0"/>
    <n v="0"/>
    <n v="0"/>
    <n v="0"/>
    <n v="0"/>
    <n v="0"/>
    <n v="0"/>
    <n v="1"/>
    <n v="0"/>
    <n v="0"/>
    <n v="0"/>
    <s v="MMR001CMP030"/>
    <x v="0"/>
    <x v="0"/>
    <s v="P4"/>
    <n v="0"/>
    <m/>
  </r>
  <r>
    <n v="35.9"/>
    <d v="2014-05-20T00:00:00"/>
    <x v="11"/>
    <s v="MRCS"/>
    <s v="Kachin"/>
    <s v="Myitkyina"/>
    <s v="Kyun Pin Thar Baptist Church"/>
    <m/>
    <m/>
    <m/>
    <m/>
    <m/>
    <m/>
    <m/>
    <m/>
    <m/>
    <m/>
    <m/>
    <m/>
    <m/>
    <n v="88"/>
    <m/>
    <m/>
    <m/>
    <n v="0"/>
    <n v="0"/>
    <n v="0"/>
    <n v="0"/>
    <n v="0"/>
    <n v="0"/>
    <n v="0"/>
    <n v="0"/>
    <n v="0"/>
    <n v="0"/>
    <n v="0"/>
    <n v="0"/>
    <n v="0"/>
    <n v="0"/>
    <n v="1"/>
    <n v="0"/>
    <n v="0"/>
    <n v="0"/>
    <s v="MMR001CMP013"/>
    <x v="0"/>
    <x v="0"/>
    <s v="P4"/>
    <n v="0"/>
    <m/>
  </r>
  <r>
    <n v="35.9"/>
    <d v="2014-05-20T00:00:00"/>
    <x v="11"/>
    <s v="MRCS"/>
    <s v="Kachin"/>
    <s v="Myitkyina"/>
    <s v="Le Kone Bethlehem Church"/>
    <m/>
    <m/>
    <m/>
    <m/>
    <m/>
    <m/>
    <m/>
    <m/>
    <m/>
    <m/>
    <m/>
    <m/>
    <m/>
    <n v="188"/>
    <m/>
    <m/>
    <m/>
    <n v="0"/>
    <n v="0"/>
    <n v="0"/>
    <n v="0"/>
    <n v="0"/>
    <n v="0"/>
    <n v="0"/>
    <n v="0"/>
    <n v="0"/>
    <n v="0"/>
    <n v="0"/>
    <n v="0"/>
    <n v="0"/>
    <n v="0"/>
    <n v="1"/>
    <n v="0"/>
    <n v="0"/>
    <n v="0"/>
    <s v="MMR001CMP015"/>
    <x v="0"/>
    <x v="0"/>
    <s v="P4"/>
    <n v="0"/>
    <m/>
  </r>
  <r>
    <n v="35.9"/>
    <d v="2014-05-20T00:00:00"/>
    <x v="11"/>
    <s v="MRCS"/>
    <s v="Kachin"/>
    <s v="Myitkyina"/>
    <s v="Le Kone Ziun Baptist Church "/>
    <m/>
    <m/>
    <m/>
    <m/>
    <m/>
    <m/>
    <m/>
    <m/>
    <m/>
    <m/>
    <m/>
    <m/>
    <m/>
    <n v="278"/>
    <m/>
    <m/>
    <m/>
    <n v="0"/>
    <n v="0"/>
    <n v="0"/>
    <n v="0"/>
    <n v="0"/>
    <n v="0"/>
    <n v="0"/>
    <n v="0"/>
    <n v="0"/>
    <n v="0"/>
    <n v="0"/>
    <n v="0"/>
    <n v="0"/>
    <n v="0"/>
    <n v="1"/>
    <n v="0"/>
    <n v="0"/>
    <n v="0"/>
    <s v="MMR001CMP014"/>
    <x v="0"/>
    <x v="0"/>
    <s v="P4"/>
    <n v="0"/>
    <m/>
  </r>
  <r>
    <n v="35.9"/>
    <d v="2014-05-20T00:00:00"/>
    <x v="11"/>
    <s v="MRCS"/>
    <s v="Kachin"/>
    <s v="Waingmaw"/>
    <s v="Maina KBC (Bawng Ring)"/>
    <m/>
    <m/>
    <m/>
    <m/>
    <m/>
    <m/>
    <m/>
    <m/>
    <m/>
    <m/>
    <m/>
    <m/>
    <m/>
    <n v="824"/>
    <m/>
    <m/>
    <m/>
    <n v="0"/>
    <n v="0"/>
    <n v="0"/>
    <n v="0"/>
    <n v="0"/>
    <n v="0"/>
    <n v="0"/>
    <n v="0"/>
    <n v="0"/>
    <n v="0"/>
    <n v="0"/>
    <n v="0"/>
    <n v="0"/>
    <n v="0"/>
    <n v="1"/>
    <n v="0"/>
    <n v="0"/>
    <n v="0"/>
    <s v="MMR001CMP040"/>
    <x v="0"/>
    <x v="0"/>
    <s v="P4"/>
    <n v="0"/>
    <m/>
  </r>
  <r>
    <n v="35.9"/>
    <d v="2014-05-20T00:00:00"/>
    <x v="11"/>
    <s v="MRCS"/>
    <s v="Kachin"/>
    <s v="Myitkyina"/>
    <s v="Maliyang Baptist Church"/>
    <m/>
    <m/>
    <m/>
    <m/>
    <m/>
    <m/>
    <m/>
    <m/>
    <m/>
    <m/>
    <m/>
    <m/>
    <m/>
    <n v="142"/>
    <m/>
    <m/>
    <m/>
    <n v="0"/>
    <n v="0"/>
    <n v="0"/>
    <n v="0"/>
    <n v="0"/>
    <n v="0"/>
    <n v="0"/>
    <n v="0"/>
    <n v="0"/>
    <n v="0"/>
    <n v="0"/>
    <n v="0"/>
    <n v="0"/>
    <n v="0"/>
    <n v="1"/>
    <n v="0"/>
    <n v="0"/>
    <n v="0"/>
    <s v="MMR001CMP016"/>
    <x v="0"/>
    <x v="0"/>
    <s v="P4"/>
    <n v="0"/>
    <m/>
  </r>
  <r>
    <n v="35.866666666666667"/>
    <d v="2014-05-21T00:00:00"/>
    <x v="11"/>
    <s v="MRCS"/>
    <s v="Kachin"/>
    <s v="Myitkyina"/>
    <s v="Shatapru Thida Aye Baptist Church"/>
    <m/>
    <m/>
    <m/>
    <m/>
    <m/>
    <m/>
    <m/>
    <m/>
    <m/>
    <m/>
    <m/>
    <m/>
    <m/>
    <n v="30"/>
    <m/>
    <m/>
    <m/>
    <n v="0"/>
    <n v="0"/>
    <n v="0"/>
    <n v="0"/>
    <n v="0"/>
    <n v="0"/>
    <n v="0"/>
    <n v="0"/>
    <n v="0"/>
    <n v="0"/>
    <n v="0"/>
    <n v="0"/>
    <n v="0"/>
    <n v="0"/>
    <n v="1"/>
    <n v="0"/>
    <n v="0"/>
    <n v="0"/>
    <s v="MMR001CMP007"/>
    <x v="0"/>
    <x v="0"/>
    <s v="P4"/>
    <n v="0"/>
    <m/>
  </r>
  <r>
    <n v="35.866666666666667"/>
    <d v="2014-05-21T00:00:00"/>
    <x v="11"/>
    <s v="MRCS"/>
    <s v="Kachin"/>
    <s v="Waingmaw"/>
    <s v="Thargaya Lisu Baptist Church"/>
    <m/>
    <m/>
    <m/>
    <m/>
    <m/>
    <m/>
    <m/>
    <m/>
    <m/>
    <m/>
    <m/>
    <m/>
    <m/>
    <n v="136"/>
    <m/>
    <m/>
    <m/>
    <n v="0"/>
    <n v="0"/>
    <n v="0"/>
    <n v="0"/>
    <n v="0"/>
    <n v="0"/>
    <n v="0"/>
    <n v="0"/>
    <n v="0"/>
    <n v="0"/>
    <n v="0"/>
    <n v="0"/>
    <n v="0"/>
    <n v="0"/>
    <n v="1"/>
    <n v="0"/>
    <n v="0"/>
    <n v="0"/>
    <s v="MMR001CMP037"/>
    <x v="0"/>
    <x v="0"/>
    <s v="P4"/>
    <n v="0"/>
    <m/>
  </r>
  <r>
    <n v="35.866666666666667"/>
    <d v="2014-05-21T00:00:00"/>
    <x v="11"/>
    <s v="MRCS"/>
    <s v="Kachin"/>
    <s v="Myitkyina"/>
    <s v="Myay Myint Baptist Church"/>
    <m/>
    <m/>
    <m/>
    <m/>
    <m/>
    <m/>
    <m/>
    <m/>
    <m/>
    <m/>
    <m/>
    <m/>
    <m/>
    <n v="24"/>
    <m/>
    <m/>
    <m/>
    <n v="0"/>
    <n v="0"/>
    <n v="0"/>
    <n v="0"/>
    <n v="0"/>
    <n v="0"/>
    <n v="0"/>
    <n v="0"/>
    <n v="0"/>
    <n v="0"/>
    <n v="0"/>
    <n v="0"/>
    <n v="0"/>
    <n v="0"/>
    <n v="1"/>
    <n v="0"/>
    <n v="0"/>
    <n v="0"/>
    <s v="MMR001CMP017"/>
    <x v="0"/>
    <x v="1"/>
    <s v="P4"/>
    <n v="0"/>
    <m/>
  </r>
  <r>
    <n v="35.833333333333336"/>
    <d v="2014-05-22T00:00:00"/>
    <x v="11"/>
    <s v="MRCS"/>
    <s v="Kachin"/>
    <s v="Waingmaw"/>
    <s v="Mading Baptist Church"/>
    <m/>
    <m/>
    <m/>
    <m/>
    <m/>
    <m/>
    <m/>
    <m/>
    <m/>
    <m/>
    <m/>
    <m/>
    <m/>
    <n v="46"/>
    <m/>
    <m/>
    <m/>
    <n v="0"/>
    <n v="0"/>
    <n v="0"/>
    <n v="0"/>
    <n v="0"/>
    <n v="0"/>
    <n v="0"/>
    <n v="0"/>
    <n v="0"/>
    <n v="0"/>
    <n v="0"/>
    <n v="0"/>
    <n v="0"/>
    <n v="0"/>
    <n v="1"/>
    <n v="0"/>
    <n v="0"/>
    <n v="0"/>
    <s v="MMR001CMP027"/>
    <x v="0"/>
    <x v="0"/>
    <s v="P4"/>
    <n v="0"/>
    <m/>
  </r>
  <r>
    <n v="35.833333333333336"/>
    <d v="2014-05-22T00:00:00"/>
    <x v="11"/>
    <s v="MRCS"/>
    <s v="Kachin"/>
    <s v="Waingmaw"/>
    <s v="Qtr. 2 Lhaovo Baptist Church"/>
    <m/>
    <m/>
    <m/>
    <m/>
    <m/>
    <m/>
    <m/>
    <m/>
    <m/>
    <m/>
    <m/>
    <m/>
    <m/>
    <n v="88"/>
    <m/>
    <m/>
    <m/>
    <n v="0"/>
    <n v="0"/>
    <n v="0"/>
    <n v="0"/>
    <n v="0"/>
    <n v="0"/>
    <n v="0"/>
    <n v="0"/>
    <n v="0"/>
    <n v="0"/>
    <n v="0"/>
    <n v="0"/>
    <n v="0"/>
    <n v="0"/>
    <n v="1"/>
    <n v="0"/>
    <n v="0"/>
    <n v="0"/>
    <s v="MMR001CMP032"/>
    <x v="0"/>
    <x v="0"/>
    <s v="P4"/>
    <n v="0"/>
    <m/>
  </r>
  <r>
    <n v="35.833333333333336"/>
    <d v="2014-05-22T00:00:00"/>
    <x v="11"/>
    <s v="MRCS"/>
    <s v="Kachin"/>
    <s v="Waingmaw"/>
    <s v="Qtr. 2 Myoma Baptist Church"/>
    <m/>
    <m/>
    <m/>
    <m/>
    <m/>
    <m/>
    <m/>
    <m/>
    <m/>
    <m/>
    <m/>
    <m/>
    <m/>
    <n v="140"/>
    <m/>
    <m/>
    <m/>
    <n v="0"/>
    <n v="0"/>
    <n v="0"/>
    <n v="0"/>
    <n v="0"/>
    <n v="0"/>
    <n v="0"/>
    <n v="0"/>
    <n v="0"/>
    <n v="0"/>
    <n v="0"/>
    <n v="0"/>
    <n v="0"/>
    <n v="0"/>
    <n v="1"/>
    <n v="0"/>
    <n v="0"/>
    <n v="0"/>
    <s v="MMR001CMP025"/>
    <x v="0"/>
    <x v="0"/>
    <s v="P4"/>
    <n v="0"/>
    <m/>
  </r>
  <r>
    <n v="35.733333333333334"/>
    <d v="2014-05-25T00:00:00"/>
    <x v="11"/>
    <s v="MRCS"/>
    <s v="Kachin"/>
    <s v="Waingmaw"/>
    <s v="Hkat Cho "/>
    <m/>
    <m/>
    <m/>
    <m/>
    <m/>
    <m/>
    <m/>
    <m/>
    <m/>
    <m/>
    <m/>
    <m/>
    <m/>
    <n v="224"/>
    <m/>
    <m/>
    <m/>
    <n v="0"/>
    <n v="0"/>
    <n v="0"/>
    <n v="0"/>
    <n v="0"/>
    <n v="0"/>
    <n v="0"/>
    <n v="0"/>
    <n v="0"/>
    <n v="0"/>
    <n v="0"/>
    <n v="0"/>
    <n v="0"/>
    <n v="0"/>
    <n v="1"/>
    <n v="0"/>
    <n v="0"/>
    <n v="0"/>
    <s v="MMR001CMP028"/>
    <x v="0"/>
    <x v="0"/>
    <s v="P4"/>
    <n v="0"/>
    <m/>
  </r>
  <r>
    <n v="35.733333333333334"/>
    <d v="2014-05-25T00:00:00"/>
    <x v="11"/>
    <s v="MRCS"/>
    <s v="Kachin"/>
    <s v="Waingmaw"/>
    <s v="Qtr. 4 Monestry (Thargaya Thayett Taw)"/>
    <m/>
    <m/>
    <m/>
    <m/>
    <m/>
    <m/>
    <m/>
    <m/>
    <m/>
    <m/>
    <m/>
    <m/>
    <m/>
    <n v="182"/>
    <m/>
    <m/>
    <m/>
    <n v="0"/>
    <n v="0"/>
    <n v="0"/>
    <n v="0"/>
    <n v="0"/>
    <n v="0"/>
    <n v="0"/>
    <n v="0"/>
    <n v="0"/>
    <n v="0"/>
    <n v="0"/>
    <n v="0"/>
    <n v="0"/>
    <n v="0"/>
    <n v="1"/>
    <n v="0"/>
    <n v="0"/>
    <n v="0"/>
    <s v="MMR001CMP026"/>
    <x v="0"/>
    <x v="0"/>
    <s v="P4"/>
    <n v="0"/>
    <m/>
  </r>
  <r>
    <n v="35.700000000000003"/>
    <d v="2014-05-26T00:00:00"/>
    <x v="11"/>
    <s v="MRCS"/>
    <s v="Kachin"/>
    <s v="Waingmaw"/>
    <s v="Nawng Hee Village"/>
    <m/>
    <m/>
    <m/>
    <m/>
    <m/>
    <m/>
    <m/>
    <m/>
    <m/>
    <m/>
    <m/>
    <m/>
    <m/>
    <n v="36"/>
    <m/>
    <m/>
    <m/>
    <n v="0"/>
    <n v="0"/>
    <n v="0"/>
    <n v="0"/>
    <n v="0"/>
    <n v="0"/>
    <n v="0"/>
    <n v="0"/>
    <n v="0"/>
    <n v="0"/>
    <n v="0"/>
    <n v="0"/>
    <n v="0"/>
    <n v="0"/>
    <n v="1"/>
    <n v="0"/>
    <n v="0"/>
    <n v="0"/>
    <s v="MMR001CMP033"/>
    <x v="0"/>
    <x v="0"/>
    <s v="P4"/>
    <n v="0"/>
    <m/>
  </r>
  <r>
    <n v="35.666666666666664"/>
    <d v="2014-05-27T00:00:00"/>
    <x v="0"/>
    <s v="Shalom"/>
    <s v="Kachin"/>
    <s v="Chipwi"/>
    <s v="Chipwi KBC camp"/>
    <m/>
    <m/>
    <n v="36"/>
    <n v="18"/>
    <n v="36"/>
    <n v="18"/>
    <m/>
    <n v="18"/>
    <n v="90"/>
    <m/>
    <m/>
    <m/>
    <m/>
    <m/>
    <m/>
    <m/>
    <m/>
    <n v="0"/>
    <n v="0"/>
    <n v="0"/>
    <n v="0"/>
    <n v="0"/>
    <n v="0"/>
    <n v="0"/>
    <n v="0"/>
    <n v="0"/>
    <n v="0"/>
    <n v="0"/>
    <n v="0"/>
    <n v="0"/>
    <n v="0"/>
    <n v="0"/>
    <n v="0"/>
    <n v="0"/>
    <n v="0"/>
    <s v="MMR001CMP042"/>
    <x v="0"/>
    <x v="0"/>
    <s v="P1"/>
    <n v="0"/>
    <m/>
  </r>
  <r>
    <n v="35.666666666666664"/>
    <d v="2014-05-27T00:00:00"/>
    <x v="0"/>
    <s v="Shalom"/>
    <s v="Kachin"/>
    <s v="Waingmaw"/>
    <s v="Hkat Cho "/>
    <m/>
    <m/>
    <n v="2"/>
    <n v="1"/>
    <n v="2"/>
    <n v="1"/>
    <m/>
    <n v="1"/>
    <n v="5"/>
    <m/>
    <m/>
    <m/>
    <m/>
    <m/>
    <m/>
    <m/>
    <m/>
    <n v="0"/>
    <n v="0"/>
    <n v="0"/>
    <n v="0"/>
    <n v="0"/>
    <n v="0"/>
    <n v="0"/>
    <n v="0"/>
    <n v="0"/>
    <n v="0"/>
    <n v="0"/>
    <n v="0"/>
    <n v="0"/>
    <n v="0"/>
    <n v="0"/>
    <n v="0"/>
    <n v="0"/>
    <n v="0"/>
    <s v="MMR001CMP028"/>
    <x v="0"/>
    <x v="0"/>
    <s v="P4"/>
    <n v="0"/>
    <m/>
  </r>
  <r>
    <n v="35.666666666666664"/>
    <d v="2014-05-27T00:00:00"/>
    <x v="0"/>
    <s v="Shalom"/>
    <s v="Kachin"/>
    <s v="Waingmaw"/>
    <s v="Maina AG Church"/>
    <m/>
    <m/>
    <n v="50"/>
    <n v="25"/>
    <n v="50"/>
    <n v="25"/>
    <m/>
    <n v="25"/>
    <n v="125"/>
    <m/>
    <m/>
    <m/>
    <m/>
    <m/>
    <m/>
    <m/>
    <m/>
    <n v="0"/>
    <n v="0"/>
    <n v="0"/>
    <n v="0"/>
    <n v="0"/>
    <n v="0"/>
    <n v="0"/>
    <n v="0"/>
    <n v="0"/>
    <n v="0"/>
    <n v="0"/>
    <n v="0"/>
    <n v="0"/>
    <n v="0"/>
    <n v="0"/>
    <n v="0"/>
    <n v="0"/>
    <n v="0"/>
    <s v="MMR001CMP031"/>
    <x v="0"/>
    <x v="0"/>
    <s v="P4"/>
    <n v="0"/>
    <m/>
  </r>
  <r>
    <n v="35.666666666666664"/>
    <d v="2014-05-27T00:00:00"/>
    <x v="0"/>
    <s v="Shalom"/>
    <s v="Kachin"/>
    <s v="Myitkyina"/>
    <s v="Maw Hpawng Hka Nan Baptist Church"/>
    <m/>
    <m/>
    <n v="12"/>
    <n v="6"/>
    <n v="12"/>
    <n v="6"/>
    <m/>
    <n v="6"/>
    <n v="30"/>
    <m/>
    <m/>
    <m/>
    <m/>
    <m/>
    <m/>
    <m/>
    <m/>
    <n v="0"/>
    <n v="0"/>
    <n v="0"/>
    <n v="0"/>
    <n v="0"/>
    <n v="0"/>
    <n v="0"/>
    <n v="0"/>
    <n v="0"/>
    <n v="0"/>
    <n v="0"/>
    <n v="0"/>
    <n v="0"/>
    <n v="0"/>
    <n v="0"/>
    <n v="0"/>
    <n v="0"/>
    <n v="0"/>
    <s v="MMR001CMP020"/>
    <x v="0"/>
    <x v="0"/>
    <s v="P4"/>
    <n v="0"/>
    <m/>
  </r>
  <r>
    <n v="35.666666666666664"/>
    <d v="2014-05-27T00:00:00"/>
    <x v="0"/>
    <s v="Shalom"/>
    <s v="Kachin"/>
    <s v="Waingmaw"/>
    <s v="Qtr. 4 Monestry (Thargaya Thayett Taw)"/>
    <m/>
    <m/>
    <n v="3"/>
    <n v="3"/>
    <n v="6"/>
    <n v="3"/>
    <m/>
    <n v="3"/>
    <n v="15"/>
    <m/>
    <m/>
    <m/>
    <m/>
    <m/>
    <m/>
    <m/>
    <m/>
    <n v="0"/>
    <n v="0"/>
    <n v="0"/>
    <n v="0"/>
    <n v="0"/>
    <n v="0"/>
    <n v="0"/>
    <n v="0"/>
    <n v="0"/>
    <n v="0"/>
    <n v="0"/>
    <n v="0"/>
    <n v="0"/>
    <n v="0"/>
    <n v="0"/>
    <n v="0"/>
    <n v="0"/>
    <n v="0"/>
    <s v="MMR001CMP026"/>
    <x v="0"/>
    <x v="0"/>
    <s v="P4"/>
    <n v="0"/>
    <m/>
  </r>
  <r>
    <n v="35.666666666666664"/>
    <d v="2014-05-27T00:00:00"/>
    <x v="0"/>
    <s v="Shalom"/>
    <s v="Kachin"/>
    <s v="Waingmaw"/>
    <s v="Thargaya Lisu Baptist Church"/>
    <m/>
    <m/>
    <n v="18"/>
    <n v="9"/>
    <n v="18"/>
    <n v="9"/>
    <m/>
    <n v="9"/>
    <n v="45"/>
    <m/>
    <m/>
    <m/>
    <m/>
    <m/>
    <m/>
    <m/>
    <m/>
    <n v="0"/>
    <n v="0"/>
    <n v="0"/>
    <n v="0"/>
    <n v="0"/>
    <n v="0"/>
    <n v="0"/>
    <n v="0"/>
    <n v="0"/>
    <n v="0"/>
    <n v="0"/>
    <n v="0"/>
    <n v="0"/>
    <n v="0"/>
    <n v="0"/>
    <n v="0"/>
    <n v="0"/>
    <n v="0"/>
    <s v="MMR001CMP037"/>
    <x v="0"/>
    <x v="0"/>
    <s v="P4"/>
    <n v="0"/>
    <m/>
  </r>
  <r>
    <n v="35.633333333333333"/>
    <d v="2014-05-28T00:00:00"/>
    <x v="11"/>
    <s v="MRCS"/>
    <s v="Kachin"/>
    <s v="Myitkyina"/>
    <s v="Tat Kone Baptist Church"/>
    <m/>
    <m/>
    <m/>
    <m/>
    <m/>
    <m/>
    <m/>
    <m/>
    <m/>
    <m/>
    <m/>
    <m/>
    <m/>
    <n v="120"/>
    <m/>
    <m/>
    <m/>
    <n v="0"/>
    <n v="0"/>
    <n v="0"/>
    <n v="0"/>
    <n v="0"/>
    <n v="0"/>
    <n v="0"/>
    <n v="0"/>
    <n v="0"/>
    <n v="0"/>
    <n v="0"/>
    <n v="0"/>
    <n v="0"/>
    <n v="0"/>
    <n v="1"/>
    <n v="0"/>
    <n v="0"/>
    <n v="0"/>
    <s v="MMR001CMP001"/>
    <x v="0"/>
    <x v="0"/>
    <s v="P4"/>
    <n v="0"/>
    <m/>
  </r>
  <r>
    <n v="35.633333333333333"/>
    <d v="2014-05-28T00:00:00"/>
    <x v="11"/>
    <s v="MRCS"/>
    <s v="Kachin"/>
    <s v="Myitkyina"/>
    <s v="Tat Kone COC Baptist - Tat Kone Htoi San"/>
    <m/>
    <m/>
    <m/>
    <m/>
    <m/>
    <m/>
    <m/>
    <m/>
    <m/>
    <m/>
    <m/>
    <m/>
    <m/>
    <n v="138"/>
    <m/>
    <m/>
    <m/>
    <n v="0"/>
    <n v="0"/>
    <n v="0"/>
    <n v="0"/>
    <n v="0"/>
    <n v="0"/>
    <n v="0"/>
    <n v="0"/>
    <n v="0"/>
    <n v="0"/>
    <n v="0"/>
    <n v="0"/>
    <n v="0"/>
    <n v="0"/>
    <n v="1"/>
    <n v="0"/>
    <n v="0"/>
    <n v="0"/>
    <s v="MMR001CMP023"/>
    <x v="0"/>
    <x v="0"/>
    <s v="P4"/>
    <n v="0"/>
    <m/>
  </r>
  <r>
    <n v="35.633333333333333"/>
    <d v="2014-05-28T00:00:00"/>
    <x v="11"/>
    <s v="MRCS"/>
    <s v="Kachin"/>
    <s v="Myitkyina"/>
    <s v="Tat Kone Galile Baptist Church"/>
    <m/>
    <m/>
    <m/>
    <m/>
    <m/>
    <m/>
    <m/>
    <m/>
    <m/>
    <m/>
    <m/>
    <m/>
    <m/>
    <n v="58"/>
    <m/>
    <m/>
    <m/>
    <n v="0"/>
    <n v="0"/>
    <n v="0"/>
    <n v="0"/>
    <n v="0"/>
    <n v="0"/>
    <n v="0"/>
    <n v="0"/>
    <n v="0"/>
    <n v="0"/>
    <n v="0"/>
    <n v="0"/>
    <n v="0"/>
    <n v="0"/>
    <n v="1"/>
    <n v="0"/>
    <n v="0"/>
    <n v="0"/>
    <s v="MMR001CMP003"/>
    <x v="0"/>
    <x v="0"/>
    <s v="P4"/>
    <n v="0"/>
    <m/>
  </r>
  <r>
    <n v="35.56666666666667"/>
    <d v="2014-05-30T00:00:00"/>
    <x v="11"/>
    <s v="MRCS"/>
    <s v="Kachin"/>
    <s v="Myitkyina"/>
    <s v="Wun Tho Buddhist Monastery"/>
    <m/>
    <m/>
    <m/>
    <m/>
    <m/>
    <m/>
    <m/>
    <m/>
    <m/>
    <m/>
    <m/>
    <m/>
    <m/>
    <n v="12"/>
    <m/>
    <m/>
    <m/>
    <n v="0"/>
    <n v="0"/>
    <n v="0"/>
    <n v="0"/>
    <n v="0"/>
    <n v="0"/>
    <n v="0"/>
    <n v="0"/>
    <n v="0"/>
    <n v="0"/>
    <n v="0"/>
    <n v="0"/>
    <n v="0"/>
    <n v="0"/>
    <n v="1"/>
    <n v="0"/>
    <n v="0"/>
    <n v="0"/>
    <s v="MMR001CMP022"/>
    <x v="0"/>
    <x v="0"/>
    <s v="P4"/>
    <n v="0"/>
    <m/>
  </r>
  <r>
    <n v="35.4"/>
    <d v="2014-06-04T00:00:00"/>
    <x v="0"/>
    <s v="KBC"/>
    <s v="Kachin"/>
    <s v="Momauk"/>
    <s v="Momauk Baptist Church"/>
    <m/>
    <m/>
    <m/>
    <m/>
    <n v="80"/>
    <m/>
    <m/>
    <m/>
    <m/>
    <m/>
    <m/>
    <m/>
    <m/>
    <m/>
    <m/>
    <m/>
    <m/>
    <n v="0"/>
    <n v="0"/>
    <n v="0"/>
    <n v="0"/>
    <n v="0"/>
    <n v="0"/>
    <n v="0"/>
    <n v="0"/>
    <n v="0"/>
    <n v="0"/>
    <n v="0"/>
    <n v="0"/>
    <n v="0"/>
    <n v="0"/>
    <n v="0"/>
    <n v="0"/>
    <n v="0"/>
    <n v="0"/>
    <s v="MMR001CMP056"/>
    <x v="0"/>
    <x v="0"/>
    <s v="P4"/>
    <n v="0"/>
    <s v="No"/>
  </r>
  <r>
    <n v="35.333333333333336"/>
    <d v="2014-06-06T00:00:00"/>
    <x v="11"/>
    <s v="MRCS"/>
    <s v="Kachin"/>
    <s v="Mohnyin"/>
    <s v="St. Patrick Catholic Church "/>
    <m/>
    <m/>
    <m/>
    <m/>
    <m/>
    <m/>
    <m/>
    <m/>
    <m/>
    <m/>
    <m/>
    <m/>
    <m/>
    <n v="24"/>
    <m/>
    <m/>
    <m/>
    <n v="0"/>
    <n v="0"/>
    <n v="0"/>
    <n v="0"/>
    <n v="0"/>
    <n v="0"/>
    <n v="0"/>
    <n v="0"/>
    <n v="0"/>
    <n v="0"/>
    <n v="0"/>
    <n v="0"/>
    <n v="0"/>
    <n v="0"/>
    <n v="1"/>
    <n v="0"/>
    <n v="0"/>
    <n v="0"/>
    <s v="MMR001CMP080"/>
    <x v="0"/>
    <x v="0"/>
    <s v="P4"/>
    <n v="0"/>
    <m/>
  </r>
  <r>
    <n v="35.299999999999997"/>
    <d v="2014-06-07T00:00:00"/>
    <x v="11"/>
    <s v="MRCS"/>
    <s v="Kachin"/>
    <s v="Mohnyin"/>
    <s v="Nawng Ing (Indawgyi) Baptist Church  "/>
    <m/>
    <m/>
    <m/>
    <m/>
    <m/>
    <m/>
    <m/>
    <m/>
    <m/>
    <m/>
    <m/>
    <m/>
    <m/>
    <n v="40"/>
    <m/>
    <m/>
    <m/>
    <n v="0"/>
    <n v="0"/>
    <n v="0"/>
    <n v="0"/>
    <n v="0"/>
    <n v="0"/>
    <n v="0"/>
    <n v="0"/>
    <n v="0"/>
    <n v="0"/>
    <n v="0"/>
    <n v="0"/>
    <n v="0"/>
    <n v="0"/>
    <n v="1"/>
    <n v="0"/>
    <n v="0"/>
    <n v="0"/>
    <s v="MMR001CMP152"/>
    <x v="0"/>
    <x v="0"/>
    <s v="P4"/>
    <n v="0"/>
    <m/>
  </r>
  <r>
    <n v="35.1"/>
    <d v="2014-06-13T00:00:00"/>
    <x v="0"/>
    <m/>
    <s v="Kachin"/>
    <s v="Mansi"/>
    <s v="Maing Khaung"/>
    <m/>
    <m/>
    <m/>
    <n v="54"/>
    <n v="18"/>
    <n v="45"/>
    <n v="18"/>
    <m/>
    <n v="18"/>
    <n v="50"/>
    <m/>
    <m/>
    <m/>
    <m/>
    <m/>
    <m/>
    <m/>
    <n v="0"/>
    <n v="0"/>
    <n v="0"/>
    <n v="0"/>
    <n v="0"/>
    <n v="0"/>
    <n v="0"/>
    <n v="0"/>
    <n v="0"/>
    <n v="0"/>
    <n v="0"/>
    <n v="0"/>
    <n v="0"/>
    <n v="0"/>
    <n v="0"/>
    <n v="0"/>
    <n v="0"/>
    <n v="0"/>
    <s v="MMR001CMP218"/>
    <x v="0"/>
    <x v="0"/>
    <s v="P4"/>
    <n v="4.332338500048137E-4"/>
    <m/>
  </r>
  <r>
    <n v="35.06666666666667"/>
    <d v="2014-06-14T00:00:00"/>
    <x v="11"/>
    <s v="MRCS"/>
    <s v="Kachin"/>
    <s v="Myitkyina"/>
    <s v="Jan Mai Kawng Baptist Church"/>
    <m/>
    <m/>
    <m/>
    <m/>
    <m/>
    <m/>
    <m/>
    <m/>
    <m/>
    <m/>
    <m/>
    <m/>
    <m/>
    <n v="406"/>
    <m/>
    <m/>
    <m/>
    <n v="0"/>
    <n v="0"/>
    <n v="0"/>
    <n v="0"/>
    <n v="0"/>
    <n v="0"/>
    <n v="0"/>
    <n v="0"/>
    <n v="0"/>
    <n v="0"/>
    <n v="0"/>
    <n v="0"/>
    <n v="0"/>
    <n v="0"/>
    <n v="1"/>
    <n v="0"/>
    <n v="0"/>
    <n v="0"/>
    <s v="MMR001CMP018"/>
    <x v="0"/>
    <x v="0"/>
    <s v="P4"/>
    <n v="0"/>
    <m/>
  </r>
  <r>
    <n v="35.06666666666667"/>
    <d v="2014-06-14T00:00:00"/>
    <x v="11"/>
    <s v="MRCS"/>
    <s v="Kachin"/>
    <s v="Myitkyina"/>
    <s v="Jan Mai Kawng Catholic Church"/>
    <m/>
    <m/>
    <m/>
    <m/>
    <m/>
    <m/>
    <m/>
    <m/>
    <m/>
    <m/>
    <m/>
    <m/>
    <m/>
    <n v="216"/>
    <m/>
    <m/>
    <m/>
    <n v="0"/>
    <n v="0"/>
    <n v="0"/>
    <n v="0"/>
    <n v="0"/>
    <n v="0"/>
    <n v="0"/>
    <n v="0"/>
    <n v="0"/>
    <n v="0"/>
    <n v="0"/>
    <n v="0"/>
    <n v="0"/>
    <n v="0"/>
    <n v="1"/>
    <n v="0"/>
    <n v="0"/>
    <n v="0"/>
    <s v="MMR001CMP019"/>
    <x v="0"/>
    <x v="0"/>
    <s v="P4"/>
    <n v="0"/>
    <m/>
  </r>
  <r>
    <n v="35.033333333333331"/>
    <d v="2014-06-15T00:00:00"/>
    <x v="11"/>
    <s v="MRCS"/>
    <s v="Kachin"/>
    <s v="Shwegu"/>
    <s v="Shwe Gu Baptist Church"/>
    <m/>
    <m/>
    <m/>
    <m/>
    <m/>
    <m/>
    <m/>
    <m/>
    <m/>
    <m/>
    <m/>
    <m/>
    <m/>
    <n v="158"/>
    <m/>
    <m/>
    <m/>
    <n v="0"/>
    <n v="0"/>
    <n v="0"/>
    <n v="0"/>
    <n v="0"/>
    <n v="0"/>
    <n v="0"/>
    <n v="0"/>
    <n v="0"/>
    <n v="0"/>
    <n v="0"/>
    <n v="0"/>
    <n v="0"/>
    <n v="0"/>
    <n v="1"/>
    <n v="0"/>
    <n v="0"/>
    <n v="0"/>
    <s v="MMR001CMP067"/>
    <x v="0"/>
    <x v="0"/>
    <s v="P4"/>
    <n v="0"/>
    <m/>
  </r>
  <r>
    <n v="35.033333333333331"/>
    <d v="2014-06-15T00:00:00"/>
    <x v="11"/>
    <s v="MRCS"/>
    <s v="Kachin"/>
    <s v="Shwegu"/>
    <s v="Shwe Gu Catholic Church"/>
    <m/>
    <m/>
    <m/>
    <m/>
    <m/>
    <m/>
    <m/>
    <m/>
    <m/>
    <m/>
    <m/>
    <m/>
    <m/>
    <n v="112"/>
    <m/>
    <m/>
    <m/>
    <n v="0"/>
    <n v="0"/>
    <n v="0"/>
    <n v="0"/>
    <n v="0"/>
    <n v="0"/>
    <n v="0"/>
    <n v="0"/>
    <n v="0"/>
    <n v="0"/>
    <n v="0"/>
    <n v="0"/>
    <n v="0"/>
    <n v="0"/>
    <n v="1"/>
    <n v="0"/>
    <n v="0"/>
    <n v="0"/>
    <s v="MMR001CMP068"/>
    <x v="0"/>
    <x v="0"/>
    <s v="P4"/>
    <n v="0"/>
    <m/>
  </r>
  <r>
    <n v="34.966666666666669"/>
    <d v="2014-06-17T00:00:00"/>
    <x v="0"/>
    <m/>
    <s v="Kachin"/>
    <s v="Mansi"/>
    <s v="Maing Khaung"/>
    <m/>
    <m/>
    <m/>
    <n v="10"/>
    <n v="3"/>
    <n v="10"/>
    <n v="3"/>
    <m/>
    <n v="3"/>
    <n v="10"/>
    <m/>
    <m/>
    <m/>
    <m/>
    <m/>
    <m/>
    <m/>
    <n v="0"/>
    <n v="0"/>
    <n v="0"/>
    <n v="0"/>
    <n v="0"/>
    <n v="0"/>
    <n v="0"/>
    <n v="0"/>
    <n v="0"/>
    <n v="0"/>
    <n v="0"/>
    <n v="0"/>
    <n v="0"/>
    <n v="0"/>
    <n v="0"/>
    <n v="0"/>
    <n v="0"/>
    <n v="0"/>
    <s v="MMR001CMP218"/>
    <x v="0"/>
    <x v="0"/>
    <s v="P4"/>
    <n v="7.2205641667468946E-5"/>
    <m/>
  </r>
  <r>
    <n v="34.866666666666667"/>
    <d v="2014-06-20T00:00:00"/>
    <x v="11"/>
    <s v="MRCS"/>
    <s v="Kachin"/>
    <s v="Myitkyina"/>
    <s v="Tat Kone Emanuel Church"/>
    <m/>
    <m/>
    <m/>
    <m/>
    <m/>
    <m/>
    <m/>
    <m/>
    <m/>
    <m/>
    <m/>
    <m/>
    <m/>
    <n v="16"/>
    <m/>
    <m/>
    <m/>
    <n v="0"/>
    <n v="0"/>
    <n v="0"/>
    <n v="0"/>
    <n v="0"/>
    <n v="0"/>
    <n v="0"/>
    <n v="0"/>
    <n v="0"/>
    <n v="0"/>
    <n v="0"/>
    <n v="0"/>
    <n v="0"/>
    <n v="0"/>
    <n v="1"/>
    <n v="0"/>
    <n v="0"/>
    <n v="0"/>
    <s v="MMR001CMP004"/>
    <x v="0"/>
    <x v="0"/>
    <s v="P4"/>
    <n v="0"/>
    <m/>
  </r>
  <r>
    <n v="34.833333333333336"/>
    <d v="2014-06-21T00:00:00"/>
    <x v="11"/>
    <s v="MRCS"/>
    <s v="Kachin"/>
    <s v="Myitkyina"/>
    <s v="Du Kahtawng Qtr. 14"/>
    <m/>
    <m/>
    <m/>
    <m/>
    <m/>
    <m/>
    <m/>
    <m/>
    <m/>
    <m/>
    <m/>
    <m/>
    <m/>
    <n v="12"/>
    <m/>
    <m/>
    <m/>
    <n v="0"/>
    <n v="0"/>
    <n v="0"/>
    <n v="0"/>
    <n v="0"/>
    <n v="0"/>
    <n v="0"/>
    <n v="0"/>
    <n v="0"/>
    <n v="0"/>
    <n v="0"/>
    <n v="0"/>
    <n v="0"/>
    <n v="0"/>
    <n v="1"/>
    <n v="0"/>
    <n v="0"/>
    <n v="0"/>
    <s v="MMR001CMP012"/>
    <x v="0"/>
    <x v="0"/>
    <s v="P4"/>
    <n v="0"/>
    <m/>
  </r>
  <r>
    <n v="34.833333333333336"/>
    <d v="2014-06-21T00:00:00"/>
    <x v="11"/>
    <s v="MRCS"/>
    <s v="Kachin"/>
    <s v="Myitkyina"/>
    <s v="Du Kahtawng Qtr. 4"/>
    <m/>
    <m/>
    <m/>
    <m/>
    <m/>
    <m/>
    <m/>
    <m/>
    <m/>
    <m/>
    <m/>
    <m/>
    <m/>
    <n v="12"/>
    <m/>
    <m/>
    <m/>
    <n v="0"/>
    <n v="0"/>
    <n v="0"/>
    <n v="0"/>
    <n v="0"/>
    <n v="0"/>
    <n v="0"/>
    <n v="0"/>
    <n v="0"/>
    <n v="0"/>
    <n v="0"/>
    <n v="0"/>
    <n v="0"/>
    <n v="0"/>
    <n v="1"/>
    <n v="0"/>
    <n v="0"/>
    <n v="0"/>
    <s v="MMR001CMP010"/>
    <x v="0"/>
    <x v="0"/>
    <s v="P4"/>
    <n v="0"/>
    <m/>
  </r>
  <r>
    <n v="34.833333333333336"/>
    <d v="2014-06-21T00:00:00"/>
    <x v="11"/>
    <s v="MRCS"/>
    <s v="Kachin"/>
    <s v="Myitkyina"/>
    <s v="Du Kahtawng Qtr. 5"/>
    <m/>
    <m/>
    <m/>
    <m/>
    <m/>
    <m/>
    <m/>
    <m/>
    <m/>
    <m/>
    <m/>
    <m/>
    <m/>
    <n v="16"/>
    <m/>
    <m/>
    <m/>
    <n v="0"/>
    <n v="0"/>
    <n v="0"/>
    <n v="0"/>
    <n v="0"/>
    <n v="0"/>
    <n v="0"/>
    <n v="0"/>
    <n v="0"/>
    <n v="0"/>
    <n v="0"/>
    <n v="0"/>
    <n v="0"/>
    <n v="0"/>
    <n v="1"/>
    <n v="0"/>
    <n v="0"/>
    <n v="0"/>
    <s v="MMR001CMP011"/>
    <x v="0"/>
    <x v="0"/>
    <s v="P4"/>
    <n v="0"/>
    <m/>
  </r>
  <r>
    <n v="34.766666666666666"/>
    <d v="2014-06-23T00:00:00"/>
    <x v="11"/>
    <s v="MRCS"/>
    <s v="Kachin"/>
    <s v="Myitkyina"/>
    <s v="Tat Kone San Pya Baptist Church"/>
    <m/>
    <m/>
    <m/>
    <m/>
    <m/>
    <m/>
    <m/>
    <m/>
    <m/>
    <m/>
    <m/>
    <m/>
    <m/>
    <n v="88"/>
    <m/>
    <m/>
    <m/>
    <n v="0"/>
    <n v="0"/>
    <n v="0"/>
    <n v="0"/>
    <n v="0"/>
    <n v="0"/>
    <n v="0"/>
    <n v="0"/>
    <n v="0"/>
    <n v="0"/>
    <n v="0"/>
    <n v="0"/>
    <n v="0"/>
    <n v="0"/>
    <n v="1"/>
    <n v="0"/>
    <n v="0"/>
    <n v="0"/>
    <s v="MMR001CMP005"/>
    <x v="0"/>
    <x v="0"/>
    <s v="P4"/>
    <n v="0"/>
    <m/>
  </r>
  <r>
    <n v="34.733333333333334"/>
    <d v="2014-06-24T00:00:00"/>
    <x v="11"/>
    <s v="MRCS"/>
    <s v="Kachin"/>
    <s v="Myitkyina"/>
    <s v="Maw Hpawng Hka Nan Baptist Church"/>
    <m/>
    <m/>
    <m/>
    <m/>
    <m/>
    <m/>
    <m/>
    <m/>
    <m/>
    <m/>
    <m/>
    <m/>
    <m/>
    <n v="44"/>
    <m/>
    <m/>
    <m/>
    <n v="0"/>
    <n v="0"/>
    <n v="0"/>
    <n v="0"/>
    <n v="0"/>
    <n v="0"/>
    <n v="0"/>
    <n v="0"/>
    <n v="0"/>
    <n v="0"/>
    <n v="0"/>
    <n v="0"/>
    <n v="0"/>
    <n v="0"/>
    <n v="1"/>
    <n v="0"/>
    <n v="0"/>
    <n v="0"/>
    <s v="MMR001CMP020"/>
    <x v="0"/>
    <x v="0"/>
    <s v="P4"/>
    <n v="0"/>
    <m/>
  </r>
  <r>
    <n v="34.799999999999997"/>
    <d v="2014-06-22T00:00:00"/>
    <x v="11"/>
    <s v="MRCS"/>
    <s v="Kachin"/>
    <s v="Momauk"/>
    <s v="Momauk Catholic Church (St. Patrick)"/>
    <m/>
    <m/>
    <m/>
    <m/>
    <m/>
    <m/>
    <m/>
    <m/>
    <m/>
    <m/>
    <m/>
    <m/>
    <m/>
    <n v="462"/>
    <m/>
    <m/>
    <m/>
    <n v="0"/>
    <n v="0"/>
    <n v="0"/>
    <n v="0"/>
    <n v="0"/>
    <n v="0"/>
    <n v="0"/>
    <n v="0"/>
    <n v="0"/>
    <n v="0"/>
    <n v="0"/>
    <n v="0"/>
    <n v="0"/>
    <n v="0"/>
    <n v="1"/>
    <n v="0"/>
    <n v="0"/>
    <n v="0"/>
    <s v="MMR001CMP057"/>
    <x v="0"/>
    <x v="1"/>
    <s v="P4"/>
    <n v="0"/>
    <m/>
  </r>
  <r>
    <n v="34.733333333333334"/>
    <d v="2014-06-24T00:00:00"/>
    <x v="11"/>
    <s v="MRCS"/>
    <s v="Kachin"/>
    <s v="Myitkyina"/>
    <s v="Maw Hpawng Lhaovo Baptist Church"/>
    <m/>
    <m/>
    <m/>
    <m/>
    <m/>
    <m/>
    <m/>
    <m/>
    <m/>
    <m/>
    <m/>
    <m/>
    <m/>
    <n v="28"/>
    <m/>
    <m/>
    <m/>
    <n v="0"/>
    <n v="0"/>
    <n v="0"/>
    <n v="0"/>
    <n v="0"/>
    <n v="0"/>
    <n v="0"/>
    <n v="0"/>
    <n v="0"/>
    <n v="0"/>
    <n v="0"/>
    <n v="0"/>
    <n v="0"/>
    <n v="0"/>
    <n v="1"/>
    <n v="0"/>
    <n v="0"/>
    <n v="0"/>
    <s v="MMR001CMP021"/>
    <x v="0"/>
    <x v="0"/>
    <s v="P4"/>
    <n v="0"/>
    <m/>
  </r>
  <r>
    <n v="34.700000000000003"/>
    <d v="2014-06-25T00:00:00"/>
    <x v="11"/>
    <s v="MRCS"/>
    <s v="Kachin"/>
    <s v="Momauk"/>
    <s v="Momauk Baptist Church"/>
    <m/>
    <m/>
    <m/>
    <m/>
    <m/>
    <m/>
    <m/>
    <m/>
    <m/>
    <m/>
    <m/>
    <m/>
    <m/>
    <n v="832"/>
    <m/>
    <m/>
    <m/>
    <n v="0"/>
    <n v="0"/>
    <n v="0"/>
    <n v="0"/>
    <n v="0"/>
    <n v="0"/>
    <n v="0"/>
    <n v="0"/>
    <n v="0"/>
    <n v="0"/>
    <n v="0"/>
    <n v="0"/>
    <n v="0"/>
    <n v="0"/>
    <n v="1"/>
    <n v="0"/>
    <n v="0"/>
    <n v="0"/>
    <s v="MMR001CMP056"/>
    <x v="0"/>
    <x v="0"/>
    <s v="P4"/>
    <n v="0"/>
    <m/>
  </r>
  <r>
    <n v="34.5"/>
    <d v="2014-07-01T00:00:00"/>
    <x v="0"/>
    <m/>
    <s v="Kachin"/>
    <s v="Mansi"/>
    <s v="Maing Khaung"/>
    <m/>
    <m/>
    <m/>
    <m/>
    <n v="19"/>
    <m/>
    <n v="19"/>
    <m/>
    <m/>
    <n v="100"/>
    <m/>
    <m/>
    <m/>
    <m/>
    <m/>
    <m/>
    <m/>
    <n v="0"/>
    <n v="0"/>
    <n v="0"/>
    <n v="0"/>
    <n v="0"/>
    <n v="0"/>
    <n v="0"/>
    <n v="0"/>
    <n v="0"/>
    <n v="0"/>
    <n v="0"/>
    <n v="0"/>
    <n v="0"/>
    <n v="0"/>
    <n v="0"/>
    <n v="0"/>
    <n v="0"/>
    <n v="0"/>
    <s v="MMR001CMP218"/>
    <x v="0"/>
    <x v="0"/>
    <s v="P4"/>
    <n v="4.5730239722730338E-4"/>
    <m/>
  </r>
  <r>
    <n v="34.43333333333333"/>
    <d v="2014-07-03T00:00:00"/>
    <x v="0"/>
    <m/>
    <s v="Kachin"/>
    <s v="Mansi"/>
    <s v="Maing Khaung"/>
    <m/>
    <m/>
    <m/>
    <m/>
    <m/>
    <n v="9"/>
    <m/>
    <m/>
    <n v="19"/>
    <n v="1"/>
    <m/>
    <m/>
    <m/>
    <m/>
    <m/>
    <m/>
    <m/>
    <n v="0"/>
    <n v="0"/>
    <n v="0"/>
    <n v="0"/>
    <n v="0"/>
    <n v="0"/>
    <n v="0"/>
    <n v="0"/>
    <n v="0"/>
    <n v="0"/>
    <n v="0"/>
    <n v="0"/>
    <n v="0"/>
    <n v="0"/>
    <n v="0"/>
    <n v="0"/>
    <n v="0"/>
    <n v="0"/>
    <s v="MMR001CMP218"/>
    <x v="0"/>
    <x v="0"/>
    <s v="P4"/>
    <n v="0"/>
    <m/>
  </r>
  <r>
    <n v="34.43333333333333"/>
    <d v="2014-07-03T00:00:00"/>
    <x v="0"/>
    <m/>
    <s v="Kachin"/>
    <s v="Mansi"/>
    <s v="Maing Khaung Catholic Church"/>
    <m/>
    <m/>
    <m/>
    <n v="50"/>
    <n v="15"/>
    <m/>
    <n v="15"/>
    <m/>
    <n v="15"/>
    <n v="60"/>
    <m/>
    <m/>
    <m/>
    <m/>
    <m/>
    <m/>
    <m/>
    <n v="0"/>
    <n v="0"/>
    <n v="0"/>
    <n v="0"/>
    <n v="0"/>
    <n v="0"/>
    <n v="0"/>
    <n v="0"/>
    <n v="0"/>
    <n v="0"/>
    <n v="0"/>
    <n v="0"/>
    <n v="0"/>
    <n v="0"/>
    <n v="0"/>
    <n v="0"/>
    <n v="0"/>
    <n v="0"/>
    <s v="MMR001CMP223"/>
    <x v="0"/>
    <x v="0"/>
    <s v="P4"/>
    <n v="3.6102820833734477E-4"/>
    <m/>
  </r>
  <r>
    <n v="34.366666666666667"/>
    <d v="2014-07-05T00:00:00"/>
    <x v="11"/>
    <s v="MRCS"/>
    <s v="Kachin"/>
    <s v="Waingmaw"/>
    <s v="Waingmaw AG Church"/>
    <m/>
    <m/>
    <m/>
    <m/>
    <m/>
    <m/>
    <m/>
    <m/>
    <m/>
    <m/>
    <m/>
    <m/>
    <m/>
    <n v="124"/>
    <m/>
    <m/>
    <m/>
    <n v="0"/>
    <n v="0"/>
    <n v="0"/>
    <n v="0"/>
    <n v="0"/>
    <n v="0"/>
    <n v="0"/>
    <n v="0"/>
    <n v="0"/>
    <n v="0"/>
    <n v="0"/>
    <n v="0"/>
    <n v="0"/>
    <n v="0"/>
    <n v="1"/>
    <n v="0"/>
    <n v="0"/>
    <n v="0"/>
    <s v="MMR001CMP038"/>
    <x v="0"/>
    <x v="0"/>
    <s v="P4"/>
    <n v="0"/>
    <m/>
  </r>
  <r>
    <n v="34.233333333333334"/>
    <d v="2014-07-09T00:00:00"/>
    <x v="0"/>
    <m/>
    <s v="Kachin"/>
    <s v="Mansi"/>
    <s v="Maing Khaung"/>
    <m/>
    <m/>
    <m/>
    <m/>
    <m/>
    <n v="10"/>
    <m/>
    <m/>
    <m/>
    <m/>
    <m/>
    <m/>
    <m/>
    <m/>
    <m/>
    <m/>
    <m/>
    <n v="0"/>
    <n v="0"/>
    <n v="0"/>
    <n v="0"/>
    <n v="0"/>
    <n v="0"/>
    <n v="0"/>
    <n v="0"/>
    <n v="0"/>
    <n v="0"/>
    <n v="0"/>
    <n v="0"/>
    <n v="0"/>
    <n v="0"/>
    <n v="0"/>
    <n v="0"/>
    <n v="0"/>
    <n v="0"/>
    <s v="MMR001CMP218"/>
    <x v="0"/>
    <x v="0"/>
    <s v="P4"/>
    <n v="0"/>
    <m/>
  </r>
  <r>
    <n v="34.233333333333334"/>
    <d v="2014-07-09T00:00:00"/>
    <x v="0"/>
    <m/>
    <s v="Kachin"/>
    <s v="Mansi"/>
    <s v="Maing Khaung Catholic Church"/>
    <m/>
    <m/>
    <m/>
    <n v="35"/>
    <n v="13"/>
    <n v="70"/>
    <n v="13"/>
    <m/>
    <n v="13"/>
    <n v="25"/>
    <m/>
    <m/>
    <m/>
    <m/>
    <m/>
    <m/>
    <m/>
    <n v="0"/>
    <n v="0"/>
    <n v="0"/>
    <n v="0"/>
    <n v="0"/>
    <n v="0"/>
    <n v="0"/>
    <n v="0"/>
    <n v="0"/>
    <n v="0"/>
    <n v="0"/>
    <n v="0"/>
    <n v="0"/>
    <n v="0"/>
    <n v="0"/>
    <n v="0"/>
    <n v="0"/>
    <n v="0"/>
    <s v="MMR001CMP223"/>
    <x v="0"/>
    <x v="0"/>
    <s v="P4"/>
    <n v="3.1289111389236547E-4"/>
    <m/>
  </r>
  <r>
    <n v="33.833333333333336"/>
    <d v="2014-07-21T00:00:00"/>
    <x v="0"/>
    <m/>
    <s v="Kachin"/>
    <s v="Bhamo"/>
    <s v="Lisu Boarding-House"/>
    <m/>
    <m/>
    <m/>
    <n v="10"/>
    <n v="36"/>
    <n v="10"/>
    <n v="5"/>
    <m/>
    <n v="33"/>
    <n v="117"/>
    <m/>
    <m/>
    <m/>
    <m/>
    <m/>
    <m/>
    <m/>
    <n v="0"/>
    <n v="0"/>
    <n v="0"/>
    <n v="0"/>
    <n v="0"/>
    <n v="0"/>
    <n v="0"/>
    <n v="0"/>
    <n v="0"/>
    <n v="0"/>
    <n v="0"/>
    <n v="0"/>
    <n v="0"/>
    <n v="0"/>
    <n v="0"/>
    <n v="0"/>
    <n v="0"/>
    <n v="0"/>
    <s v="MMR001CMP049"/>
    <x v="0"/>
    <x v="0"/>
    <s v="P4"/>
    <n v="1.2286521685710776E-4"/>
    <m/>
  </r>
  <r>
    <n v="33.833333333333336"/>
    <d v="2014-07-21T00:00:00"/>
    <x v="0"/>
    <m/>
    <s v="Kachin"/>
    <s v="Momauk"/>
    <s v="Momauk Baptist Church"/>
    <m/>
    <m/>
    <m/>
    <m/>
    <n v="75"/>
    <m/>
    <m/>
    <m/>
    <m/>
    <m/>
    <m/>
    <m/>
    <m/>
    <m/>
    <m/>
    <m/>
    <m/>
    <n v="0"/>
    <n v="0"/>
    <n v="0"/>
    <n v="0"/>
    <n v="0"/>
    <n v="0"/>
    <n v="0"/>
    <n v="0"/>
    <n v="0"/>
    <n v="0"/>
    <n v="0"/>
    <n v="0"/>
    <n v="0"/>
    <n v="0"/>
    <n v="0"/>
    <n v="0"/>
    <n v="0"/>
    <n v="0"/>
    <s v="MMR001CMP056"/>
    <x v="0"/>
    <x v="0"/>
    <s v="P4"/>
    <n v="0"/>
    <m/>
  </r>
  <r>
    <n v="33.700000000000003"/>
    <d v="2014-07-25T00:00:00"/>
    <x v="0"/>
    <m/>
    <s v="Kachin"/>
    <s v="Bhamo"/>
    <s v="Lisu Boarding-House"/>
    <m/>
    <m/>
    <m/>
    <m/>
    <n v="7"/>
    <n v="3"/>
    <m/>
    <m/>
    <n v="4"/>
    <n v="9"/>
    <m/>
    <m/>
    <m/>
    <m/>
    <m/>
    <m/>
    <m/>
    <n v="0"/>
    <n v="0"/>
    <n v="0"/>
    <n v="0"/>
    <n v="0"/>
    <n v="0"/>
    <n v="0"/>
    <n v="0"/>
    <n v="0"/>
    <n v="0"/>
    <n v="0"/>
    <n v="0"/>
    <n v="0"/>
    <n v="0"/>
    <n v="0"/>
    <n v="0"/>
    <n v="0"/>
    <n v="0"/>
    <s v="MMR001CMP049"/>
    <x v="0"/>
    <x v="0"/>
    <s v="P4"/>
    <n v="0"/>
    <m/>
  </r>
  <r>
    <n v="33.56666666666667"/>
    <d v="2014-07-29T00:00:00"/>
    <x v="0"/>
    <m/>
    <s v="Kachin"/>
    <s v="Momauk"/>
    <s v="Je Yang Hka "/>
    <m/>
    <m/>
    <m/>
    <n v="254"/>
    <n v="204"/>
    <n v="254"/>
    <n v="134"/>
    <m/>
    <n v="134"/>
    <n v="608"/>
    <m/>
    <m/>
    <m/>
    <m/>
    <m/>
    <m/>
    <m/>
    <n v="0"/>
    <n v="0"/>
    <n v="0"/>
    <n v="0"/>
    <n v="0"/>
    <n v="0"/>
    <n v="0"/>
    <n v="0"/>
    <n v="0"/>
    <n v="0"/>
    <n v="0"/>
    <n v="0"/>
    <n v="0"/>
    <n v="0"/>
    <n v="0"/>
    <n v="0"/>
    <n v="0"/>
    <n v="0"/>
    <s v="MMR001CMP121"/>
    <x v="0"/>
    <x v="0"/>
    <s v="P2"/>
    <n v="3.2634373249555539E-3"/>
    <m/>
  </r>
  <r>
    <n v="33.56666666666667"/>
    <d v="2014-07-29T00:00:00"/>
    <x v="0"/>
    <m/>
    <s v="Kachin"/>
    <s v="Waingmaw"/>
    <s v="Woi Chyai "/>
    <m/>
    <m/>
    <m/>
    <n v="46"/>
    <n v="46"/>
    <n v="46"/>
    <n v="16"/>
    <m/>
    <n v="16"/>
    <n v="142"/>
    <m/>
    <m/>
    <m/>
    <m/>
    <m/>
    <m/>
    <m/>
    <n v="0"/>
    <n v="0"/>
    <n v="0"/>
    <n v="0"/>
    <n v="0"/>
    <n v="0"/>
    <n v="0"/>
    <n v="0"/>
    <n v="0"/>
    <n v="0"/>
    <n v="0"/>
    <n v="0"/>
    <n v="0"/>
    <n v="0"/>
    <n v="0"/>
    <n v="0"/>
    <n v="0"/>
    <n v="0"/>
    <s v="MMR001CMP116"/>
    <x v="0"/>
    <x v="0"/>
    <s v="P4"/>
    <n v="3.9316869394274479E-4"/>
    <m/>
  </r>
  <r>
    <n v="33.366666666666667"/>
    <d v="2014-08-04T00:00:00"/>
    <x v="0"/>
    <m/>
    <s v="Kachin"/>
    <s v="Momauk"/>
    <s v="Loi Je Catholic Church"/>
    <m/>
    <m/>
    <m/>
    <m/>
    <n v="116"/>
    <m/>
    <m/>
    <m/>
    <m/>
    <m/>
    <m/>
    <m/>
    <m/>
    <m/>
    <m/>
    <m/>
    <m/>
    <n v="0"/>
    <n v="0"/>
    <n v="0"/>
    <n v="0"/>
    <n v="0"/>
    <n v="0"/>
    <n v="0"/>
    <n v="0"/>
    <n v="0"/>
    <n v="0"/>
    <n v="0"/>
    <n v="0"/>
    <n v="0"/>
    <n v="0"/>
    <n v="0"/>
    <n v="0"/>
    <n v="0"/>
    <n v="0"/>
    <s v="MMR001CMP069"/>
    <x v="0"/>
    <x v="0"/>
    <s v="P3"/>
    <n v="0"/>
    <m/>
  </r>
  <r>
    <n v="33.366666666666667"/>
    <d v="2014-08-04T00:00:00"/>
    <x v="0"/>
    <m/>
    <s v="Kachin"/>
    <s v="Momauk"/>
    <s v="Loi Je Lisu Camp"/>
    <m/>
    <m/>
    <m/>
    <n v="84"/>
    <n v="36"/>
    <n v="84"/>
    <n v="36"/>
    <m/>
    <n v="36"/>
    <n v="180"/>
    <m/>
    <m/>
    <m/>
    <m/>
    <m/>
    <m/>
    <m/>
    <n v="0"/>
    <n v="0"/>
    <n v="0"/>
    <n v="0"/>
    <n v="0"/>
    <n v="0"/>
    <n v="0"/>
    <n v="0"/>
    <n v="0"/>
    <n v="0"/>
    <n v="0"/>
    <n v="0"/>
    <n v="0"/>
    <n v="0"/>
    <n v="0"/>
    <n v="0"/>
    <n v="0"/>
    <n v="0"/>
    <s v="MMR001CMP070"/>
    <x v="0"/>
    <x v="0"/>
    <s v="P3"/>
    <n v="8.780487804878049E-4"/>
    <m/>
  </r>
  <r>
    <n v="33.366666666666667"/>
    <d v="2014-08-04T00:00:00"/>
    <x v="0"/>
    <m/>
    <s v="Kachin"/>
    <s v="Mansi"/>
    <s v="Maing Khaung Catholic Church"/>
    <m/>
    <m/>
    <m/>
    <m/>
    <m/>
    <m/>
    <m/>
    <m/>
    <n v="2"/>
    <m/>
    <m/>
    <m/>
    <m/>
    <m/>
    <m/>
    <m/>
    <m/>
    <n v="0"/>
    <n v="0"/>
    <n v="0"/>
    <n v="0"/>
    <n v="0"/>
    <n v="0"/>
    <n v="0"/>
    <n v="0"/>
    <n v="0"/>
    <n v="0"/>
    <n v="0"/>
    <n v="0"/>
    <n v="0"/>
    <n v="0"/>
    <n v="0"/>
    <n v="0"/>
    <n v="0"/>
    <n v="0"/>
    <s v="MMR001CMP223"/>
    <x v="0"/>
    <x v="0"/>
    <s v="P4"/>
    <n v="0"/>
    <m/>
  </r>
  <r>
    <n v="33.366666666666667"/>
    <d v="2014-08-04T00:00:00"/>
    <x v="0"/>
    <m/>
    <s v="Kachin"/>
    <s v="Bhamo"/>
    <m/>
    <m/>
    <m/>
    <m/>
    <m/>
    <n v="5"/>
    <m/>
    <m/>
    <m/>
    <m/>
    <m/>
    <m/>
    <m/>
    <m/>
    <m/>
    <m/>
    <m/>
    <m/>
    <n v="0"/>
    <n v="0"/>
    <n v="0"/>
    <n v="0"/>
    <n v="0"/>
    <n v="0"/>
    <n v="0"/>
    <n v="0"/>
    <n v="0"/>
    <n v="0"/>
    <n v="0"/>
    <n v="0"/>
    <n v="0"/>
    <n v="0"/>
    <n v="0"/>
    <n v="0"/>
    <n v="0"/>
    <n v="0"/>
    <s v=""/>
    <x v="1"/>
    <x v="2"/>
    <s v=""/>
    <s v=""/>
    <m/>
  </r>
  <r>
    <n v="33.266666666666666"/>
    <d v="2014-08-07T00:00:00"/>
    <x v="0"/>
    <s v="Shalom"/>
    <s v="Kachin"/>
    <s v="Chipwi"/>
    <s v="Lhaovao Baptist Church (LBC)"/>
    <m/>
    <m/>
    <n v="50"/>
    <n v="25"/>
    <n v="50"/>
    <n v="25"/>
    <m/>
    <n v="25"/>
    <n v="125"/>
    <m/>
    <m/>
    <m/>
    <m/>
    <m/>
    <m/>
    <m/>
    <m/>
    <n v="0"/>
    <n v="0"/>
    <n v="0"/>
    <n v="0"/>
    <n v="0"/>
    <n v="0"/>
    <n v="0"/>
    <n v="0"/>
    <n v="0"/>
    <n v="0"/>
    <n v="0"/>
    <n v="0"/>
    <n v="0"/>
    <n v="0"/>
    <n v="0"/>
    <n v="0"/>
    <n v="0"/>
    <n v="0"/>
    <s v="MMR001CMP195"/>
    <x v="0"/>
    <x v="0"/>
    <s v="P1"/>
    <n v="0"/>
    <m/>
  </r>
  <r>
    <n v="33.266666666666666"/>
    <d v="2014-08-07T00:00:00"/>
    <x v="0"/>
    <s v="Shalom"/>
    <s v="Kachin"/>
    <s v="Waingmaw"/>
    <s v="Qtr. 2 Lhaovo Baptist Church"/>
    <m/>
    <m/>
    <n v="24"/>
    <n v="12"/>
    <n v="24"/>
    <n v="12"/>
    <m/>
    <n v="12"/>
    <n v="60"/>
    <m/>
    <m/>
    <m/>
    <m/>
    <m/>
    <m/>
    <m/>
    <m/>
    <n v="0"/>
    <n v="0"/>
    <n v="0"/>
    <n v="0"/>
    <n v="0"/>
    <n v="0"/>
    <n v="0"/>
    <n v="0"/>
    <n v="0"/>
    <n v="0"/>
    <n v="0"/>
    <n v="0"/>
    <n v="0"/>
    <n v="0"/>
    <n v="0"/>
    <n v="0"/>
    <n v="0"/>
    <n v="0"/>
    <s v="MMR001CMP032"/>
    <x v="0"/>
    <x v="0"/>
    <s v="P4"/>
    <n v="0"/>
    <m/>
  </r>
  <r>
    <n v="33.166666666666664"/>
    <d v="2014-08-10T00:00:00"/>
    <x v="0"/>
    <m/>
    <s v="Kachin"/>
    <s v="Momauk"/>
    <s v="Pa Kahtawng "/>
    <m/>
    <m/>
    <m/>
    <n v="100"/>
    <n v="52"/>
    <n v="156"/>
    <n v="40"/>
    <m/>
    <n v="52"/>
    <n v="210"/>
    <m/>
    <m/>
    <m/>
    <m/>
    <m/>
    <m/>
    <m/>
    <n v="0"/>
    <n v="0"/>
    <n v="0"/>
    <n v="0"/>
    <n v="0"/>
    <n v="0"/>
    <n v="0"/>
    <n v="0"/>
    <n v="0"/>
    <n v="0"/>
    <n v="0"/>
    <n v="0"/>
    <n v="0"/>
    <n v="0"/>
    <n v="0"/>
    <n v="0"/>
    <n v="0"/>
    <n v="0"/>
    <s v="MMR001CMP126"/>
    <x v="0"/>
    <x v="0"/>
    <s v="P2"/>
    <n v="9.7560975609756097E-4"/>
    <m/>
  </r>
  <r>
    <n v="32.43333333333333"/>
    <d v="2014-09-01T00:00:00"/>
    <x v="10"/>
    <m/>
    <s v="Kachin"/>
    <s v="Waingmaw"/>
    <s v="Hkau Shau (BP 12)"/>
    <m/>
    <m/>
    <m/>
    <m/>
    <m/>
    <m/>
    <m/>
    <m/>
    <m/>
    <m/>
    <m/>
    <n v="407"/>
    <m/>
    <m/>
    <m/>
    <m/>
    <m/>
    <n v="0"/>
    <n v="0"/>
    <n v="0"/>
    <n v="0"/>
    <n v="0"/>
    <n v="0"/>
    <n v="0"/>
    <n v="0"/>
    <n v="0"/>
    <n v="0"/>
    <n v="0"/>
    <n v="0"/>
    <n v="0"/>
    <n v="0"/>
    <n v="1"/>
    <n v="0"/>
    <n v="0"/>
    <n v="0"/>
    <s v="MMR001CMP115"/>
    <x v="0"/>
    <x v="0"/>
    <s v="P1"/>
    <n v="0"/>
    <m/>
  </r>
  <r>
    <n v="32.43333333333333"/>
    <d v="2014-09-01T00:00:00"/>
    <x v="10"/>
    <m/>
    <s v="Kachin"/>
    <s v="Chipwi"/>
    <s v="Hpare Hkyer - BP6"/>
    <m/>
    <m/>
    <m/>
    <m/>
    <m/>
    <m/>
    <m/>
    <m/>
    <m/>
    <m/>
    <m/>
    <n v="347"/>
    <m/>
    <m/>
    <m/>
    <m/>
    <m/>
    <n v="0"/>
    <n v="0"/>
    <n v="0"/>
    <n v="0"/>
    <n v="0"/>
    <n v="0"/>
    <n v="0"/>
    <n v="0"/>
    <n v="0"/>
    <n v="0"/>
    <n v="0"/>
    <n v="0"/>
    <n v="0"/>
    <n v="0"/>
    <n v="1"/>
    <n v="0"/>
    <n v="0"/>
    <n v="0"/>
    <s v="MMR001CMP043"/>
    <x v="0"/>
    <x v="0"/>
    <s v="P1"/>
    <n v="0"/>
    <m/>
  </r>
  <r>
    <n v="32.43333333333333"/>
    <d v="2014-09-01T00:00:00"/>
    <x v="10"/>
    <m/>
    <s v="Kachin"/>
    <s v="Waingmaw"/>
    <s v="Maga Yang "/>
    <m/>
    <m/>
    <m/>
    <m/>
    <m/>
    <m/>
    <m/>
    <m/>
    <m/>
    <m/>
    <m/>
    <n v="917"/>
    <m/>
    <m/>
    <m/>
    <m/>
    <m/>
    <n v="0"/>
    <n v="0"/>
    <n v="0"/>
    <n v="0"/>
    <n v="0"/>
    <n v="0"/>
    <n v="0"/>
    <n v="0"/>
    <n v="0"/>
    <n v="0"/>
    <n v="0"/>
    <n v="0"/>
    <n v="0"/>
    <n v="0"/>
    <n v="1"/>
    <n v="0"/>
    <n v="0"/>
    <n v="0"/>
    <s v="MMR001CMP119"/>
    <x v="0"/>
    <x v="0"/>
    <s v="P2"/>
    <n v="0"/>
    <m/>
  </r>
  <r>
    <n v="32.9"/>
    <d v="2014-08-18T00:00:00"/>
    <x v="0"/>
    <m/>
    <s v="Kachin"/>
    <s v="Mansi"/>
    <s v="Bum Tsit Pa Camp II"/>
    <m/>
    <m/>
    <m/>
    <m/>
    <n v="70"/>
    <m/>
    <m/>
    <m/>
    <m/>
    <m/>
    <m/>
    <m/>
    <m/>
    <m/>
    <m/>
    <m/>
    <m/>
    <n v="0"/>
    <n v="0"/>
    <n v="0"/>
    <n v="0"/>
    <n v="0"/>
    <n v="0"/>
    <n v="0"/>
    <n v="0"/>
    <n v="0"/>
    <n v="0"/>
    <n v="0"/>
    <n v="0"/>
    <n v="0"/>
    <n v="0"/>
    <n v="0"/>
    <n v="0"/>
    <n v="0"/>
    <n v="0"/>
    <s v="MMR001CMP226"/>
    <x v="0"/>
    <x v="1"/>
    <s v="P2"/>
    <n v="0"/>
    <m/>
  </r>
  <r>
    <n v="32.43333333333333"/>
    <d v="2014-09-01T00:00:00"/>
    <x v="10"/>
    <m/>
    <s v="Kachin"/>
    <s v="Waingmaw"/>
    <s v="Pajau - Jan Mai"/>
    <m/>
    <m/>
    <m/>
    <m/>
    <m/>
    <m/>
    <m/>
    <m/>
    <m/>
    <m/>
    <m/>
    <n v="291"/>
    <m/>
    <m/>
    <m/>
    <m/>
    <m/>
    <n v="0"/>
    <n v="0"/>
    <n v="0"/>
    <n v="0"/>
    <n v="0"/>
    <n v="0"/>
    <n v="0"/>
    <n v="0"/>
    <n v="0"/>
    <n v="0"/>
    <n v="0"/>
    <n v="0"/>
    <n v="0"/>
    <n v="0"/>
    <n v="1"/>
    <n v="0"/>
    <n v="0"/>
    <n v="0"/>
    <s v="MMR001CMP120"/>
    <x v="0"/>
    <x v="0"/>
    <s v="P1"/>
    <n v="0"/>
    <m/>
  </r>
  <r>
    <n v="32.43333333333333"/>
    <d v="2014-09-01T00:00:00"/>
    <x v="10"/>
    <m/>
    <s v="Kachin"/>
    <s v="Waingmaw"/>
    <s v="Shing Jai"/>
    <m/>
    <m/>
    <m/>
    <m/>
    <m/>
    <m/>
    <m/>
    <m/>
    <m/>
    <m/>
    <m/>
    <n v="288"/>
    <m/>
    <m/>
    <m/>
    <m/>
    <m/>
    <n v="0"/>
    <n v="0"/>
    <n v="0"/>
    <n v="0"/>
    <n v="0"/>
    <n v="0"/>
    <n v="0"/>
    <n v="0"/>
    <n v="0"/>
    <n v="0"/>
    <n v="0"/>
    <n v="0"/>
    <n v="0"/>
    <n v="0"/>
    <n v="1"/>
    <n v="0"/>
    <n v="0"/>
    <n v="0"/>
    <s v="MMR001CMP041"/>
    <x v="0"/>
    <x v="0"/>
    <s v="P1"/>
    <n v="0"/>
    <m/>
  </r>
  <r>
    <n v="31.8"/>
    <d v="2014-09-20T00:00:00"/>
    <x v="0"/>
    <m/>
    <s v="Kachin"/>
    <s v="Momauk"/>
    <s v="Pa Kahtawng "/>
    <m/>
    <m/>
    <m/>
    <n v="1238"/>
    <m/>
    <m/>
    <m/>
    <m/>
    <m/>
    <m/>
    <m/>
    <m/>
    <m/>
    <n v="1761"/>
    <m/>
    <m/>
    <m/>
    <n v="0"/>
    <n v="0"/>
    <n v="0"/>
    <n v="0"/>
    <n v="0"/>
    <n v="0"/>
    <n v="0"/>
    <n v="0"/>
    <n v="0"/>
    <n v="0"/>
    <n v="0"/>
    <n v="0"/>
    <n v="0"/>
    <n v="0"/>
    <n v="1"/>
    <n v="0"/>
    <n v="0"/>
    <n v="0"/>
    <s v="MMR001CMP126"/>
    <x v="0"/>
    <x v="0"/>
    <s v="P2"/>
    <n v="0"/>
    <m/>
  </r>
  <r>
    <n v="31.766666666666666"/>
    <d v="2014-09-21T00:00:00"/>
    <x v="0"/>
    <m/>
    <s v="Kachin"/>
    <s v="Momauk"/>
    <s v="Nhkawng Pa "/>
    <m/>
    <m/>
    <m/>
    <n v="604"/>
    <m/>
    <m/>
    <m/>
    <m/>
    <m/>
    <m/>
    <m/>
    <m/>
    <m/>
    <n v="784"/>
    <m/>
    <m/>
    <m/>
    <n v="0"/>
    <n v="0"/>
    <n v="0"/>
    <n v="0"/>
    <n v="0"/>
    <n v="0"/>
    <n v="0"/>
    <n v="0"/>
    <n v="0"/>
    <n v="0"/>
    <n v="0"/>
    <n v="0"/>
    <n v="0"/>
    <n v="0"/>
    <n v="1"/>
    <n v="0"/>
    <n v="0"/>
    <n v="0"/>
    <s v="MMR001CMP131"/>
    <x v="0"/>
    <x v="0"/>
    <s v="P1"/>
    <n v="0"/>
    <m/>
  </r>
  <r>
    <n v="31.433333333333334"/>
    <d v="2014-10-01T00:00:00"/>
    <x v="0"/>
    <s v="KMSS"/>
    <s v="Kachin"/>
    <s v="Hpakant"/>
    <s v="5 Ward RC Church(lon Khin)"/>
    <m/>
    <m/>
    <m/>
    <n v="156"/>
    <m/>
    <m/>
    <m/>
    <m/>
    <m/>
    <m/>
    <m/>
    <m/>
    <m/>
    <m/>
    <m/>
    <m/>
    <m/>
    <n v="0"/>
    <n v="0"/>
    <n v="0"/>
    <n v="0"/>
    <n v="0"/>
    <n v="0"/>
    <n v="0"/>
    <n v="0"/>
    <n v="0"/>
    <n v="0"/>
    <n v="0"/>
    <n v="0"/>
    <n v="0"/>
    <n v="0"/>
    <n v="0"/>
    <n v="0"/>
    <n v="0"/>
    <n v="0"/>
    <s v="MMR001CMP168"/>
    <x v="0"/>
    <x v="0"/>
    <s v="P4"/>
    <n v="0"/>
    <m/>
  </r>
  <r>
    <n v="32.43333333333333"/>
    <d v="2014-09-01T00:00:00"/>
    <x v="10"/>
    <m/>
    <s v="Kachin"/>
    <s v="Waingmaw"/>
    <s v="Zai Awng - Mung Ga Zup"/>
    <m/>
    <m/>
    <m/>
    <m/>
    <m/>
    <m/>
    <m/>
    <m/>
    <m/>
    <m/>
    <m/>
    <n v="905"/>
    <m/>
    <m/>
    <m/>
    <m/>
    <m/>
    <n v="0"/>
    <n v="0"/>
    <n v="0"/>
    <n v="0"/>
    <n v="0"/>
    <n v="0"/>
    <n v="0"/>
    <n v="0"/>
    <n v="0"/>
    <n v="0"/>
    <n v="0"/>
    <n v="0"/>
    <n v="0"/>
    <n v="0"/>
    <n v="1"/>
    <n v="0"/>
    <n v="0"/>
    <n v="0"/>
    <s v="MMR001CMP111"/>
    <x v="0"/>
    <x v="1"/>
    <s v="P2"/>
    <n v="0"/>
    <m/>
  </r>
  <r>
    <n v="31.433333333333334"/>
    <d v="2014-10-01T00:00:00"/>
    <x v="0"/>
    <s v="Shalom"/>
    <s v="Kachin"/>
    <s v="Hpakant"/>
    <s v="AG Church, Hmaw Si Sa"/>
    <m/>
    <m/>
    <m/>
    <n v="130"/>
    <m/>
    <m/>
    <m/>
    <m/>
    <m/>
    <m/>
    <m/>
    <m/>
    <m/>
    <m/>
    <m/>
    <m/>
    <m/>
    <n v="0"/>
    <n v="0"/>
    <n v="0"/>
    <n v="0"/>
    <n v="0"/>
    <n v="0"/>
    <n v="0"/>
    <n v="0"/>
    <n v="0"/>
    <n v="0"/>
    <n v="0"/>
    <n v="0"/>
    <n v="0"/>
    <n v="0"/>
    <n v="0"/>
    <n v="0"/>
    <n v="0"/>
    <n v="0"/>
    <s v="MMR001CMP176"/>
    <x v="0"/>
    <x v="0"/>
    <s v="P4"/>
    <n v="0"/>
    <m/>
  </r>
  <r>
    <n v="31.433333333333334"/>
    <d v="2014-10-01T00:00:00"/>
    <x v="0"/>
    <s v="Shalom"/>
    <s v="Kachin"/>
    <s v="Hpakant"/>
    <s v="AG Church, Maw Wan"/>
    <m/>
    <m/>
    <m/>
    <n v="30"/>
    <m/>
    <m/>
    <m/>
    <m/>
    <m/>
    <m/>
    <m/>
    <m/>
    <m/>
    <m/>
    <m/>
    <m/>
    <m/>
    <n v="0"/>
    <n v="0"/>
    <n v="0"/>
    <n v="0"/>
    <n v="0"/>
    <n v="0"/>
    <n v="0"/>
    <n v="0"/>
    <n v="0"/>
    <n v="0"/>
    <n v="0"/>
    <n v="0"/>
    <n v="0"/>
    <n v="0"/>
    <n v="0"/>
    <n v="0"/>
    <n v="0"/>
    <n v="0"/>
    <s v="MMR001CMP190"/>
    <x v="0"/>
    <x v="0"/>
    <s v="P4"/>
    <n v="0"/>
    <m/>
  </r>
  <r>
    <n v="31.433333333333334"/>
    <d v="2014-10-01T00:00:00"/>
    <x v="0"/>
    <s v="Shalom"/>
    <s v="Kachin"/>
    <s v="Hpakant"/>
    <s v="Baptist Church, Naung Hmee VT"/>
    <m/>
    <m/>
    <m/>
    <n v="30"/>
    <m/>
    <m/>
    <m/>
    <m/>
    <m/>
    <m/>
    <m/>
    <m/>
    <m/>
    <m/>
    <m/>
    <m/>
    <m/>
    <n v="0"/>
    <n v="0"/>
    <n v="0"/>
    <n v="0"/>
    <n v="0"/>
    <n v="0"/>
    <n v="0"/>
    <n v="0"/>
    <n v="0"/>
    <n v="0"/>
    <n v="0"/>
    <n v="0"/>
    <n v="0"/>
    <n v="0"/>
    <n v="0"/>
    <n v="0"/>
    <n v="0"/>
    <n v="0"/>
    <s v="MMR001CMP188"/>
    <x v="0"/>
    <x v="1"/>
    <s v="P4"/>
    <s v=""/>
    <m/>
  </r>
  <r>
    <n v="31.433333333333334"/>
    <d v="2014-10-01T00:00:00"/>
    <x v="0"/>
    <s v="Shalom"/>
    <s v="Kachin"/>
    <s v="Myitkyina"/>
    <s v="Myay Myint Baptist Church"/>
    <m/>
    <m/>
    <m/>
    <n v="24"/>
    <m/>
    <m/>
    <m/>
    <m/>
    <m/>
    <m/>
    <m/>
    <m/>
    <m/>
    <m/>
    <m/>
    <m/>
    <m/>
    <n v="0"/>
    <n v="0"/>
    <n v="0"/>
    <n v="0"/>
    <n v="0"/>
    <n v="0"/>
    <n v="0"/>
    <n v="0"/>
    <n v="0"/>
    <n v="0"/>
    <n v="0"/>
    <n v="0"/>
    <n v="0"/>
    <n v="0"/>
    <n v="0"/>
    <n v="0"/>
    <n v="0"/>
    <n v="0"/>
    <s v="MMR001CMP017"/>
    <x v="0"/>
    <x v="1"/>
    <s v="P4"/>
    <n v="0"/>
    <m/>
  </r>
  <r>
    <n v="31.433333333333334"/>
    <d v="2014-10-01T00:00:00"/>
    <x v="0"/>
    <s v="Shalom"/>
    <s v="Kachin"/>
    <s v="Hpakant"/>
    <s v="Chin Church, Seik Mu"/>
    <m/>
    <m/>
    <m/>
    <n v="8"/>
    <m/>
    <m/>
    <m/>
    <m/>
    <m/>
    <m/>
    <m/>
    <m/>
    <m/>
    <m/>
    <m/>
    <m/>
    <m/>
    <n v="0"/>
    <n v="0"/>
    <n v="0"/>
    <n v="0"/>
    <n v="0"/>
    <n v="0"/>
    <n v="0"/>
    <n v="0"/>
    <n v="0"/>
    <n v="0"/>
    <n v="0"/>
    <n v="0"/>
    <n v="0"/>
    <n v="0"/>
    <n v="0"/>
    <n v="0"/>
    <n v="0"/>
    <n v="0"/>
    <s v="MMR001CMP109"/>
    <x v="0"/>
    <x v="0"/>
    <s v="P4"/>
    <n v="0"/>
    <m/>
  </r>
  <r>
    <n v="31.433333333333334"/>
    <d v="2014-10-01T00:00:00"/>
    <x v="0"/>
    <s v="Shalom"/>
    <s v="Kachin"/>
    <s v="Chipwi"/>
    <s v="Chipwi KBC camp"/>
    <m/>
    <m/>
    <m/>
    <n v="214"/>
    <m/>
    <m/>
    <m/>
    <m/>
    <m/>
    <m/>
    <m/>
    <m/>
    <m/>
    <n v="214"/>
    <m/>
    <m/>
    <m/>
    <n v="0"/>
    <n v="0"/>
    <n v="0"/>
    <n v="0"/>
    <n v="0"/>
    <n v="0"/>
    <n v="0"/>
    <n v="0"/>
    <n v="0"/>
    <n v="0"/>
    <n v="0"/>
    <n v="0"/>
    <n v="0"/>
    <n v="0"/>
    <n v="1"/>
    <n v="0"/>
    <n v="0"/>
    <n v="0"/>
    <s v="MMR001CMP042"/>
    <x v="0"/>
    <x v="0"/>
    <s v="P1"/>
    <n v="0"/>
    <m/>
  </r>
  <r>
    <n v="31.433333333333334"/>
    <d v="2014-10-01T00:00:00"/>
    <x v="0"/>
    <s v="Shalom"/>
    <s v="Kachin"/>
    <s v="Hpakant"/>
    <s v="Dhama Rakhita, Nyein Chan Tar Yar Ward(Lon Khin)"/>
    <m/>
    <m/>
    <m/>
    <n v="130"/>
    <m/>
    <m/>
    <m/>
    <m/>
    <m/>
    <m/>
    <m/>
    <m/>
    <m/>
    <m/>
    <m/>
    <m/>
    <m/>
    <n v="0"/>
    <n v="0"/>
    <n v="0"/>
    <n v="0"/>
    <n v="0"/>
    <n v="0"/>
    <n v="0"/>
    <n v="0"/>
    <n v="0"/>
    <n v="0"/>
    <n v="0"/>
    <n v="0"/>
    <n v="0"/>
    <n v="0"/>
    <n v="0"/>
    <n v="0"/>
    <n v="0"/>
    <n v="0"/>
    <s v="MMR001CMP174"/>
    <x v="0"/>
    <x v="0"/>
    <s v="P4"/>
    <n v="0"/>
    <m/>
  </r>
  <r>
    <n v="31.433333333333334"/>
    <d v="2014-10-01T00:00:00"/>
    <x v="0"/>
    <s v="KMSS"/>
    <s v="Kachin"/>
    <s v="Momauk"/>
    <s v="Dum Bung "/>
    <m/>
    <m/>
    <m/>
    <n v="238"/>
    <m/>
    <m/>
    <m/>
    <m/>
    <m/>
    <m/>
    <m/>
    <m/>
    <m/>
    <n v="238"/>
    <m/>
    <m/>
    <m/>
    <n v="0"/>
    <n v="0"/>
    <n v="0"/>
    <n v="0"/>
    <n v="0"/>
    <n v="0"/>
    <n v="0"/>
    <n v="0"/>
    <n v="0"/>
    <n v="0"/>
    <n v="0"/>
    <n v="0"/>
    <n v="0"/>
    <n v="0"/>
    <n v="1"/>
    <n v="0"/>
    <n v="0"/>
    <n v="0"/>
    <s v="MMR001CMP123"/>
    <x v="0"/>
    <x v="0"/>
    <s v="P2"/>
    <n v="0"/>
    <m/>
  </r>
  <r>
    <n v="31.433333333333334"/>
    <d v="2014-10-01T00:00:00"/>
    <x v="0"/>
    <s v="Shalom"/>
    <s v="Kachin"/>
    <s v="Waingmaw"/>
    <s v="Hkat Cho "/>
    <m/>
    <m/>
    <m/>
    <n v="268"/>
    <m/>
    <m/>
    <m/>
    <m/>
    <m/>
    <m/>
    <m/>
    <m/>
    <m/>
    <m/>
    <m/>
    <m/>
    <m/>
    <n v="0"/>
    <n v="0"/>
    <n v="0"/>
    <n v="0"/>
    <n v="0"/>
    <n v="0"/>
    <n v="0"/>
    <n v="0"/>
    <n v="0"/>
    <n v="0"/>
    <n v="0"/>
    <n v="0"/>
    <n v="0"/>
    <n v="0"/>
    <n v="0"/>
    <n v="0"/>
    <n v="0"/>
    <n v="0"/>
    <s v="MMR001CMP028"/>
    <x v="0"/>
    <x v="0"/>
    <s v="P4"/>
    <n v="0"/>
    <m/>
  </r>
  <r>
    <n v="31.433333333333334"/>
    <d v="2014-10-01T00:00:00"/>
    <x v="0"/>
    <s v="Shalom"/>
    <s v="Kachin"/>
    <s v="Hpakant"/>
    <s v="Hmaw Wan, Anglican"/>
    <m/>
    <m/>
    <m/>
    <n v="20"/>
    <m/>
    <m/>
    <m/>
    <m/>
    <m/>
    <m/>
    <m/>
    <m/>
    <m/>
    <m/>
    <m/>
    <m/>
    <m/>
    <n v="0"/>
    <n v="0"/>
    <n v="0"/>
    <n v="0"/>
    <n v="0"/>
    <n v="0"/>
    <n v="0"/>
    <n v="0"/>
    <n v="0"/>
    <n v="0"/>
    <n v="0"/>
    <n v="0"/>
    <n v="0"/>
    <n v="0"/>
    <n v="0"/>
    <n v="0"/>
    <n v="0"/>
    <n v="0"/>
    <s v="MMR001CMP191"/>
    <x v="0"/>
    <x v="0"/>
    <s v="P4"/>
    <n v="0"/>
    <m/>
  </r>
  <r>
    <n v="31.433333333333334"/>
    <d v="2014-10-01T00:00:00"/>
    <x v="0"/>
    <s v="KMSS"/>
    <s v="Kachin"/>
    <s v="Myitkyina"/>
    <s v="Jan Mai Kawng Catholic Church"/>
    <m/>
    <m/>
    <m/>
    <n v="218"/>
    <m/>
    <m/>
    <m/>
    <m/>
    <m/>
    <m/>
    <m/>
    <m/>
    <m/>
    <m/>
    <m/>
    <m/>
    <m/>
    <n v="0"/>
    <n v="0"/>
    <n v="0"/>
    <n v="0"/>
    <n v="0"/>
    <n v="0"/>
    <n v="0"/>
    <n v="0"/>
    <n v="0"/>
    <n v="0"/>
    <n v="0"/>
    <n v="0"/>
    <n v="0"/>
    <n v="0"/>
    <n v="0"/>
    <n v="0"/>
    <n v="0"/>
    <n v="0"/>
    <s v="MMR001CMP019"/>
    <x v="0"/>
    <x v="0"/>
    <s v="P4"/>
    <n v="0"/>
    <m/>
  </r>
  <r>
    <n v="31.433333333333334"/>
    <d v="2014-10-01T00:00:00"/>
    <x v="0"/>
    <s v="Shalom"/>
    <s v="Kachin"/>
    <s v="Chipwi"/>
    <s v="Lhaovao Baptist Church (LBC)"/>
    <m/>
    <m/>
    <m/>
    <n v="278"/>
    <m/>
    <m/>
    <m/>
    <m/>
    <m/>
    <m/>
    <m/>
    <m/>
    <m/>
    <n v="278"/>
    <m/>
    <m/>
    <m/>
    <n v="0"/>
    <n v="0"/>
    <n v="0"/>
    <n v="0"/>
    <n v="0"/>
    <n v="0"/>
    <n v="0"/>
    <n v="0"/>
    <n v="0"/>
    <n v="0"/>
    <n v="0"/>
    <n v="0"/>
    <n v="0"/>
    <n v="0"/>
    <n v="1"/>
    <n v="0"/>
    <n v="0"/>
    <n v="0"/>
    <s v="MMR001CMP195"/>
    <x v="0"/>
    <x v="0"/>
    <s v="P1"/>
    <n v="0"/>
    <m/>
  </r>
  <r>
    <n v="31.433333333333334"/>
    <d v="2014-10-01T00:00:00"/>
    <x v="0"/>
    <s v="Shalom"/>
    <s v="Kachin"/>
    <s v="Hpakant"/>
    <s v="Lisu Baptist Church, Maw Shan Vil,. Seik Mu"/>
    <m/>
    <m/>
    <m/>
    <n v="40"/>
    <m/>
    <m/>
    <m/>
    <m/>
    <m/>
    <m/>
    <m/>
    <m/>
    <m/>
    <m/>
    <m/>
    <m/>
    <m/>
    <n v="0"/>
    <n v="0"/>
    <n v="0"/>
    <n v="0"/>
    <n v="0"/>
    <n v="0"/>
    <n v="0"/>
    <n v="0"/>
    <n v="0"/>
    <n v="0"/>
    <n v="0"/>
    <n v="0"/>
    <n v="0"/>
    <n v="0"/>
    <n v="0"/>
    <n v="0"/>
    <n v="0"/>
    <n v="0"/>
    <s v="MMR001CMP181"/>
    <x v="0"/>
    <x v="0"/>
    <s v="P4"/>
    <n v="0"/>
    <m/>
  </r>
  <r>
    <n v="31.433333333333334"/>
    <d v="2014-10-01T00:00:00"/>
    <x v="0"/>
    <s v="Shalom"/>
    <s v="Kachin"/>
    <s v="Hpakant"/>
    <s v="Lisu Baptist Church, Maw Wan Ward"/>
    <m/>
    <m/>
    <m/>
    <n v="16"/>
    <m/>
    <m/>
    <m/>
    <m/>
    <m/>
    <m/>
    <m/>
    <m/>
    <m/>
    <m/>
    <m/>
    <m/>
    <m/>
    <n v="0"/>
    <n v="0"/>
    <n v="0"/>
    <n v="0"/>
    <n v="0"/>
    <n v="0"/>
    <n v="0"/>
    <n v="0"/>
    <n v="0"/>
    <n v="0"/>
    <n v="0"/>
    <n v="0"/>
    <n v="0"/>
    <n v="0"/>
    <n v="0"/>
    <n v="0"/>
    <n v="0"/>
    <n v="0"/>
    <s v="MMR001CMP167"/>
    <x v="0"/>
    <x v="0"/>
    <s v="P4"/>
    <n v="0"/>
    <m/>
  </r>
  <r>
    <n v="31.433333333333334"/>
    <d v="2014-10-01T00:00:00"/>
    <x v="0"/>
    <s v="KMSS"/>
    <s v="Kachin"/>
    <s v="Waingmaw"/>
    <s v="Maga Yang "/>
    <m/>
    <m/>
    <m/>
    <n v="1248"/>
    <m/>
    <m/>
    <m/>
    <m/>
    <m/>
    <m/>
    <m/>
    <m/>
    <m/>
    <n v="1248"/>
    <m/>
    <m/>
    <m/>
    <n v="0"/>
    <n v="0"/>
    <n v="0"/>
    <n v="0"/>
    <n v="0"/>
    <n v="0"/>
    <n v="0"/>
    <n v="0"/>
    <n v="0"/>
    <n v="0"/>
    <n v="0"/>
    <n v="0"/>
    <n v="0"/>
    <n v="0"/>
    <n v="1"/>
    <n v="0"/>
    <n v="0"/>
    <n v="0"/>
    <s v="MMR001CMP119"/>
    <x v="0"/>
    <x v="0"/>
    <s v="P2"/>
    <n v="0"/>
    <m/>
  </r>
  <r>
    <n v="31.433333333333334"/>
    <d v="2014-10-01T00:00:00"/>
    <x v="0"/>
    <s v="Shalom"/>
    <s v="Kachin"/>
    <s v="Waingmaw"/>
    <s v="Maina AG Church"/>
    <m/>
    <m/>
    <m/>
    <n v="286"/>
    <m/>
    <m/>
    <m/>
    <m/>
    <m/>
    <m/>
    <m/>
    <m/>
    <m/>
    <m/>
    <m/>
    <m/>
    <m/>
    <n v="0"/>
    <n v="0"/>
    <n v="0"/>
    <n v="0"/>
    <n v="0"/>
    <n v="0"/>
    <n v="0"/>
    <n v="0"/>
    <n v="0"/>
    <n v="0"/>
    <n v="0"/>
    <n v="0"/>
    <n v="0"/>
    <n v="0"/>
    <n v="0"/>
    <n v="0"/>
    <n v="0"/>
    <n v="0"/>
    <s v="MMR001CMP031"/>
    <x v="0"/>
    <x v="0"/>
    <s v="P4"/>
    <n v="0"/>
    <m/>
  </r>
  <r>
    <n v="31.433333333333334"/>
    <d v="2014-10-01T00:00:00"/>
    <x v="0"/>
    <s v="KMSS"/>
    <s v="Kachin"/>
    <s v="Waingmaw"/>
    <s v="Maina Catholic Church (St. Joseph)"/>
    <m/>
    <m/>
    <m/>
    <n v="462"/>
    <m/>
    <m/>
    <m/>
    <m/>
    <m/>
    <m/>
    <m/>
    <m/>
    <m/>
    <m/>
    <m/>
    <m/>
    <m/>
    <n v="0"/>
    <n v="0"/>
    <n v="0"/>
    <n v="0"/>
    <n v="0"/>
    <n v="0"/>
    <n v="0"/>
    <n v="0"/>
    <n v="0"/>
    <n v="0"/>
    <n v="0"/>
    <n v="0"/>
    <n v="0"/>
    <n v="0"/>
    <n v="0"/>
    <n v="0"/>
    <n v="0"/>
    <n v="0"/>
    <s v="MMR001CMP029"/>
    <x v="0"/>
    <x v="0"/>
    <s v="P4"/>
    <n v="0"/>
    <m/>
  </r>
  <r>
    <n v="31.433333333333334"/>
    <d v="2014-10-01T00:00:00"/>
    <x v="0"/>
    <s v="Shalom"/>
    <s v="Kachin"/>
    <s v="Myitkyina"/>
    <s v="Maw Hpawng Hka Nan Baptist Church"/>
    <m/>
    <m/>
    <m/>
    <n v="52"/>
    <m/>
    <m/>
    <m/>
    <m/>
    <m/>
    <m/>
    <m/>
    <m/>
    <m/>
    <m/>
    <m/>
    <m/>
    <m/>
    <n v="0"/>
    <n v="0"/>
    <n v="0"/>
    <n v="0"/>
    <n v="0"/>
    <n v="0"/>
    <n v="0"/>
    <n v="0"/>
    <n v="0"/>
    <n v="0"/>
    <n v="0"/>
    <n v="0"/>
    <n v="0"/>
    <n v="0"/>
    <n v="0"/>
    <n v="0"/>
    <n v="0"/>
    <n v="0"/>
    <s v="MMR001CMP020"/>
    <x v="0"/>
    <x v="0"/>
    <s v="P4"/>
    <n v="0"/>
    <m/>
  </r>
  <r>
    <n v="31.433333333333334"/>
    <d v="2014-10-01T00:00:00"/>
    <x v="0"/>
    <s v="Shalom"/>
    <s v="Kachin"/>
    <s v="Myitkyina"/>
    <s v="Maw Hpawng Lhaovo Baptist Church"/>
    <m/>
    <m/>
    <m/>
    <n v="42"/>
    <m/>
    <m/>
    <m/>
    <m/>
    <m/>
    <m/>
    <m/>
    <m/>
    <m/>
    <m/>
    <m/>
    <m/>
    <m/>
    <n v="0"/>
    <n v="0"/>
    <n v="0"/>
    <n v="0"/>
    <n v="0"/>
    <n v="0"/>
    <n v="0"/>
    <n v="0"/>
    <n v="0"/>
    <n v="0"/>
    <n v="0"/>
    <n v="0"/>
    <n v="0"/>
    <n v="0"/>
    <n v="0"/>
    <n v="0"/>
    <n v="0"/>
    <n v="0"/>
    <s v="MMR001CMP021"/>
    <x v="0"/>
    <x v="0"/>
    <s v="P4"/>
    <n v="0"/>
    <m/>
  </r>
  <r>
    <n v="31.433333333333334"/>
    <d v="2014-10-01T00:00:00"/>
    <x v="0"/>
    <s v="Shalom"/>
    <s v="Kachin"/>
    <s v="Hpakant"/>
    <s v="Maw Wan, Mu-yin Baptist Church"/>
    <m/>
    <m/>
    <m/>
    <n v="10"/>
    <m/>
    <m/>
    <m/>
    <m/>
    <m/>
    <m/>
    <m/>
    <m/>
    <m/>
    <m/>
    <m/>
    <m/>
    <m/>
    <n v="0"/>
    <n v="0"/>
    <n v="0"/>
    <n v="0"/>
    <n v="0"/>
    <n v="0"/>
    <n v="0"/>
    <n v="0"/>
    <n v="0"/>
    <n v="0"/>
    <n v="0"/>
    <n v="0"/>
    <n v="0"/>
    <n v="0"/>
    <n v="0"/>
    <n v="0"/>
    <n v="0"/>
    <n v="0"/>
    <s v="MMR001CMP091"/>
    <x v="0"/>
    <x v="0"/>
    <s v="P4"/>
    <n v="0"/>
    <m/>
  </r>
  <r>
    <n v="31.433333333333334"/>
    <d v="2014-10-01T00:00:00"/>
    <x v="0"/>
    <s v="Shalom"/>
    <s v="Kachin"/>
    <s v="Hpakant"/>
    <s v="Nam Ma Phyit, COC"/>
    <m/>
    <m/>
    <m/>
    <n v="36"/>
    <m/>
    <m/>
    <m/>
    <m/>
    <m/>
    <m/>
    <m/>
    <m/>
    <m/>
    <m/>
    <m/>
    <m/>
    <m/>
    <n v="0"/>
    <n v="0"/>
    <n v="0"/>
    <n v="0"/>
    <n v="0"/>
    <n v="0"/>
    <n v="0"/>
    <n v="0"/>
    <n v="0"/>
    <n v="0"/>
    <n v="0"/>
    <n v="0"/>
    <n v="0"/>
    <n v="0"/>
    <n v="0"/>
    <n v="0"/>
    <n v="0"/>
    <n v="0"/>
    <s v="MMR001CMP192"/>
    <x v="0"/>
    <x v="0"/>
    <s v="P4"/>
    <n v="0"/>
    <m/>
  </r>
  <r>
    <n v="31.433333333333334"/>
    <d v="2014-10-01T00:00:00"/>
    <x v="0"/>
    <s v="KMSS"/>
    <s v="Kachin"/>
    <s v="Myitkyina"/>
    <s v="Nan Kway St. John Catholic Church"/>
    <m/>
    <m/>
    <m/>
    <n v="144"/>
    <m/>
    <m/>
    <m/>
    <m/>
    <m/>
    <m/>
    <m/>
    <m/>
    <m/>
    <m/>
    <m/>
    <m/>
    <m/>
    <n v="0"/>
    <n v="0"/>
    <n v="0"/>
    <n v="0"/>
    <n v="0"/>
    <n v="0"/>
    <n v="0"/>
    <n v="0"/>
    <n v="0"/>
    <n v="0"/>
    <n v="0"/>
    <n v="0"/>
    <n v="0"/>
    <n v="0"/>
    <n v="0"/>
    <n v="0"/>
    <n v="0"/>
    <n v="0"/>
    <s v="MMR001CMP024"/>
    <x v="0"/>
    <x v="0"/>
    <s v="P4"/>
    <n v="0"/>
    <m/>
  </r>
  <r>
    <n v="31.433333333333334"/>
    <d v="2014-10-01T00:00:00"/>
    <x v="0"/>
    <s v="KMSS"/>
    <s v="Kachin"/>
    <s v="Hpakant"/>
    <s v="Nant Ma Hpit Catholic Church"/>
    <m/>
    <m/>
    <m/>
    <n v="80"/>
    <m/>
    <m/>
    <m/>
    <m/>
    <m/>
    <m/>
    <m/>
    <m/>
    <m/>
    <m/>
    <m/>
    <m/>
    <m/>
    <n v="0"/>
    <n v="0"/>
    <n v="0"/>
    <n v="0"/>
    <n v="0"/>
    <n v="0"/>
    <n v="0"/>
    <n v="0"/>
    <n v="0"/>
    <n v="0"/>
    <n v="0"/>
    <n v="0"/>
    <n v="0"/>
    <n v="0"/>
    <n v="0"/>
    <n v="0"/>
    <n v="0"/>
    <n v="0"/>
    <s v="MMR001CMP103"/>
    <x v="0"/>
    <x v="0"/>
    <s v="P4"/>
    <n v="0"/>
    <m/>
  </r>
  <r>
    <n v="31.433333333333334"/>
    <d v="2014-10-01T00:00:00"/>
    <x v="0"/>
    <s v="Shalom"/>
    <s v="Kachin"/>
    <s v="Waingmaw"/>
    <s v="Nawng Hee Village"/>
    <m/>
    <m/>
    <m/>
    <n v="36"/>
    <m/>
    <m/>
    <m/>
    <m/>
    <m/>
    <m/>
    <m/>
    <m/>
    <m/>
    <m/>
    <m/>
    <m/>
    <m/>
    <n v="0"/>
    <n v="0"/>
    <n v="0"/>
    <n v="0"/>
    <n v="0"/>
    <n v="0"/>
    <n v="0"/>
    <n v="0"/>
    <n v="0"/>
    <n v="0"/>
    <n v="0"/>
    <n v="0"/>
    <n v="0"/>
    <n v="0"/>
    <n v="0"/>
    <n v="0"/>
    <n v="0"/>
    <n v="0"/>
    <s v="MMR001CMP033"/>
    <x v="0"/>
    <x v="0"/>
    <s v="P4"/>
    <n v="0"/>
    <m/>
  </r>
  <r>
    <n v="31.433333333333334"/>
    <d v="2014-10-01T00:00:00"/>
    <x v="0"/>
    <s v="KMSS"/>
    <s v="Kachin"/>
    <s v="Myitkyina"/>
    <s v="Pa Dauk Myaing(Pa La Na)"/>
    <m/>
    <m/>
    <m/>
    <n v="62"/>
    <m/>
    <m/>
    <m/>
    <m/>
    <m/>
    <m/>
    <m/>
    <m/>
    <m/>
    <m/>
    <m/>
    <m/>
    <m/>
    <n v="0"/>
    <n v="0"/>
    <n v="0"/>
    <n v="0"/>
    <n v="0"/>
    <n v="0"/>
    <n v="0"/>
    <n v="0"/>
    <n v="0"/>
    <n v="0"/>
    <n v="0"/>
    <n v="0"/>
    <n v="0"/>
    <n v="0"/>
    <n v="0"/>
    <n v="0"/>
    <n v="0"/>
    <n v="0"/>
    <s v="MMR001CMP162"/>
    <x v="0"/>
    <x v="0"/>
    <s v="P4"/>
    <n v="0"/>
    <m/>
  </r>
  <r>
    <n v="31.433333333333334"/>
    <d v="2014-10-01T00:00:00"/>
    <x v="0"/>
    <s v="KMSS"/>
    <s v="Kachin"/>
    <s v="Chipwi"/>
    <s v="Pan Wa"/>
    <m/>
    <m/>
    <m/>
    <n v="130"/>
    <m/>
    <m/>
    <m/>
    <m/>
    <m/>
    <m/>
    <m/>
    <m/>
    <m/>
    <n v="130"/>
    <m/>
    <m/>
    <m/>
    <n v="0"/>
    <n v="0"/>
    <n v="0"/>
    <n v="0"/>
    <n v="0"/>
    <n v="0"/>
    <n v="0"/>
    <n v="0"/>
    <n v="0"/>
    <n v="0"/>
    <n v="0"/>
    <n v="0"/>
    <n v="0"/>
    <n v="0"/>
    <n v="1"/>
    <n v="0"/>
    <n v="0"/>
    <n v="0"/>
    <s v="MMR001CMP210"/>
    <x v="0"/>
    <x v="0"/>
    <s v="P1"/>
    <n v="0"/>
    <m/>
  </r>
  <r>
    <n v="31.433333333333334"/>
    <d v="2014-10-01T00:00:00"/>
    <x v="0"/>
    <s v="Shalom"/>
    <s v="Kachin"/>
    <s v="Waingmaw"/>
    <s v="Qtr. 2 Lhaovo Baptist Church"/>
    <m/>
    <m/>
    <m/>
    <n v="240"/>
    <m/>
    <m/>
    <m/>
    <m/>
    <m/>
    <m/>
    <m/>
    <m/>
    <m/>
    <m/>
    <m/>
    <m/>
    <m/>
    <n v="0"/>
    <n v="0"/>
    <n v="0"/>
    <n v="0"/>
    <n v="0"/>
    <n v="0"/>
    <n v="0"/>
    <n v="0"/>
    <n v="0"/>
    <n v="0"/>
    <n v="0"/>
    <n v="0"/>
    <n v="0"/>
    <n v="0"/>
    <n v="0"/>
    <n v="0"/>
    <n v="0"/>
    <n v="0"/>
    <s v="MMR001CMP032"/>
    <x v="0"/>
    <x v="0"/>
    <s v="P4"/>
    <n v="0"/>
    <m/>
  </r>
  <r>
    <n v="31.433333333333334"/>
    <d v="2014-10-01T00:00:00"/>
    <x v="0"/>
    <s v="Shalom"/>
    <s v="Kachin"/>
    <s v="Waingmaw"/>
    <s v="Qtr. 3 Mu-yin  Baptist Church"/>
    <m/>
    <m/>
    <m/>
    <n v="46"/>
    <m/>
    <m/>
    <m/>
    <m/>
    <m/>
    <m/>
    <m/>
    <m/>
    <m/>
    <m/>
    <m/>
    <m/>
    <m/>
    <n v="0"/>
    <n v="0"/>
    <n v="0"/>
    <n v="0"/>
    <n v="0"/>
    <n v="0"/>
    <n v="0"/>
    <n v="0"/>
    <n v="0"/>
    <n v="0"/>
    <n v="0"/>
    <n v="0"/>
    <n v="0"/>
    <n v="0"/>
    <n v="0"/>
    <n v="0"/>
    <n v="0"/>
    <n v="0"/>
    <s v="MMR001CMP030"/>
    <x v="0"/>
    <x v="0"/>
    <s v="P4"/>
    <n v="0"/>
    <m/>
  </r>
  <r>
    <n v="31.433333333333334"/>
    <d v="2014-10-01T00:00:00"/>
    <x v="0"/>
    <s v="Shalom"/>
    <s v="Kachin"/>
    <s v="Waingmaw"/>
    <s v="Qtr. 4 Monestry (Thargaya Thayett Taw)"/>
    <m/>
    <m/>
    <m/>
    <n v="204"/>
    <m/>
    <m/>
    <m/>
    <m/>
    <m/>
    <m/>
    <m/>
    <m/>
    <m/>
    <m/>
    <m/>
    <m/>
    <m/>
    <n v="0"/>
    <n v="0"/>
    <n v="0"/>
    <n v="0"/>
    <n v="0"/>
    <n v="0"/>
    <n v="0"/>
    <n v="0"/>
    <n v="0"/>
    <n v="0"/>
    <n v="0"/>
    <n v="0"/>
    <n v="0"/>
    <n v="0"/>
    <n v="0"/>
    <n v="0"/>
    <n v="0"/>
    <n v="0"/>
    <s v="MMR001CMP026"/>
    <x v="0"/>
    <x v="0"/>
    <s v="P4"/>
    <n v="0"/>
    <m/>
  </r>
  <r>
    <n v="31.433333333333334"/>
    <d v="2014-10-01T00:00:00"/>
    <x v="0"/>
    <s v="Shalom"/>
    <s v="Kachin"/>
    <s v="Hpakant"/>
    <s v="Rawan Baptist Church, Maw Shan Vil., Seik Mu"/>
    <m/>
    <m/>
    <m/>
    <n v="24"/>
    <m/>
    <m/>
    <m/>
    <m/>
    <m/>
    <m/>
    <m/>
    <m/>
    <m/>
    <m/>
    <m/>
    <m/>
    <m/>
    <n v="0"/>
    <n v="0"/>
    <n v="0"/>
    <n v="0"/>
    <n v="0"/>
    <n v="0"/>
    <n v="0"/>
    <n v="0"/>
    <n v="0"/>
    <n v="0"/>
    <n v="0"/>
    <n v="0"/>
    <n v="0"/>
    <n v="0"/>
    <n v="0"/>
    <n v="0"/>
    <n v="0"/>
    <n v="0"/>
    <s v="MMR001CMP182"/>
    <x v="0"/>
    <x v="0"/>
    <s v="P4"/>
    <n v="0"/>
    <m/>
  </r>
  <r>
    <n v="31.433333333333334"/>
    <d v="2014-10-01T00:00:00"/>
    <x v="0"/>
    <s v="KMSS"/>
    <s v="Kachin"/>
    <s v="Chipwi"/>
    <s v="Saw Zam"/>
    <m/>
    <m/>
    <m/>
    <n v="56"/>
    <m/>
    <m/>
    <m/>
    <m/>
    <m/>
    <m/>
    <m/>
    <m/>
    <m/>
    <n v="56"/>
    <m/>
    <m/>
    <m/>
    <n v="0"/>
    <n v="0"/>
    <n v="0"/>
    <n v="0"/>
    <n v="0"/>
    <n v="0"/>
    <n v="0"/>
    <n v="0"/>
    <n v="0"/>
    <n v="0"/>
    <n v="0"/>
    <n v="0"/>
    <n v="0"/>
    <n v="0"/>
    <n v="1"/>
    <n v="0"/>
    <n v="0"/>
    <n v="0"/>
    <s v="MMR001CMP225"/>
    <x v="0"/>
    <x v="0"/>
    <s v="P1"/>
    <n v="0"/>
    <m/>
  </r>
  <r>
    <n v="31.433333333333334"/>
    <d v="2014-10-01T00:00:00"/>
    <x v="0"/>
    <s v="Shalom"/>
    <s v="Kachin"/>
    <s v="Myitkyina"/>
    <s v="Shatapru Thida Aye Baptist Church"/>
    <m/>
    <m/>
    <m/>
    <n v="30"/>
    <m/>
    <m/>
    <m/>
    <m/>
    <m/>
    <m/>
    <m/>
    <m/>
    <m/>
    <m/>
    <m/>
    <m/>
    <m/>
    <n v="0"/>
    <n v="0"/>
    <n v="0"/>
    <n v="0"/>
    <n v="0"/>
    <n v="0"/>
    <n v="0"/>
    <n v="0"/>
    <n v="0"/>
    <n v="0"/>
    <n v="0"/>
    <n v="0"/>
    <n v="0"/>
    <n v="0"/>
    <n v="0"/>
    <n v="0"/>
    <n v="0"/>
    <n v="0"/>
    <s v="MMR001CMP007"/>
    <x v="0"/>
    <x v="0"/>
    <s v="P4"/>
    <n v="0"/>
    <m/>
  </r>
  <r>
    <n v="31.433333333333334"/>
    <d v="2014-10-01T00:00:00"/>
    <x v="0"/>
    <s v="KMSS"/>
    <s v="Kachin"/>
    <s v="Mohnyin"/>
    <s v="St. Patrick Catholic Church "/>
    <m/>
    <m/>
    <m/>
    <n v="24"/>
    <m/>
    <m/>
    <m/>
    <m/>
    <m/>
    <m/>
    <m/>
    <m/>
    <m/>
    <m/>
    <m/>
    <m/>
    <m/>
    <n v="0"/>
    <n v="0"/>
    <n v="0"/>
    <n v="0"/>
    <n v="0"/>
    <n v="0"/>
    <n v="0"/>
    <n v="0"/>
    <n v="0"/>
    <n v="0"/>
    <n v="0"/>
    <n v="0"/>
    <n v="0"/>
    <n v="0"/>
    <n v="0"/>
    <n v="0"/>
    <n v="0"/>
    <n v="0"/>
    <s v="MMR001CMP080"/>
    <x v="0"/>
    <x v="0"/>
    <s v="P4"/>
    <n v="0"/>
    <m/>
  </r>
  <r>
    <n v="31.433333333333334"/>
    <d v="2014-10-01T00:00:00"/>
    <x v="0"/>
    <s v="Shalom"/>
    <s v="Kachin"/>
    <s v="Myitkyina"/>
    <s v="Tat Kone Emanuel Church"/>
    <m/>
    <m/>
    <m/>
    <n v="26"/>
    <m/>
    <m/>
    <m/>
    <m/>
    <m/>
    <m/>
    <m/>
    <m/>
    <m/>
    <m/>
    <m/>
    <m/>
    <m/>
    <n v="0"/>
    <n v="0"/>
    <n v="0"/>
    <n v="0"/>
    <n v="0"/>
    <n v="0"/>
    <n v="0"/>
    <n v="0"/>
    <n v="0"/>
    <n v="0"/>
    <n v="0"/>
    <n v="0"/>
    <n v="0"/>
    <n v="0"/>
    <n v="0"/>
    <n v="0"/>
    <n v="0"/>
    <n v="0"/>
    <s v="MMR001CMP004"/>
    <x v="0"/>
    <x v="0"/>
    <s v="P4"/>
    <n v="0"/>
    <m/>
  </r>
  <r>
    <n v="31.433333333333334"/>
    <d v="2014-10-01T00:00:00"/>
    <x v="0"/>
    <s v="Shalom"/>
    <s v="Kachin"/>
    <s v="Waingmaw"/>
    <s v="Thargaya Lisu Baptist Church"/>
    <m/>
    <m/>
    <m/>
    <n v="144"/>
    <m/>
    <m/>
    <m/>
    <m/>
    <m/>
    <m/>
    <m/>
    <m/>
    <m/>
    <m/>
    <m/>
    <m/>
    <m/>
    <n v="0"/>
    <n v="0"/>
    <n v="0"/>
    <n v="0"/>
    <n v="0"/>
    <n v="0"/>
    <n v="0"/>
    <n v="0"/>
    <n v="0"/>
    <n v="0"/>
    <n v="0"/>
    <n v="0"/>
    <n v="0"/>
    <n v="0"/>
    <n v="0"/>
    <n v="0"/>
    <n v="0"/>
    <n v="0"/>
    <s v="MMR001CMP037"/>
    <x v="0"/>
    <x v="0"/>
    <s v="P4"/>
    <n v="0"/>
    <m/>
  </r>
  <r>
    <n v="31.433333333333334"/>
    <d v="2014-10-01T00:00:00"/>
    <x v="0"/>
    <s v="Shalom"/>
    <s v="Kachin"/>
    <s v="Waingmaw"/>
    <s v="Waingmaw AG Church"/>
    <m/>
    <m/>
    <m/>
    <n v="150"/>
    <m/>
    <m/>
    <m/>
    <m/>
    <m/>
    <m/>
    <m/>
    <m/>
    <m/>
    <m/>
    <m/>
    <m/>
    <m/>
    <n v="0"/>
    <n v="0"/>
    <n v="0"/>
    <n v="0"/>
    <n v="0"/>
    <n v="0"/>
    <n v="0"/>
    <n v="0"/>
    <n v="0"/>
    <n v="0"/>
    <n v="0"/>
    <n v="0"/>
    <n v="0"/>
    <n v="0"/>
    <n v="0"/>
    <n v="0"/>
    <n v="0"/>
    <n v="0"/>
    <s v="MMR001CMP038"/>
    <x v="0"/>
    <x v="0"/>
    <s v="P4"/>
    <n v="0"/>
    <m/>
  </r>
  <r>
    <n v="31.433333333333334"/>
    <d v="2014-10-01T00:00:00"/>
    <x v="0"/>
    <s v="Shalom"/>
    <s v="Kachin"/>
    <s v="Myitkyina"/>
    <s v="Wun Tho Buddhist Monastery"/>
    <m/>
    <m/>
    <m/>
    <n v="12"/>
    <m/>
    <m/>
    <m/>
    <m/>
    <m/>
    <m/>
    <m/>
    <m/>
    <m/>
    <m/>
    <m/>
    <m/>
    <m/>
    <n v="0"/>
    <n v="0"/>
    <n v="0"/>
    <n v="0"/>
    <n v="0"/>
    <n v="0"/>
    <n v="0"/>
    <n v="0"/>
    <n v="0"/>
    <n v="0"/>
    <n v="0"/>
    <n v="0"/>
    <n v="0"/>
    <n v="0"/>
    <n v="0"/>
    <n v="0"/>
    <n v="0"/>
    <n v="0"/>
    <s v="MMR001CMP022"/>
    <x v="0"/>
    <x v="0"/>
    <s v="P4"/>
    <n v="0"/>
    <m/>
  </r>
  <r>
    <n v="31.133333333333333"/>
    <d v="2014-10-10T00:00:00"/>
    <x v="0"/>
    <m/>
    <s v="Kachin"/>
    <s v="Momauk"/>
    <s v="Loi Je Baptist Church"/>
    <m/>
    <m/>
    <m/>
    <m/>
    <n v="60"/>
    <m/>
    <m/>
    <m/>
    <m/>
    <m/>
    <m/>
    <m/>
    <m/>
    <m/>
    <m/>
    <m/>
    <m/>
    <n v="0"/>
    <n v="0"/>
    <n v="0"/>
    <n v="0"/>
    <n v="0"/>
    <n v="0"/>
    <n v="0"/>
    <n v="0"/>
    <n v="0"/>
    <n v="0"/>
    <n v="0"/>
    <n v="0"/>
    <n v="0"/>
    <n v="0"/>
    <n v="0"/>
    <n v="0"/>
    <n v="0"/>
    <n v="0"/>
    <s v="MMR001CMP071"/>
    <x v="0"/>
    <x v="0"/>
    <s v="P3"/>
    <n v="0"/>
    <m/>
  </r>
  <r>
    <n v="31.133333333333333"/>
    <d v="2014-10-10T00:00:00"/>
    <x v="0"/>
    <m/>
    <s v="Kachin"/>
    <s v="Momauk"/>
    <s v="Loi Je Lisu Camp"/>
    <m/>
    <m/>
    <m/>
    <m/>
    <n v="30"/>
    <m/>
    <m/>
    <m/>
    <m/>
    <m/>
    <m/>
    <m/>
    <m/>
    <m/>
    <m/>
    <m/>
    <m/>
    <n v="0"/>
    <n v="0"/>
    <n v="0"/>
    <n v="0"/>
    <n v="0"/>
    <n v="0"/>
    <n v="0"/>
    <n v="0"/>
    <n v="0"/>
    <n v="0"/>
    <n v="0"/>
    <n v="0"/>
    <n v="0"/>
    <n v="0"/>
    <n v="0"/>
    <n v="0"/>
    <n v="0"/>
    <n v="0"/>
    <s v="MMR001CMP070"/>
    <x v="0"/>
    <x v="0"/>
    <s v="P3"/>
    <n v="0"/>
    <m/>
  </r>
  <r>
    <n v="31.133333333333333"/>
    <d v="2014-10-10T00:00:00"/>
    <x v="0"/>
    <m/>
    <s v="Kachin"/>
    <s v="Momauk"/>
    <s v="Nyaung Na Pin "/>
    <m/>
    <m/>
    <m/>
    <m/>
    <n v="60"/>
    <m/>
    <m/>
    <m/>
    <m/>
    <m/>
    <m/>
    <m/>
    <m/>
    <m/>
    <m/>
    <m/>
    <m/>
    <n v="0"/>
    <n v="0"/>
    <n v="0"/>
    <n v="0"/>
    <n v="0"/>
    <n v="0"/>
    <n v="0"/>
    <n v="0"/>
    <n v="0"/>
    <n v="0"/>
    <n v="0"/>
    <n v="0"/>
    <n v="0"/>
    <n v="0"/>
    <n v="0"/>
    <n v="0"/>
    <n v="0"/>
    <n v="0"/>
    <s v="MMR001CMP072"/>
    <x v="0"/>
    <x v="0"/>
    <s v="P3"/>
    <n v="0"/>
    <m/>
  </r>
  <r>
    <n v="31.066666666666666"/>
    <d v="2014-10-12T00:00:00"/>
    <x v="0"/>
    <m/>
    <s v="Kachin"/>
    <s v="Momauk"/>
    <s v="Man Bung Catholic compound"/>
    <m/>
    <m/>
    <m/>
    <m/>
    <n v="25"/>
    <m/>
    <m/>
    <m/>
    <m/>
    <m/>
    <m/>
    <m/>
    <m/>
    <m/>
    <m/>
    <m/>
    <m/>
    <n v="0"/>
    <n v="0"/>
    <n v="0"/>
    <n v="0"/>
    <n v="0"/>
    <n v="0"/>
    <n v="0"/>
    <n v="0"/>
    <n v="0"/>
    <n v="0"/>
    <n v="0"/>
    <n v="0"/>
    <n v="0"/>
    <n v="0"/>
    <n v="0"/>
    <n v="0"/>
    <n v="0"/>
    <n v="0"/>
    <s v="MMR001CMP062"/>
    <x v="0"/>
    <x v="0"/>
    <s v="P4"/>
    <n v="0"/>
    <m/>
  </r>
  <r>
    <n v="30.633333333333333"/>
    <d v="2014-10-25T00:00:00"/>
    <x v="9"/>
    <s v="MRCS"/>
    <s v="Kachin"/>
    <s v="Hpakant"/>
    <s v="5 Ward Baptist Church(lon Khin)"/>
    <m/>
    <m/>
    <m/>
    <m/>
    <m/>
    <m/>
    <m/>
    <m/>
    <m/>
    <m/>
    <n v="229"/>
    <n v="126"/>
    <m/>
    <m/>
    <m/>
    <m/>
    <m/>
    <n v="0"/>
    <n v="0"/>
    <n v="0"/>
    <n v="0"/>
    <n v="0"/>
    <n v="0"/>
    <n v="0"/>
    <n v="0"/>
    <n v="0"/>
    <n v="0"/>
    <n v="0"/>
    <n v="0"/>
    <n v="0"/>
    <n v="0"/>
    <n v="1"/>
    <n v="0"/>
    <n v="0"/>
    <n v="0"/>
    <s v="MMR001CMP179"/>
    <x v="0"/>
    <x v="1"/>
    <s v="P4"/>
    <n v="0"/>
    <m/>
  </r>
  <r>
    <n v="30.633333333333333"/>
    <d v="2014-10-25T00:00:00"/>
    <x v="9"/>
    <s v="MRCS"/>
    <s v="Kachin"/>
    <s v="Hpakant"/>
    <s v="5 Ward RC Church(lon Khin)"/>
    <m/>
    <m/>
    <m/>
    <m/>
    <m/>
    <m/>
    <m/>
    <m/>
    <m/>
    <m/>
    <n v="223"/>
    <n v="96"/>
    <m/>
    <m/>
    <m/>
    <m/>
    <m/>
    <n v="0"/>
    <n v="0"/>
    <n v="0"/>
    <n v="0"/>
    <n v="0"/>
    <n v="0"/>
    <n v="0"/>
    <n v="0"/>
    <n v="0"/>
    <n v="0"/>
    <n v="0"/>
    <n v="0"/>
    <n v="0"/>
    <n v="0"/>
    <n v="1"/>
    <n v="0"/>
    <n v="0"/>
    <n v="0"/>
    <s v="MMR001CMP168"/>
    <x v="0"/>
    <x v="0"/>
    <s v="P4"/>
    <n v="0"/>
    <m/>
  </r>
  <r>
    <n v="30.633333333333333"/>
    <d v="2014-10-25T00:00:00"/>
    <x v="9"/>
    <s v="MRCS"/>
    <s v="Kachin"/>
    <s v="Hpakant"/>
    <s v="AG Church, Hmaw Si Sa"/>
    <m/>
    <m/>
    <m/>
    <m/>
    <m/>
    <m/>
    <m/>
    <m/>
    <m/>
    <m/>
    <n v="232"/>
    <n v="105"/>
    <m/>
    <m/>
    <m/>
    <m/>
    <m/>
    <n v="0"/>
    <n v="0"/>
    <n v="0"/>
    <n v="0"/>
    <n v="0"/>
    <n v="0"/>
    <n v="0"/>
    <n v="0"/>
    <n v="0"/>
    <n v="0"/>
    <n v="0"/>
    <n v="0"/>
    <n v="0"/>
    <n v="0"/>
    <n v="1"/>
    <n v="0"/>
    <n v="0"/>
    <n v="0"/>
    <s v="MMR001CMP176"/>
    <x v="0"/>
    <x v="0"/>
    <s v="P4"/>
    <n v="0"/>
    <m/>
  </r>
  <r>
    <n v="30.633333333333333"/>
    <d v="2014-10-25T00:00:00"/>
    <x v="9"/>
    <s v="MRCS"/>
    <s v="Kachin"/>
    <s v="Hpakant"/>
    <s v="AG Church, Maw Wan"/>
    <m/>
    <m/>
    <m/>
    <m/>
    <m/>
    <m/>
    <m/>
    <m/>
    <m/>
    <m/>
    <n v="55"/>
    <n v="27"/>
    <m/>
    <m/>
    <m/>
    <m/>
    <m/>
    <n v="0"/>
    <n v="0"/>
    <n v="0"/>
    <n v="0"/>
    <n v="0"/>
    <n v="0"/>
    <n v="0"/>
    <n v="0"/>
    <n v="0"/>
    <n v="0"/>
    <n v="0"/>
    <n v="0"/>
    <n v="0"/>
    <n v="0"/>
    <n v="1"/>
    <n v="0"/>
    <n v="0"/>
    <n v="0"/>
    <s v="MMR001CMP190"/>
    <x v="0"/>
    <x v="0"/>
    <s v="P4"/>
    <n v="0"/>
    <m/>
  </r>
  <r>
    <n v="30.633333333333333"/>
    <d v="2014-10-25T00:00:00"/>
    <x v="9"/>
    <s v="MRCS"/>
    <s v="Kachin"/>
    <s v="Hpakant"/>
    <s v="Baptist Church, Naung Hmee VT"/>
    <m/>
    <m/>
    <m/>
    <m/>
    <m/>
    <m/>
    <m/>
    <m/>
    <m/>
    <m/>
    <n v="48"/>
    <n v="30"/>
    <m/>
    <m/>
    <m/>
    <m/>
    <m/>
    <n v="0"/>
    <n v="0"/>
    <n v="0"/>
    <n v="0"/>
    <n v="0"/>
    <n v="0"/>
    <n v="0"/>
    <n v="0"/>
    <n v="0"/>
    <n v="0"/>
    <n v="0"/>
    <n v="0"/>
    <n v="0"/>
    <n v="0"/>
    <n v="1"/>
    <n v="0"/>
    <n v="0"/>
    <n v="0"/>
    <s v="MMR001CMP188"/>
    <x v="0"/>
    <x v="1"/>
    <s v="P4"/>
    <s v=""/>
    <m/>
  </r>
  <r>
    <n v="30.633333333333333"/>
    <d v="2014-10-25T00:00:00"/>
    <x v="9"/>
    <s v="MRCS"/>
    <s v="Kachin"/>
    <s v="Hpakant"/>
    <s v="Baptist Church, Hmaw Si Sar(Lon Khin)"/>
    <m/>
    <m/>
    <m/>
    <m/>
    <m/>
    <m/>
    <m/>
    <m/>
    <m/>
    <m/>
    <n v="123"/>
    <n v="104"/>
    <m/>
    <m/>
    <m/>
    <m/>
    <m/>
    <n v="0"/>
    <n v="0"/>
    <n v="0"/>
    <n v="0"/>
    <n v="0"/>
    <n v="0"/>
    <n v="0"/>
    <n v="0"/>
    <n v="0"/>
    <n v="0"/>
    <n v="0"/>
    <n v="0"/>
    <n v="0"/>
    <n v="0"/>
    <n v="1"/>
    <n v="0"/>
    <n v="0"/>
    <n v="0"/>
    <s v="MMR001CMP169"/>
    <x v="0"/>
    <x v="0"/>
    <s v="P4"/>
    <n v="0"/>
    <m/>
  </r>
  <r>
    <n v="30.633333333333333"/>
    <d v="2014-10-25T00:00:00"/>
    <x v="9"/>
    <s v="MRCS"/>
    <s v="Kachin"/>
    <s v="Hpakant"/>
    <s v="Chin Church, Seik Mu"/>
    <m/>
    <m/>
    <m/>
    <m/>
    <m/>
    <m/>
    <m/>
    <m/>
    <m/>
    <m/>
    <n v="15"/>
    <n v="10"/>
    <m/>
    <m/>
    <m/>
    <m/>
    <m/>
    <n v="0"/>
    <n v="0"/>
    <n v="0"/>
    <n v="0"/>
    <n v="0"/>
    <n v="0"/>
    <n v="0"/>
    <n v="0"/>
    <n v="0"/>
    <n v="0"/>
    <n v="0"/>
    <n v="0"/>
    <n v="0"/>
    <n v="0"/>
    <n v="1"/>
    <n v="0"/>
    <n v="0"/>
    <n v="0"/>
    <s v="MMR001CMP109"/>
    <x v="0"/>
    <x v="0"/>
    <s v="P4"/>
    <n v="0"/>
    <m/>
  </r>
  <r>
    <n v="30.633333333333333"/>
    <d v="2014-10-25T00:00:00"/>
    <x v="9"/>
    <s v="MRCS"/>
    <s v="Kachin"/>
    <s v="Hpakant"/>
    <s v="Dhama Rakhita, Nyein Chan Tar Yar Ward(Lon Khin)"/>
    <m/>
    <m/>
    <m/>
    <m/>
    <m/>
    <m/>
    <m/>
    <m/>
    <m/>
    <m/>
    <n v="214"/>
    <n v="112"/>
    <m/>
    <m/>
    <m/>
    <m/>
    <m/>
    <n v="0"/>
    <n v="0"/>
    <n v="0"/>
    <n v="0"/>
    <n v="0"/>
    <n v="0"/>
    <n v="0"/>
    <n v="0"/>
    <n v="0"/>
    <n v="0"/>
    <n v="0"/>
    <n v="0"/>
    <n v="0"/>
    <n v="0"/>
    <n v="1"/>
    <n v="0"/>
    <n v="0"/>
    <n v="0"/>
    <s v="MMR001CMP174"/>
    <x v="0"/>
    <x v="0"/>
    <s v="P4"/>
    <n v="0"/>
    <m/>
  </r>
  <r>
    <n v="30.633333333333333"/>
    <d v="2014-10-25T00:00:00"/>
    <x v="9"/>
    <s v="MRCS"/>
    <s v="Kachin"/>
    <s v="Hpakant"/>
    <s v="Hlaing Naung Baptist"/>
    <m/>
    <m/>
    <m/>
    <m/>
    <m/>
    <m/>
    <m/>
    <m/>
    <m/>
    <m/>
    <n v="37"/>
    <n v="24"/>
    <m/>
    <m/>
    <m/>
    <m/>
    <m/>
    <n v="0"/>
    <n v="0"/>
    <n v="0"/>
    <n v="0"/>
    <n v="0"/>
    <n v="0"/>
    <n v="0"/>
    <n v="0"/>
    <n v="0"/>
    <n v="0"/>
    <n v="0"/>
    <n v="0"/>
    <n v="0"/>
    <n v="0"/>
    <n v="1"/>
    <n v="0"/>
    <n v="0"/>
    <n v="0"/>
    <s v="MMR001CMP148"/>
    <x v="0"/>
    <x v="0"/>
    <s v="P4"/>
    <n v="0"/>
    <m/>
  </r>
  <r>
    <n v="30.633333333333333"/>
    <d v="2014-10-25T00:00:00"/>
    <x v="9"/>
    <s v="MRCS"/>
    <s v="Kachin"/>
    <s v="Hpakant"/>
    <s v="Hmaw Wan, Anglican"/>
    <m/>
    <m/>
    <m/>
    <m/>
    <m/>
    <m/>
    <m/>
    <m/>
    <m/>
    <m/>
    <n v="33"/>
    <n v="24"/>
    <m/>
    <m/>
    <m/>
    <m/>
    <m/>
    <n v="0"/>
    <n v="0"/>
    <n v="0"/>
    <n v="0"/>
    <n v="0"/>
    <n v="0"/>
    <n v="0"/>
    <n v="0"/>
    <n v="0"/>
    <n v="0"/>
    <n v="0"/>
    <n v="0"/>
    <n v="0"/>
    <n v="0"/>
    <n v="1"/>
    <n v="0"/>
    <n v="0"/>
    <n v="0"/>
    <s v="MMR001CMP191"/>
    <x v="0"/>
    <x v="0"/>
    <s v="P4"/>
    <n v="0"/>
    <m/>
  </r>
  <r>
    <n v="30.633333333333333"/>
    <d v="2014-10-25T00:00:00"/>
    <x v="9"/>
    <s v="MRCS"/>
    <s v="Kachin"/>
    <s v="Hpakant"/>
    <s v="Hpakant Baptist Church, Nam Ma Hpit"/>
    <m/>
    <m/>
    <m/>
    <m/>
    <m/>
    <m/>
    <m/>
    <m/>
    <m/>
    <m/>
    <n v="186"/>
    <n v="125"/>
    <m/>
    <m/>
    <m/>
    <m/>
    <m/>
    <n v="0"/>
    <n v="0"/>
    <n v="0"/>
    <n v="0"/>
    <n v="0"/>
    <n v="0"/>
    <n v="0"/>
    <n v="0"/>
    <n v="0"/>
    <n v="0"/>
    <n v="0"/>
    <n v="0"/>
    <n v="0"/>
    <n v="0"/>
    <n v="1"/>
    <n v="0"/>
    <n v="0"/>
    <n v="0"/>
    <s v="MMR001CMP229"/>
    <x v="0"/>
    <x v="0"/>
    <s v="P4"/>
    <n v="0"/>
    <m/>
  </r>
  <r>
    <n v="30.633333333333333"/>
    <d v="2014-10-25T00:00:00"/>
    <x v="9"/>
    <s v="MRCS"/>
    <s v="Kachin"/>
    <s v="Hpakant"/>
    <s v="Lisu Baptist Church, Maw Shan Vil,. Seik Mu"/>
    <m/>
    <m/>
    <m/>
    <m/>
    <m/>
    <m/>
    <m/>
    <m/>
    <m/>
    <m/>
    <n v="90"/>
    <n v="39"/>
    <m/>
    <m/>
    <m/>
    <m/>
    <m/>
    <n v="0"/>
    <n v="0"/>
    <n v="0"/>
    <n v="0"/>
    <n v="0"/>
    <n v="0"/>
    <n v="0"/>
    <n v="0"/>
    <n v="0"/>
    <n v="0"/>
    <n v="0"/>
    <n v="0"/>
    <n v="0"/>
    <n v="0"/>
    <n v="1"/>
    <n v="0"/>
    <n v="0"/>
    <n v="0"/>
    <s v="MMR001CMP181"/>
    <x v="0"/>
    <x v="0"/>
    <s v="P4"/>
    <n v="0"/>
    <m/>
  </r>
  <r>
    <n v="30.633333333333333"/>
    <d v="2014-10-25T00:00:00"/>
    <x v="9"/>
    <s v="MRCS"/>
    <s v="Kachin"/>
    <s v="Hpakant"/>
    <s v="Lisu Baptist Church, Maw Wan Ward"/>
    <m/>
    <m/>
    <m/>
    <m/>
    <m/>
    <m/>
    <m/>
    <m/>
    <m/>
    <m/>
    <n v="48"/>
    <n v="23"/>
    <m/>
    <m/>
    <m/>
    <m/>
    <m/>
    <n v="0"/>
    <n v="0"/>
    <n v="0"/>
    <n v="0"/>
    <n v="0"/>
    <n v="0"/>
    <n v="0"/>
    <n v="0"/>
    <n v="0"/>
    <n v="0"/>
    <n v="0"/>
    <n v="0"/>
    <n v="0"/>
    <n v="0"/>
    <n v="1"/>
    <n v="0"/>
    <n v="0"/>
    <n v="0"/>
    <s v="MMR001CMP167"/>
    <x v="0"/>
    <x v="0"/>
    <s v="P4"/>
    <n v="0"/>
    <m/>
  </r>
  <r>
    <n v="30.633333333333333"/>
    <d v="2014-10-25T00:00:00"/>
    <x v="9"/>
    <s v="MRCS"/>
    <s v="Kachin"/>
    <s v="Momauk"/>
    <s v="Loi Je Baptist Church"/>
    <m/>
    <m/>
    <m/>
    <m/>
    <m/>
    <m/>
    <m/>
    <m/>
    <m/>
    <m/>
    <n v="112"/>
    <n v="59"/>
    <m/>
    <n v="74"/>
    <m/>
    <m/>
    <m/>
    <n v="0"/>
    <n v="0"/>
    <n v="0"/>
    <n v="0"/>
    <n v="0"/>
    <n v="0"/>
    <n v="0"/>
    <n v="0"/>
    <n v="0"/>
    <n v="0"/>
    <n v="0"/>
    <n v="0"/>
    <n v="0"/>
    <n v="0"/>
    <n v="1"/>
    <n v="0"/>
    <n v="0"/>
    <n v="0"/>
    <s v="MMR001CMP071"/>
    <x v="0"/>
    <x v="0"/>
    <s v="P3"/>
    <n v="0"/>
    <m/>
  </r>
  <r>
    <n v="30.633333333333333"/>
    <d v="2014-10-25T00:00:00"/>
    <x v="9"/>
    <s v="MRCS"/>
    <s v="Kachin"/>
    <s v="Momauk"/>
    <s v="Loi Je Catholic Church"/>
    <m/>
    <m/>
    <m/>
    <m/>
    <m/>
    <m/>
    <m/>
    <m/>
    <m/>
    <m/>
    <n v="203"/>
    <n v="102"/>
    <m/>
    <n v="138"/>
    <m/>
    <m/>
    <m/>
    <n v="0"/>
    <n v="0"/>
    <n v="0"/>
    <n v="0"/>
    <n v="0"/>
    <n v="0"/>
    <n v="0"/>
    <n v="0"/>
    <n v="0"/>
    <n v="0"/>
    <n v="0"/>
    <n v="0"/>
    <n v="0"/>
    <n v="0"/>
    <n v="1"/>
    <n v="0"/>
    <n v="0"/>
    <n v="0"/>
    <s v="MMR001CMP069"/>
    <x v="0"/>
    <x v="0"/>
    <s v="P3"/>
    <n v="0"/>
    <m/>
  </r>
  <r>
    <n v="30.633333333333333"/>
    <d v="2014-10-25T00:00:00"/>
    <x v="9"/>
    <s v="MRCS"/>
    <s v="Kachin"/>
    <s v="Momauk"/>
    <s v="Loi Je Lisu Camp"/>
    <m/>
    <m/>
    <m/>
    <m/>
    <m/>
    <m/>
    <m/>
    <m/>
    <m/>
    <m/>
    <n v="591"/>
    <n v="347"/>
    <m/>
    <n v="311"/>
    <m/>
    <m/>
    <m/>
    <n v="0"/>
    <n v="0"/>
    <n v="0"/>
    <n v="0"/>
    <n v="0"/>
    <n v="0"/>
    <n v="0"/>
    <n v="0"/>
    <n v="0"/>
    <n v="0"/>
    <n v="0"/>
    <n v="0"/>
    <n v="0"/>
    <n v="0"/>
    <n v="1"/>
    <n v="0"/>
    <n v="0"/>
    <n v="0"/>
    <s v="MMR001CMP070"/>
    <x v="0"/>
    <x v="0"/>
    <s v="P3"/>
    <n v="0"/>
    <m/>
  </r>
  <r>
    <n v="30.466666666666665"/>
    <d v="2014-10-30T00:00:00"/>
    <x v="0"/>
    <m/>
    <s v="Kachin"/>
    <s v="Bhamo"/>
    <s v="Aung Thar Church"/>
    <m/>
    <m/>
    <m/>
    <m/>
    <m/>
    <m/>
    <m/>
    <m/>
    <m/>
    <m/>
    <m/>
    <m/>
    <m/>
    <m/>
    <m/>
    <m/>
    <m/>
    <n v="0"/>
    <n v="0"/>
    <n v="0"/>
    <n v="0"/>
    <n v="0"/>
    <n v="0"/>
    <n v="0"/>
    <n v="0"/>
    <n v="0"/>
    <n v="0"/>
    <n v="0"/>
    <n v="0"/>
    <n v="0"/>
    <n v="0"/>
    <n v="0"/>
    <n v="0"/>
    <n v="0"/>
    <n v="0"/>
    <s v="MMR001CMP194"/>
    <x v="0"/>
    <x v="0"/>
    <s v="P4"/>
    <n v="0"/>
    <m/>
  </r>
  <r>
    <n v="30.433333333333334"/>
    <d v="2014-10-31T00:00:00"/>
    <x v="0"/>
    <m/>
    <s v="Kachin"/>
    <s v="Hpakant"/>
    <s v="5 Ward Baptist Church(lon Khin)"/>
    <m/>
    <m/>
    <n v="77"/>
    <n v="154"/>
    <n v="77"/>
    <n v="154"/>
    <n v="77"/>
    <m/>
    <n v="77"/>
    <n v="385"/>
    <m/>
    <m/>
    <m/>
    <m/>
    <m/>
    <m/>
    <m/>
    <n v="0"/>
    <n v="0"/>
    <n v="0"/>
    <n v="0"/>
    <n v="0"/>
    <n v="0"/>
    <n v="0"/>
    <n v="0"/>
    <n v="0"/>
    <n v="0"/>
    <n v="0"/>
    <n v="0"/>
    <n v="0"/>
    <n v="0"/>
    <n v="0"/>
    <n v="0"/>
    <n v="0"/>
    <n v="0"/>
    <s v="MMR001CMP179"/>
    <x v="0"/>
    <x v="1"/>
    <s v="P4"/>
    <n v="1.8655360387643853E-3"/>
    <m/>
  </r>
  <r>
    <n v="30.433333333333334"/>
    <d v="2014-10-31T00:00:00"/>
    <x v="0"/>
    <m/>
    <s v="Kachin"/>
    <s v="Hpakant"/>
    <s v="5 Ward RC Church(lon Khin)"/>
    <m/>
    <m/>
    <n v="59"/>
    <n v="118"/>
    <n v="59"/>
    <n v="118"/>
    <n v="59"/>
    <m/>
    <n v="59"/>
    <n v="295"/>
    <m/>
    <m/>
    <m/>
    <m/>
    <m/>
    <m/>
    <m/>
    <n v="0"/>
    <n v="0"/>
    <n v="0"/>
    <n v="0"/>
    <n v="0"/>
    <n v="0"/>
    <n v="0"/>
    <n v="0"/>
    <n v="0"/>
    <n v="0"/>
    <n v="0"/>
    <n v="0"/>
    <n v="0"/>
    <n v="0"/>
    <n v="0"/>
    <n v="0"/>
    <n v="0"/>
    <n v="0"/>
    <s v="MMR001CMP168"/>
    <x v="0"/>
    <x v="0"/>
    <s v="P4"/>
    <n v="1.4294367050272563E-3"/>
    <m/>
  </r>
  <r>
    <n v="30.433333333333334"/>
    <d v="2014-10-31T00:00:00"/>
    <x v="0"/>
    <m/>
    <s v="Kachin"/>
    <s v="Hpakant"/>
    <s v="AG Church, Hmaw Si Sa"/>
    <m/>
    <m/>
    <n v="67"/>
    <n v="134"/>
    <n v="67"/>
    <n v="134"/>
    <n v="67"/>
    <m/>
    <n v="67"/>
    <n v="335"/>
    <m/>
    <m/>
    <m/>
    <m/>
    <m/>
    <m/>
    <m/>
    <n v="0"/>
    <n v="0"/>
    <n v="0"/>
    <n v="0"/>
    <n v="0"/>
    <n v="0"/>
    <n v="0"/>
    <n v="0"/>
    <n v="0"/>
    <n v="0"/>
    <n v="0"/>
    <n v="0"/>
    <n v="0"/>
    <n v="0"/>
    <n v="0"/>
    <n v="0"/>
    <n v="0"/>
    <n v="0"/>
    <s v="MMR001CMP176"/>
    <x v="0"/>
    <x v="0"/>
    <s v="P4"/>
    <n v="1.6232586311326468E-3"/>
    <m/>
  </r>
  <r>
    <n v="30.433333333333334"/>
    <d v="2014-10-31T00:00:00"/>
    <x v="0"/>
    <m/>
    <s v="Kachin"/>
    <s v="Hpakant"/>
    <s v="AG Church, Maw Wan"/>
    <m/>
    <m/>
    <n v="14"/>
    <n v="28"/>
    <n v="14"/>
    <n v="28"/>
    <n v="14"/>
    <m/>
    <n v="14"/>
    <n v="70"/>
    <m/>
    <m/>
    <m/>
    <m/>
    <m/>
    <m/>
    <m/>
    <n v="0"/>
    <n v="0"/>
    <n v="0"/>
    <n v="0"/>
    <n v="0"/>
    <n v="0"/>
    <n v="0"/>
    <n v="0"/>
    <n v="0"/>
    <n v="0"/>
    <n v="0"/>
    <n v="0"/>
    <n v="0"/>
    <n v="0"/>
    <n v="0"/>
    <n v="0"/>
    <n v="0"/>
    <n v="0"/>
    <s v="MMR001CMP190"/>
    <x v="0"/>
    <x v="0"/>
    <s v="P4"/>
    <n v="3.391883706844337E-4"/>
    <m/>
  </r>
  <r>
    <n v="30.433333333333334"/>
    <d v="2014-10-31T00:00:00"/>
    <x v="9"/>
    <s v="MRCS"/>
    <s v="Kachin"/>
    <s v="Machanbaw"/>
    <s v="Machanbaw - KBC"/>
    <m/>
    <m/>
    <m/>
    <m/>
    <m/>
    <m/>
    <m/>
    <m/>
    <m/>
    <m/>
    <n v="20"/>
    <n v="8"/>
    <m/>
    <m/>
    <m/>
    <m/>
    <m/>
    <n v="0"/>
    <n v="0"/>
    <n v="0"/>
    <n v="0"/>
    <n v="0"/>
    <n v="0"/>
    <n v="0"/>
    <n v="0"/>
    <n v="0"/>
    <n v="0"/>
    <n v="0"/>
    <n v="0"/>
    <n v="0"/>
    <n v="0"/>
    <n v="1"/>
    <n v="0"/>
    <n v="0"/>
    <n v="0"/>
    <s v="MMR001CMP221"/>
    <x v="0"/>
    <x v="1"/>
    <s v="P3"/>
    <n v="0"/>
    <m/>
  </r>
  <r>
    <n v="30.433333333333334"/>
    <d v="2014-10-31T00:00:00"/>
    <x v="0"/>
    <m/>
    <s v="Kachin"/>
    <s v="Hpakant"/>
    <s v="Baptist Church, Hmaw Si Sar(Lon Khin)"/>
    <m/>
    <m/>
    <n v="38"/>
    <n v="76"/>
    <n v="38"/>
    <n v="76"/>
    <n v="38"/>
    <m/>
    <n v="38"/>
    <n v="190"/>
    <m/>
    <m/>
    <m/>
    <m/>
    <m/>
    <m/>
    <m/>
    <n v="0"/>
    <n v="0"/>
    <n v="0"/>
    <n v="0"/>
    <n v="0"/>
    <n v="0"/>
    <n v="0"/>
    <n v="0"/>
    <n v="0"/>
    <n v="0"/>
    <n v="0"/>
    <n v="0"/>
    <n v="0"/>
    <n v="0"/>
    <n v="0"/>
    <n v="0"/>
    <n v="0"/>
    <n v="0"/>
    <s v="MMR001CMP169"/>
    <x v="0"/>
    <x v="0"/>
    <s v="P4"/>
    <n v="9.2065414900060572E-4"/>
    <m/>
  </r>
  <r>
    <n v="30.433333333333334"/>
    <d v="2014-10-31T00:00:00"/>
    <x v="0"/>
    <m/>
    <s v="Kachin"/>
    <s v="Hpakant"/>
    <s v="Chin Church, Seik Mu"/>
    <m/>
    <m/>
    <n v="5"/>
    <n v="10"/>
    <n v="5"/>
    <n v="10"/>
    <n v="5"/>
    <m/>
    <n v="5"/>
    <n v="25"/>
    <m/>
    <m/>
    <m/>
    <m/>
    <m/>
    <m/>
    <m/>
    <n v="0"/>
    <n v="0"/>
    <n v="0"/>
    <n v="0"/>
    <n v="0"/>
    <n v="0"/>
    <n v="0"/>
    <n v="0"/>
    <n v="0"/>
    <n v="0"/>
    <n v="0"/>
    <n v="0"/>
    <n v="0"/>
    <n v="0"/>
    <n v="0"/>
    <n v="0"/>
    <n v="0"/>
    <n v="0"/>
    <s v="MMR001CMP109"/>
    <x v="0"/>
    <x v="0"/>
    <s v="P4"/>
    <n v="1.2051968086388508E-4"/>
    <m/>
  </r>
  <r>
    <n v="30.433333333333334"/>
    <d v="2014-10-31T00:00:00"/>
    <x v="0"/>
    <m/>
    <s v="Kachin"/>
    <s v="Hpakant"/>
    <s v="Dhama Rakhita, Nyein Chan Tar Yar Ward(Lon Khin)"/>
    <m/>
    <m/>
    <n v="67"/>
    <n v="134"/>
    <n v="67"/>
    <n v="134"/>
    <n v="67"/>
    <m/>
    <n v="67"/>
    <n v="335"/>
    <m/>
    <m/>
    <m/>
    <m/>
    <m/>
    <m/>
    <m/>
    <n v="0"/>
    <n v="0"/>
    <n v="0"/>
    <n v="0"/>
    <n v="0"/>
    <n v="0"/>
    <n v="0"/>
    <n v="0"/>
    <n v="0"/>
    <n v="0"/>
    <n v="0"/>
    <n v="0"/>
    <n v="0"/>
    <n v="0"/>
    <n v="0"/>
    <n v="0"/>
    <n v="0"/>
    <n v="0"/>
    <s v="MMR001CMP174"/>
    <x v="0"/>
    <x v="0"/>
    <s v="P4"/>
    <n v="1.6232586311326468E-3"/>
    <m/>
  </r>
  <r>
    <n v="30.433333333333334"/>
    <d v="2014-10-31T00:00:00"/>
    <x v="0"/>
    <m/>
    <s v="Kachin"/>
    <s v="Hpakant"/>
    <s v="Hmaw Wan, Anglican"/>
    <m/>
    <m/>
    <n v="10"/>
    <n v="20"/>
    <n v="10"/>
    <n v="20"/>
    <n v="10"/>
    <m/>
    <n v="10"/>
    <n v="50"/>
    <m/>
    <m/>
    <m/>
    <m/>
    <m/>
    <m/>
    <m/>
    <n v="0"/>
    <n v="0"/>
    <n v="0"/>
    <n v="0"/>
    <n v="0"/>
    <n v="0"/>
    <n v="0"/>
    <n v="0"/>
    <n v="0"/>
    <n v="0"/>
    <n v="0"/>
    <n v="0"/>
    <n v="0"/>
    <n v="0"/>
    <n v="0"/>
    <n v="0"/>
    <n v="0"/>
    <n v="0"/>
    <s v="MMR001CMP191"/>
    <x v="0"/>
    <x v="0"/>
    <s v="P4"/>
    <n v="2.431788337143135E-4"/>
    <m/>
  </r>
  <r>
    <n v="30.433333333333334"/>
    <d v="2014-10-31T00:00:00"/>
    <x v="0"/>
    <m/>
    <s v="Kachin"/>
    <s v="Hpakant"/>
    <s v="Hpakant Baptist Church, Nam Ma Hpit"/>
    <m/>
    <m/>
    <n v="64"/>
    <n v="128"/>
    <n v="64"/>
    <n v="128"/>
    <n v="64"/>
    <m/>
    <n v="64"/>
    <n v="320"/>
    <m/>
    <m/>
    <m/>
    <m/>
    <m/>
    <m/>
    <m/>
    <n v="0"/>
    <n v="0"/>
    <n v="0"/>
    <n v="0"/>
    <n v="0"/>
    <n v="0"/>
    <n v="0"/>
    <n v="0"/>
    <n v="0"/>
    <n v="0"/>
    <n v="0"/>
    <n v="0"/>
    <n v="0"/>
    <n v="0"/>
    <n v="0"/>
    <n v="0"/>
    <n v="0"/>
    <n v="0"/>
    <s v="MMR001CMP229"/>
    <x v="0"/>
    <x v="0"/>
    <s v="P4"/>
    <n v="1.5563445357716064E-3"/>
    <m/>
  </r>
  <r>
    <n v="30.433333333333334"/>
    <d v="2014-10-31T00:00:00"/>
    <x v="0"/>
    <m/>
    <s v="Kachin"/>
    <s v="Hpakant"/>
    <s v="Lisu Baptist Church, Maw Shan Vil,. Seik Mu"/>
    <m/>
    <m/>
    <n v="25"/>
    <n v="50"/>
    <n v="25"/>
    <n v="50"/>
    <n v="25"/>
    <m/>
    <n v="25"/>
    <n v="125"/>
    <m/>
    <m/>
    <m/>
    <m/>
    <m/>
    <m/>
    <m/>
    <n v="0"/>
    <n v="0"/>
    <n v="0"/>
    <n v="0"/>
    <n v="0"/>
    <n v="0"/>
    <n v="0"/>
    <n v="0"/>
    <n v="0"/>
    <n v="0"/>
    <n v="0"/>
    <n v="0"/>
    <n v="0"/>
    <n v="0"/>
    <n v="0"/>
    <n v="0"/>
    <n v="0"/>
    <n v="0"/>
    <s v="MMR001CMP181"/>
    <x v="0"/>
    <x v="0"/>
    <s v="P4"/>
    <n v="6.0569351907934583E-4"/>
    <m/>
  </r>
  <r>
    <n v="30.433333333333334"/>
    <d v="2014-10-31T00:00:00"/>
    <x v="0"/>
    <m/>
    <s v="Kachin"/>
    <s v="Hpakant"/>
    <s v="Lisu Baptist Church, Maw Wan Ward"/>
    <m/>
    <m/>
    <n v="15"/>
    <n v="30"/>
    <n v="15"/>
    <n v="30"/>
    <n v="15"/>
    <m/>
    <n v="15"/>
    <n v="75"/>
    <m/>
    <m/>
    <m/>
    <m/>
    <m/>
    <m/>
    <m/>
    <n v="0"/>
    <n v="0"/>
    <n v="0"/>
    <n v="0"/>
    <n v="0"/>
    <n v="0"/>
    <n v="0"/>
    <n v="0"/>
    <n v="0"/>
    <n v="0"/>
    <n v="0"/>
    <n v="0"/>
    <n v="0"/>
    <n v="0"/>
    <n v="0"/>
    <n v="0"/>
    <n v="0"/>
    <n v="0"/>
    <s v="MMR001CMP167"/>
    <x v="0"/>
    <x v="0"/>
    <s v="P4"/>
    <n v="3.6341611144760752E-4"/>
    <m/>
  </r>
  <r>
    <n v="30.433333333333334"/>
    <d v="2014-10-31T00:00:00"/>
    <x v="9"/>
    <s v="MRCS"/>
    <s v="Kachin"/>
    <s v="Hpakant"/>
    <s v="Maw Wan, Mu-yin Baptist Church"/>
    <m/>
    <m/>
    <m/>
    <m/>
    <m/>
    <m/>
    <m/>
    <m/>
    <m/>
    <m/>
    <n v="11"/>
    <n v="15"/>
    <m/>
    <m/>
    <m/>
    <m/>
    <m/>
    <n v="0"/>
    <n v="0"/>
    <n v="0"/>
    <n v="0"/>
    <n v="0"/>
    <n v="0"/>
    <n v="0"/>
    <n v="0"/>
    <n v="0"/>
    <n v="0"/>
    <n v="0"/>
    <n v="0"/>
    <n v="0"/>
    <n v="0"/>
    <n v="1"/>
    <n v="0"/>
    <n v="0"/>
    <n v="0"/>
    <s v="MMR001CMP091"/>
    <x v="0"/>
    <x v="0"/>
    <s v="P4"/>
    <n v="0"/>
    <m/>
  </r>
  <r>
    <n v="30.433333333333334"/>
    <d v="2014-10-31T00:00:00"/>
    <x v="0"/>
    <m/>
    <s v="Kachin"/>
    <s v="Hpakant"/>
    <s v="Maw Wan, Mu-yin Baptist Church"/>
    <m/>
    <m/>
    <n v="5"/>
    <n v="10"/>
    <n v="5"/>
    <n v="10"/>
    <n v="5"/>
    <m/>
    <n v="5"/>
    <n v="25"/>
    <m/>
    <m/>
    <m/>
    <m/>
    <m/>
    <m/>
    <m/>
    <n v="0"/>
    <n v="0"/>
    <n v="0"/>
    <n v="0"/>
    <n v="0"/>
    <n v="0"/>
    <n v="0"/>
    <n v="0"/>
    <n v="0"/>
    <n v="0"/>
    <n v="0"/>
    <n v="0"/>
    <n v="0"/>
    <n v="0"/>
    <n v="0"/>
    <n v="0"/>
    <n v="0"/>
    <n v="0"/>
    <s v="MMR001CMP091"/>
    <x v="0"/>
    <x v="0"/>
    <s v="P4"/>
    <n v="1.2158941685715675E-4"/>
    <m/>
  </r>
  <r>
    <n v="30.433333333333334"/>
    <d v="2014-10-31T00:00:00"/>
    <x v="0"/>
    <m/>
    <s v="Kachin"/>
    <s v="Hpakant"/>
    <s v="Nam Ma Phyit, COC"/>
    <m/>
    <m/>
    <n v="17"/>
    <n v="34"/>
    <n v="17"/>
    <n v="34"/>
    <n v="17"/>
    <m/>
    <n v="17"/>
    <n v="85"/>
    <m/>
    <m/>
    <m/>
    <m/>
    <m/>
    <m/>
    <m/>
    <n v="0"/>
    <n v="0"/>
    <n v="0"/>
    <n v="0"/>
    <n v="0"/>
    <n v="0"/>
    <n v="0"/>
    <n v="0"/>
    <n v="0"/>
    <n v="0"/>
    <n v="0"/>
    <n v="0"/>
    <n v="0"/>
    <n v="0"/>
    <n v="0"/>
    <n v="0"/>
    <n v="0"/>
    <n v="0"/>
    <s v="MMR001CMP192"/>
    <x v="0"/>
    <x v="0"/>
    <s v="P4"/>
    <n v="4.1187159297395516E-4"/>
    <m/>
  </r>
  <r>
    <n v="30.433333333333334"/>
    <d v="2014-10-31T00:00:00"/>
    <x v="0"/>
    <m/>
    <s v="Kachin"/>
    <s v="Hpakant"/>
    <s v="Nant Ma Hpit Catholic Church"/>
    <m/>
    <m/>
    <n v="36"/>
    <n v="72"/>
    <n v="36"/>
    <n v="72"/>
    <n v="36"/>
    <m/>
    <n v="36"/>
    <n v="180"/>
    <m/>
    <m/>
    <m/>
    <m/>
    <m/>
    <m/>
    <m/>
    <n v="0"/>
    <n v="0"/>
    <n v="0"/>
    <n v="0"/>
    <n v="0"/>
    <n v="0"/>
    <n v="0"/>
    <n v="0"/>
    <n v="0"/>
    <n v="0"/>
    <n v="0"/>
    <n v="0"/>
    <n v="0"/>
    <n v="0"/>
    <n v="0"/>
    <n v="0"/>
    <n v="0"/>
    <n v="0"/>
    <s v="MMR001CMP103"/>
    <x v="0"/>
    <x v="0"/>
    <s v="P4"/>
    <n v="8.6774170221997249E-4"/>
    <m/>
  </r>
  <r>
    <n v="30.433333333333334"/>
    <d v="2014-10-31T00:00:00"/>
    <x v="0"/>
    <m/>
    <s v="Kachin"/>
    <s v="Hpakant"/>
    <s v="Rawan Baptist Church, Maw Shan Vil., Seik Mu"/>
    <m/>
    <m/>
    <n v="12"/>
    <n v="24"/>
    <n v="12"/>
    <n v="24"/>
    <n v="12"/>
    <m/>
    <n v="12"/>
    <n v="60"/>
    <m/>
    <m/>
    <m/>
    <m/>
    <m/>
    <m/>
    <m/>
    <n v="0"/>
    <n v="0"/>
    <n v="0"/>
    <n v="0"/>
    <n v="0"/>
    <n v="0"/>
    <n v="0"/>
    <n v="0"/>
    <n v="0"/>
    <n v="0"/>
    <n v="0"/>
    <n v="0"/>
    <n v="0"/>
    <n v="0"/>
    <n v="0"/>
    <n v="0"/>
    <n v="0"/>
    <n v="0"/>
    <s v="MMR001CMP182"/>
    <x v="0"/>
    <x v="0"/>
    <s v="P4"/>
    <n v="2.9073288915808601E-4"/>
    <m/>
  </r>
  <r>
    <n v="30.433333333333334"/>
    <d v="2014-10-31T00:00:00"/>
    <x v="0"/>
    <m/>
    <s v="Kachin"/>
    <s v="Hpakant"/>
    <s v="Sai Nai Baptish Church, Maw Shan Vil., Seki Mu"/>
    <m/>
    <m/>
    <n v="9"/>
    <n v="18"/>
    <n v="9"/>
    <n v="18"/>
    <n v="9"/>
    <m/>
    <n v="9"/>
    <n v="45"/>
    <m/>
    <m/>
    <m/>
    <m/>
    <m/>
    <m/>
    <m/>
    <n v="0"/>
    <n v="0"/>
    <n v="0"/>
    <n v="0"/>
    <n v="0"/>
    <n v="0"/>
    <n v="0"/>
    <n v="0"/>
    <n v="0"/>
    <n v="0"/>
    <n v="0"/>
    <n v="0"/>
    <n v="0"/>
    <n v="0"/>
    <n v="0"/>
    <n v="0"/>
    <n v="0"/>
    <n v="0"/>
    <s v="MMR001CMP183"/>
    <x v="0"/>
    <x v="0"/>
    <s v="P4"/>
    <n v="2.1804966686856452E-4"/>
    <m/>
  </r>
  <r>
    <n v="30.433333333333334"/>
    <d v="2014-10-31T00:00:00"/>
    <x v="0"/>
    <m/>
    <s v="Kachin"/>
    <s v="Hpakant"/>
    <s v="Ward 2 Sai Taung Baptist Church, Seik Mu "/>
    <m/>
    <m/>
    <n v="38"/>
    <n v="76"/>
    <n v="38"/>
    <n v="76"/>
    <n v="38"/>
    <m/>
    <n v="38"/>
    <n v="190"/>
    <m/>
    <m/>
    <m/>
    <m/>
    <m/>
    <m/>
    <m/>
    <n v="0"/>
    <n v="0"/>
    <n v="0"/>
    <n v="0"/>
    <n v="0"/>
    <n v="0"/>
    <n v="0"/>
    <n v="0"/>
    <n v="0"/>
    <n v="0"/>
    <n v="0"/>
    <n v="0"/>
    <n v="0"/>
    <n v="0"/>
    <n v="0"/>
    <n v="0"/>
    <n v="0"/>
    <n v="0"/>
    <s v="MMR001CMP184"/>
    <x v="0"/>
    <x v="0"/>
    <s v="P4"/>
    <n v="9.2065414900060572E-4"/>
    <m/>
  </r>
  <r>
    <n v="30.433333333333334"/>
    <d v="2014-10-31T00:00:00"/>
    <x v="0"/>
    <m/>
    <s v="Kachin"/>
    <s v="Hpakant"/>
    <s v="Yumar Baptist Church"/>
    <m/>
    <m/>
    <n v="10"/>
    <n v="20"/>
    <n v="10"/>
    <n v="20"/>
    <n v="10"/>
    <m/>
    <n v="10"/>
    <n v="50"/>
    <m/>
    <m/>
    <m/>
    <m/>
    <m/>
    <m/>
    <m/>
    <n v="0"/>
    <n v="0"/>
    <n v="0"/>
    <n v="0"/>
    <n v="0"/>
    <n v="0"/>
    <n v="0"/>
    <n v="0"/>
    <n v="0"/>
    <n v="0"/>
    <n v="0"/>
    <n v="0"/>
    <n v="0"/>
    <n v="0"/>
    <n v="0"/>
    <n v="0"/>
    <n v="0"/>
    <n v="0"/>
    <s v="MMR001CMP105"/>
    <x v="0"/>
    <x v="0"/>
    <s v="P4"/>
    <n v="2.431788337143135E-4"/>
    <m/>
  </r>
  <r>
    <n v="30.333333333333332"/>
    <d v="2014-11-03T00:00:00"/>
    <x v="0"/>
    <s v="Shalom"/>
    <s v="Kachin"/>
    <s v="Waingmaw"/>
    <s v="Hkat Cho "/>
    <m/>
    <m/>
    <n v="15"/>
    <n v="30"/>
    <n v="15"/>
    <n v="30"/>
    <n v="15"/>
    <m/>
    <n v="15"/>
    <n v="75"/>
    <m/>
    <m/>
    <m/>
    <m/>
    <m/>
    <m/>
    <m/>
    <n v="0"/>
    <n v="0"/>
    <n v="0"/>
    <n v="0"/>
    <n v="0"/>
    <n v="0"/>
    <n v="0"/>
    <n v="0"/>
    <n v="0"/>
    <n v="0"/>
    <n v="0"/>
    <n v="0"/>
    <n v="0"/>
    <n v="0"/>
    <n v="0"/>
    <n v="0"/>
    <n v="0"/>
    <n v="0"/>
    <s v="MMR001CMP028"/>
    <x v="0"/>
    <x v="0"/>
    <s v="P4"/>
    <n v="3.6859565057132326E-4"/>
    <m/>
  </r>
  <r>
    <n v="30.1"/>
    <d v="2014-11-10T00:00:00"/>
    <x v="9"/>
    <s v="MRCS"/>
    <s v="Kachin"/>
    <s v="Hpakant"/>
    <s v="Nam Ma Phyit, COC"/>
    <m/>
    <m/>
    <m/>
    <m/>
    <m/>
    <m/>
    <m/>
    <m/>
    <m/>
    <m/>
    <n v="50"/>
    <n v="17"/>
    <m/>
    <m/>
    <m/>
    <m/>
    <m/>
    <n v="0"/>
    <n v="0"/>
    <n v="0"/>
    <n v="0"/>
    <n v="0"/>
    <n v="0"/>
    <n v="0"/>
    <n v="0"/>
    <n v="0"/>
    <n v="0"/>
    <n v="0"/>
    <n v="0"/>
    <n v="0"/>
    <n v="0"/>
    <n v="1"/>
    <n v="0"/>
    <n v="0"/>
    <n v="0"/>
    <s v="MMR001CMP192"/>
    <x v="0"/>
    <x v="0"/>
    <s v="P4"/>
    <n v="0"/>
    <m/>
  </r>
  <r>
    <n v="30.1"/>
    <d v="2014-11-10T00:00:00"/>
    <x v="9"/>
    <s v="MRCS"/>
    <s v="Kachin"/>
    <s v="Hpakant"/>
    <s v="Nant Ma Hpit Catholic Church"/>
    <m/>
    <m/>
    <m/>
    <m/>
    <m/>
    <m/>
    <m/>
    <m/>
    <m/>
    <m/>
    <n v="117"/>
    <n v="65"/>
    <m/>
    <m/>
    <m/>
    <m/>
    <m/>
    <n v="0"/>
    <n v="0"/>
    <n v="0"/>
    <n v="0"/>
    <n v="0"/>
    <n v="0"/>
    <n v="0"/>
    <n v="0"/>
    <n v="0"/>
    <n v="0"/>
    <n v="0"/>
    <n v="0"/>
    <n v="0"/>
    <n v="0"/>
    <n v="1"/>
    <n v="0"/>
    <n v="0"/>
    <n v="0"/>
    <s v="MMR001CMP103"/>
    <x v="0"/>
    <x v="0"/>
    <s v="P4"/>
    <n v="0"/>
    <m/>
  </r>
  <r>
    <n v="30.1"/>
    <d v="2014-11-10T00:00:00"/>
    <x v="9"/>
    <s v="MRCS"/>
    <s v="Kachin"/>
    <s v="Puta-O"/>
    <s v="Tote Tan Ward"/>
    <m/>
    <m/>
    <m/>
    <m/>
    <m/>
    <m/>
    <m/>
    <m/>
    <m/>
    <m/>
    <n v="72"/>
    <n v="11"/>
    <m/>
    <m/>
    <m/>
    <m/>
    <m/>
    <n v="0"/>
    <n v="0"/>
    <n v="0"/>
    <n v="0"/>
    <n v="0"/>
    <n v="0"/>
    <n v="0"/>
    <n v="0"/>
    <n v="0"/>
    <n v="0"/>
    <n v="0"/>
    <n v="0"/>
    <n v="0"/>
    <n v="0"/>
    <n v="1"/>
    <n v="0"/>
    <n v="0"/>
    <n v="0"/>
    <s v="MMR001CMP075"/>
    <x v="0"/>
    <x v="0"/>
    <s v="P3"/>
    <s v=""/>
    <m/>
  </r>
  <r>
    <n v="30.066666666666666"/>
    <d v="2014-11-11T00:00:00"/>
    <x v="0"/>
    <s v="KBC"/>
    <s v="Kachin"/>
    <s v="Hpakant"/>
    <s v="Hlaing Naung Baptist"/>
    <m/>
    <m/>
    <n v="19"/>
    <n v="38"/>
    <n v="19"/>
    <n v="38"/>
    <n v="19"/>
    <m/>
    <n v="19"/>
    <n v="95"/>
    <m/>
    <m/>
    <m/>
    <m/>
    <m/>
    <m/>
    <m/>
    <n v="0"/>
    <n v="0"/>
    <n v="0"/>
    <n v="0"/>
    <n v="0"/>
    <n v="0"/>
    <n v="0"/>
    <n v="0"/>
    <n v="0"/>
    <n v="0"/>
    <n v="0"/>
    <n v="0"/>
    <n v="0"/>
    <n v="0"/>
    <n v="0"/>
    <n v="0"/>
    <n v="0"/>
    <n v="0"/>
    <s v="MMR001CMP148"/>
    <x v="0"/>
    <x v="0"/>
    <s v="P4"/>
    <n v="4.6135541364155112E-4"/>
    <m/>
  </r>
  <r>
    <n v="30.1"/>
    <d v="2014-11-10T00:00:00"/>
    <x v="9"/>
    <s v="MRCS"/>
    <s v="Kachin"/>
    <s v="Puta-O"/>
    <s v="Naung Khaing"/>
    <m/>
    <m/>
    <m/>
    <m/>
    <m/>
    <m/>
    <m/>
    <m/>
    <m/>
    <m/>
    <n v="52"/>
    <n v="16"/>
    <m/>
    <m/>
    <m/>
    <m/>
    <m/>
    <n v="0"/>
    <n v="0"/>
    <n v="0"/>
    <n v="0"/>
    <n v="0"/>
    <n v="0"/>
    <n v="0"/>
    <n v="0"/>
    <n v="0"/>
    <n v="0"/>
    <n v="0"/>
    <n v="0"/>
    <n v="0"/>
    <n v="0"/>
    <n v="1"/>
    <n v="0"/>
    <n v="0"/>
    <n v="0"/>
    <s v="MMR001CMP220"/>
    <x v="0"/>
    <x v="1"/>
    <s v="P3"/>
    <n v="0"/>
    <m/>
  </r>
  <r>
    <n v="29.666666666666668"/>
    <d v="2014-11-23T00:00:00"/>
    <x v="0"/>
    <s v="KBC"/>
    <s v="Kachin"/>
    <s v="Myitkyina"/>
    <s v="Jan Mai Kawng Baptist Church"/>
    <m/>
    <m/>
    <m/>
    <n v="72"/>
    <n v="36"/>
    <n v="72"/>
    <n v="36"/>
    <m/>
    <n v="36"/>
    <n v="180"/>
    <m/>
    <m/>
    <m/>
    <m/>
    <m/>
    <m/>
    <m/>
    <n v="0"/>
    <n v="0"/>
    <n v="0"/>
    <n v="0"/>
    <n v="0"/>
    <n v="0"/>
    <n v="0"/>
    <n v="0"/>
    <n v="0"/>
    <n v="0"/>
    <n v="0"/>
    <n v="0"/>
    <n v="0"/>
    <n v="0"/>
    <n v="0"/>
    <n v="0"/>
    <n v="0"/>
    <n v="0"/>
    <s v="MMR001CMP018"/>
    <x v="0"/>
    <x v="0"/>
    <s v="P4"/>
    <n v="8.8397790055248619E-4"/>
    <m/>
  </r>
  <r>
    <n v="29.266666666666666"/>
    <d v="2014-12-05T00:00:00"/>
    <x v="0"/>
    <s v="KMSS"/>
    <s v="Kachin"/>
    <s v="Waingmaw"/>
    <s v="Border Post 8"/>
    <m/>
    <m/>
    <m/>
    <n v="164"/>
    <m/>
    <m/>
    <m/>
    <m/>
    <m/>
    <m/>
    <n v="302"/>
    <n v="440"/>
    <m/>
    <n v="297"/>
    <m/>
    <m/>
    <m/>
    <n v="0"/>
    <n v="0"/>
    <n v="0"/>
    <n v="0"/>
    <n v="0"/>
    <n v="0"/>
    <n v="0"/>
    <n v="0"/>
    <n v="0"/>
    <n v="0"/>
    <n v="0"/>
    <n v="0"/>
    <n v="0"/>
    <n v="0"/>
    <n v="1"/>
    <n v="0"/>
    <n v="0"/>
    <n v="0"/>
    <s v="MMR001CMP113"/>
    <x v="0"/>
    <x v="0"/>
    <s v="P1"/>
    <n v="0"/>
    <m/>
  </r>
  <r>
    <n v="29.266666666666666"/>
    <d v="2014-12-05T00:00:00"/>
    <x v="0"/>
    <s v="KMSS"/>
    <s v="Kachin"/>
    <s v="Waingmaw"/>
    <s v="Post 6 Camp"/>
    <m/>
    <m/>
    <m/>
    <n v="124"/>
    <m/>
    <m/>
    <m/>
    <m/>
    <m/>
    <m/>
    <n v="262"/>
    <n v="400"/>
    <m/>
    <n v="257"/>
    <m/>
    <m/>
    <m/>
    <n v="0"/>
    <n v="0"/>
    <n v="0"/>
    <n v="0"/>
    <n v="0"/>
    <n v="0"/>
    <n v="0"/>
    <n v="0"/>
    <n v="0"/>
    <n v="0"/>
    <n v="0"/>
    <n v="0"/>
    <n v="0"/>
    <n v="0"/>
    <n v="1"/>
    <n v="0"/>
    <n v="0"/>
    <n v="0"/>
    <s v="MMR001CMP160"/>
    <x v="0"/>
    <x v="0"/>
    <s v="P1"/>
    <n v="0"/>
    <m/>
  </r>
  <r>
    <n v="29.133333333333333"/>
    <d v="2014-12-09T00:00:00"/>
    <x v="1"/>
    <s v="Solidarities"/>
    <s v="Kachin"/>
    <s v="Bhamo"/>
    <s v="AD-2000 Tharthana Compound"/>
    <m/>
    <m/>
    <n v="354"/>
    <m/>
    <m/>
    <m/>
    <m/>
    <m/>
    <m/>
    <m/>
    <m/>
    <m/>
    <m/>
    <m/>
    <m/>
    <m/>
    <m/>
    <n v="0"/>
    <n v="0"/>
    <n v="0"/>
    <n v="0"/>
    <n v="0"/>
    <n v="0"/>
    <n v="0"/>
    <n v="0"/>
    <n v="0"/>
    <n v="0"/>
    <n v="0"/>
    <n v="0"/>
    <n v="0"/>
    <n v="0"/>
    <n v="0"/>
    <n v="0"/>
    <n v="0"/>
    <n v="0"/>
    <s v="MMR001CMP050"/>
    <x v="0"/>
    <x v="0"/>
    <s v="P4"/>
    <n v="0"/>
    <m/>
  </r>
  <r>
    <n v="29.133333333333333"/>
    <d v="2014-12-09T00:00:00"/>
    <x v="1"/>
    <s v="Solidarities"/>
    <s v="Kachin"/>
    <s v="Bhamo"/>
    <s v="Robert Church"/>
    <m/>
    <m/>
    <n v="1135"/>
    <m/>
    <m/>
    <m/>
    <m/>
    <m/>
    <m/>
    <m/>
    <m/>
    <m/>
    <m/>
    <m/>
    <m/>
    <m/>
    <m/>
    <n v="0"/>
    <n v="0"/>
    <n v="0"/>
    <n v="0"/>
    <n v="0"/>
    <n v="0"/>
    <n v="0"/>
    <n v="0"/>
    <n v="0"/>
    <n v="0"/>
    <n v="0"/>
    <n v="0"/>
    <n v="0"/>
    <n v="0"/>
    <n v="0"/>
    <n v="0"/>
    <n v="0"/>
    <n v="0"/>
    <s v="MMR001CMP047"/>
    <x v="0"/>
    <x v="0"/>
    <s v="P4"/>
    <n v="0"/>
    <m/>
  </r>
  <r>
    <n v="29.1"/>
    <d v="2014-12-10T00:00:00"/>
    <x v="1"/>
    <s v="Solidarities"/>
    <s v="Kachin"/>
    <s v="Bhamo"/>
    <s v="Phan Khar Kone"/>
    <m/>
    <m/>
    <n v="245"/>
    <m/>
    <m/>
    <m/>
    <m/>
    <m/>
    <m/>
    <m/>
    <m/>
    <m/>
    <m/>
    <m/>
    <m/>
    <m/>
    <m/>
    <n v="0"/>
    <n v="0"/>
    <n v="0"/>
    <n v="0"/>
    <n v="0"/>
    <n v="0"/>
    <n v="0"/>
    <n v="0"/>
    <n v="0"/>
    <n v="0"/>
    <n v="0"/>
    <n v="0"/>
    <n v="0"/>
    <n v="0"/>
    <n v="0"/>
    <n v="0"/>
    <n v="0"/>
    <n v="0"/>
    <s v="MMR001CMP193"/>
    <x v="0"/>
    <x v="0"/>
    <s v="P4"/>
    <n v="0"/>
    <m/>
  </r>
  <r>
    <n v="29.1"/>
    <d v="2014-12-10T00:00:00"/>
    <x v="1"/>
    <s v="Solidarities"/>
    <s v="Kachin"/>
    <s v="Bhamo"/>
    <s v="Ta Gun Taing Monastery (Shwe Kyi Na)"/>
    <m/>
    <m/>
    <n v="55"/>
    <m/>
    <m/>
    <m/>
    <m/>
    <m/>
    <m/>
    <m/>
    <m/>
    <m/>
    <m/>
    <m/>
    <m/>
    <m/>
    <m/>
    <n v="0"/>
    <n v="0"/>
    <n v="0"/>
    <n v="0"/>
    <n v="0"/>
    <n v="0"/>
    <n v="0"/>
    <n v="0"/>
    <n v="0"/>
    <n v="0"/>
    <n v="0"/>
    <n v="0"/>
    <n v="0"/>
    <n v="0"/>
    <n v="0"/>
    <n v="0"/>
    <n v="0"/>
    <n v="0"/>
    <s v="MMR001CMP055"/>
    <x v="0"/>
    <x v="0"/>
    <s v="P4"/>
    <n v="0"/>
    <m/>
  </r>
  <r>
    <n v="28.866666666666667"/>
    <d v="2014-12-17T00:00:00"/>
    <x v="1"/>
    <s v="Solidarities"/>
    <s v="Kachin"/>
    <s v="Momauk"/>
    <s v="Loi Je Baptist Church"/>
    <m/>
    <m/>
    <m/>
    <m/>
    <m/>
    <m/>
    <m/>
    <m/>
    <m/>
    <m/>
    <m/>
    <m/>
    <m/>
    <m/>
    <m/>
    <m/>
    <m/>
    <n v="0"/>
    <n v="0"/>
    <n v="0"/>
    <n v="0"/>
    <n v="0"/>
    <n v="0"/>
    <n v="0"/>
    <n v="0"/>
    <n v="0"/>
    <n v="0"/>
    <n v="0"/>
    <n v="0"/>
    <n v="0"/>
    <n v="0"/>
    <n v="0"/>
    <n v="0"/>
    <n v="0"/>
    <n v="0"/>
    <s v="MMR001CMP071"/>
    <x v="0"/>
    <x v="0"/>
    <s v="P3"/>
    <n v="0"/>
    <m/>
  </r>
  <r>
    <n v="28.866666666666667"/>
    <d v="2014-12-17T00:00:00"/>
    <x v="1"/>
    <s v="Solidarities"/>
    <s v="Kachin"/>
    <s v="Momauk"/>
    <s v="Loi Je Catholic Church"/>
    <m/>
    <m/>
    <n v="124"/>
    <m/>
    <m/>
    <m/>
    <m/>
    <m/>
    <m/>
    <m/>
    <m/>
    <m/>
    <m/>
    <m/>
    <m/>
    <m/>
    <m/>
    <n v="0"/>
    <n v="0"/>
    <n v="0"/>
    <n v="0"/>
    <n v="0"/>
    <n v="0"/>
    <n v="0"/>
    <n v="0"/>
    <n v="0"/>
    <n v="0"/>
    <n v="0"/>
    <n v="0"/>
    <n v="0"/>
    <n v="0"/>
    <n v="0"/>
    <n v="0"/>
    <n v="0"/>
    <n v="0"/>
    <s v="MMR001CMP069"/>
    <x v="0"/>
    <x v="0"/>
    <s v="P3"/>
    <n v="0"/>
    <m/>
  </r>
  <r>
    <n v="29.1"/>
    <d v="2014-12-10T00:00:00"/>
    <x v="1"/>
    <s v="Solidarities"/>
    <s v="Kachin"/>
    <s v="Momauk"/>
    <s v="Edin"/>
    <m/>
    <m/>
    <n v="85"/>
    <m/>
    <m/>
    <m/>
    <m/>
    <m/>
    <m/>
    <m/>
    <m/>
    <m/>
    <m/>
    <m/>
    <m/>
    <m/>
    <m/>
    <n v="0"/>
    <n v="0"/>
    <n v="0"/>
    <n v="0"/>
    <n v="0"/>
    <n v="0"/>
    <n v="0"/>
    <n v="0"/>
    <n v="0"/>
    <n v="0"/>
    <n v="0"/>
    <n v="0"/>
    <n v="0"/>
    <n v="0"/>
    <n v="0"/>
    <n v="0"/>
    <n v="0"/>
    <n v="0"/>
    <s v=""/>
    <x v="1"/>
    <x v="2"/>
    <s v=""/>
    <s v=""/>
    <m/>
  </r>
  <r>
    <n v="29.1"/>
    <d v="2014-12-10T00:00:00"/>
    <x v="1"/>
    <s v="Solidarities"/>
    <s v="Kachin"/>
    <s v="Momauk"/>
    <s v="Ni Thaw Ka Monestry"/>
    <m/>
    <m/>
    <n v="33"/>
    <m/>
    <m/>
    <m/>
    <m/>
    <m/>
    <m/>
    <m/>
    <m/>
    <m/>
    <m/>
    <m/>
    <m/>
    <m/>
    <m/>
    <n v="0"/>
    <n v="0"/>
    <n v="0"/>
    <n v="0"/>
    <n v="0"/>
    <n v="0"/>
    <n v="0"/>
    <n v="0"/>
    <n v="0"/>
    <n v="0"/>
    <n v="0"/>
    <n v="0"/>
    <n v="0"/>
    <n v="0"/>
    <n v="0"/>
    <n v="0"/>
    <n v="0"/>
    <n v="0"/>
    <s v="MMR001CMP059"/>
    <x v="0"/>
    <x v="1"/>
    <s v="P4"/>
    <n v="0"/>
    <m/>
  </r>
  <r>
    <n v="28.866666666666667"/>
    <d v="2014-12-17T00:00:00"/>
    <x v="1"/>
    <s v="Solidarities"/>
    <s v="Kachin"/>
    <s v="Momauk"/>
    <s v="Loi Je Lisu Camp"/>
    <m/>
    <m/>
    <n v="283"/>
    <m/>
    <m/>
    <m/>
    <m/>
    <m/>
    <m/>
    <m/>
    <m/>
    <m/>
    <m/>
    <m/>
    <m/>
    <m/>
    <m/>
    <n v="0"/>
    <n v="0"/>
    <n v="0"/>
    <n v="0"/>
    <n v="0"/>
    <n v="0"/>
    <n v="0"/>
    <n v="0"/>
    <n v="0"/>
    <n v="0"/>
    <n v="0"/>
    <n v="0"/>
    <n v="0"/>
    <n v="0"/>
    <n v="0"/>
    <n v="0"/>
    <n v="0"/>
    <n v="0"/>
    <s v="MMR001CMP070"/>
    <x v="0"/>
    <x v="0"/>
    <s v="P3"/>
    <n v="0"/>
    <m/>
  </r>
  <r>
    <n v="28.833333333333332"/>
    <d v="2014-12-18T00:00:00"/>
    <x v="1"/>
    <s v="Solidarities"/>
    <s v="Kachin"/>
    <s v="Momauk"/>
    <s v="Nyaung Na Pin "/>
    <m/>
    <m/>
    <n v="85"/>
    <m/>
    <m/>
    <m/>
    <m/>
    <m/>
    <m/>
    <m/>
    <m/>
    <m/>
    <m/>
    <m/>
    <m/>
    <m/>
    <m/>
    <n v="0"/>
    <n v="0"/>
    <n v="0"/>
    <n v="0"/>
    <n v="0"/>
    <n v="0"/>
    <n v="0"/>
    <n v="0"/>
    <n v="0"/>
    <n v="0"/>
    <n v="0"/>
    <n v="0"/>
    <n v="0"/>
    <n v="0"/>
    <n v="0"/>
    <n v="0"/>
    <n v="0"/>
    <n v="0"/>
    <s v="MMR001CMP072"/>
    <x v="0"/>
    <x v="0"/>
    <s v="P3"/>
    <n v="0"/>
    <m/>
  </r>
  <r>
    <n v="28.833333333333332"/>
    <d v="2014-12-18T00:00:00"/>
    <x v="1"/>
    <s v="Solidarities"/>
    <s v="Kachin"/>
    <s v="Momauk"/>
    <s v="Seng Ja "/>
    <m/>
    <m/>
    <n v="61"/>
    <m/>
    <m/>
    <m/>
    <m/>
    <m/>
    <m/>
    <m/>
    <m/>
    <m/>
    <m/>
    <m/>
    <m/>
    <m/>
    <m/>
    <n v="0"/>
    <n v="0"/>
    <n v="0"/>
    <n v="0"/>
    <n v="0"/>
    <n v="0"/>
    <n v="0"/>
    <n v="0"/>
    <n v="0"/>
    <n v="0"/>
    <n v="0"/>
    <n v="0"/>
    <n v="0"/>
    <n v="0"/>
    <n v="0"/>
    <n v="0"/>
    <n v="0"/>
    <n v="0"/>
    <s v="MMR001CMP073"/>
    <x v="0"/>
    <x v="0"/>
    <s v="P3"/>
    <n v="0"/>
    <m/>
  </r>
  <r>
    <n v="28.8"/>
    <d v="2014-12-19T00:00:00"/>
    <x v="0"/>
    <s v="KBC"/>
    <s v="Kachin"/>
    <s v="Waingmaw"/>
    <s v="Hkau Shau (BP 12)"/>
    <m/>
    <m/>
    <m/>
    <m/>
    <m/>
    <m/>
    <m/>
    <m/>
    <m/>
    <m/>
    <n v="364"/>
    <n v="543"/>
    <m/>
    <n v="362"/>
    <m/>
    <m/>
    <m/>
    <n v="0"/>
    <n v="0"/>
    <n v="0"/>
    <n v="0"/>
    <n v="0"/>
    <n v="0"/>
    <n v="0"/>
    <n v="0"/>
    <n v="0"/>
    <n v="0"/>
    <n v="0"/>
    <n v="0"/>
    <n v="0"/>
    <n v="0"/>
    <n v="1"/>
    <n v="0"/>
    <n v="0"/>
    <n v="0"/>
    <s v="MMR001CMP115"/>
    <x v="0"/>
    <x v="0"/>
    <s v="P1"/>
    <n v="0"/>
    <m/>
  </r>
  <r>
    <n v="28.8"/>
    <d v="2014-12-19T00:00:00"/>
    <x v="0"/>
    <m/>
    <s v="Kachin"/>
    <s v="Chipwi"/>
    <s v="Hpare Hkyer - BP6"/>
    <m/>
    <m/>
    <m/>
    <m/>
    <m/>
    <m/>
    <m/>
    <m/>
    <m/>
    <m/>
    <n v="320"/>
    <n v="465"/>
    <m/>
    <n v="310"/>
    <m/>
    <m/>
    <m/>
    <n v="0"/>
    <n v="0"/>
    <n v="0"/>
    <n v="0"/>
    <n v="0"/>
    <n v="0"/>
    <n v="0"/>
    <n v="0"/>
    <n v="0"/>
    <n v="0"/>
    <n v="0"/>
    <n v="0"/>
    <n v="0"/>
    <n v="0"/>
    <n v="1"/>
    <n v="0"/>
    <n v="0"/>
    <n v="0"/>
    <s v="MMR001CMP043"/>
    <x v="0"/>
    <x v="0"/>
    <s v="P1"/>
    <n v="0"/>
    <m/>
  </r>
  <r>
    <n v="28.8"/>
    <d v="2014-12-19T00:00:00"/>
    <x v="0"/>
    <m/>
    <s v="Kachin"/>
    <s v="Waingmaw"/>
    <s v="Pajau - Jan Mai"/>
    <m/>
    <m/>
    <m/>
    <m/>
    <m/>
    <m/>
    <m/>
    <m/>
    <m/>
    <m/>
    <n v="384"/>
    <n v="573"/>
    <m/>
    <n v="382"/>
    <m/>
    <m/>
    <m/>
    <n v="0"/>
    <n v="0"/>
    <n v="0"/>
    <n v="0"/>
    <n v="0"/>
    <n v="0"/>
    <n v="0"/>
    <n v="0"/>
    <n v="0"/>
    <n v="0"/>
    <n v="0"/>
    <n v="0"/>
    <n v="0"/>
    <n v="0"/>
    <n v="1"/>
    <n v="0"/>
    <n v="0"/>
    <n v="0"/>
    <s v="MMR001CMP120"/>
    <x v="0"/>
    <x v="0"/>
    <s v="P1"/>
    <n v="0"/>
    <m/>
  </r>
  <r>
    <n v="28.433333333333334"/>
    <d v="2014-12-30T00:00:00"/>
    <x v="0"/>
    <s v="KBC"/>
    <s v="Kachin"/>
    <s v="Waingmaw"/>
    <s v="Shing Jai"/>
    <m/>
    <m/>
    <n v="120"/>
    <n v="240"/>
    <n v="135"/>
    <n v="240"/>
    <n v="170"/>
    <n v="120"/>
    <n v="120"/>
    <n v="600"/>
    <m/>
    <m/>
    <m/>
    <m/>
    <m/>
    <m/>
    <m/>
    <n v="0"/>
    <n v="0"/>
    <n v="0"/>
    <n v="0"/>
    <n v="0"/>
    <n v="0"/>
    <n v="0"/>
    <n v="0"/>
    <n v="0"/>
    <n v="0"/>
    <n v="0"/>
    <n v="0"/>
    <n v="0"/>
    <n v="0"/>
    <n v="0"/>
    <n v="0"/>
    <n v="0"/>
    <n v="0"/>
    <s v="MMR001CMP041"/>
    <x v="0"/>
    <x v="0"/>
    <s v="P1"/>
    <n v="4.1617704661182919E-3"/>
    <m/>
  </r>
  <r>
    <n v="28.366666666666667"/>
    <d v="2015-01-01T00:00:00"/>
    <x v="0"/>
    <s v="KBC"/>
    <s v="Kachin"/>
    <s v="Waingmaw"/>
    <s v="Shing Jai"/>
    <m/>
    <m/>
    <m/>
    <m/>
    <m/>
    <m/>
    <n v="50"/>
    <m/>
    <m/>
    <m/>
    <m/>
    <m/>
    <m/>
    <m/>
    <m/>
    <m/>
    <n v="90"/>
    <n v="0"/>
    <n v="0"/>
    <n v="0"/>
    <n v="0"/>
    <n v="0"/>
    <n v="0"/>
    <n v="0"/>
    <n v="0"/>
    <n v="0"/>
    <n v="0"/>
    <n v="0"/>
    <n v="0"/>
    <n v="0"/>
    <n v="0"/>
    <n v="0"/>
    <n v="0"/>
    <n v="0"/>
    <n v="0"/>
    <s v="MMR001CMP041"/>
    <x v="0"/>
    <x v="0"/>
    <s v="P1"/>
    <n v="1.2240501370936153E-3"/>
    <s v="No"/>
  </r>
  <r>
    <n v="27.966666666666665"/>
    <d v="2015-01-13T00:00:00"/>
    <x v="9"/>
    <s v="MRCS"/>
    <s v="Kachin"/>
    <s v="Chipwi"/>
    <s v="Chipwi KBC camp"/>
    <m/>
    <m/>
    <m/>
    <m/>
    <m/>
    <m/>
    <m/>
    <m/>
    <m/>
    <m/>
    <n v="293"/>
    <n v="190"/>
    <m/>
    <n v="170"/>
    <m/>
    <m/>
    <m/>
    <n v="0"/>
    <n v="0"/>
    <n v="0"/>
    <n v="0"/>
    <n v="0"/>
    <n v="0"/>
    <n v="0"/>
    <n v="0"/>
    <n v="0"/>
    <n v="0"/>
    <n v="0"/>
    <n v="0"/>
    <n v="0"/>
    <n v="0"/>
    <n v="1"/>
    <n v="0"/>
    <n v="0"/>
    <n v="0"/>
    <s v="MMR001CMP042"/>
    <x v="0"/>
    <x v="0"/>
    <s v="P1"/>
    <n v="0"/>
    <m/>
  </r>
  <r>
    <n v="27.966666666666665"/>
    <d v="2015-01-13T00:00:00"/>
    <x v="9"/>
    <s v="MRCS"/>
    <s v="Kachin"/>
    <s v="Chipwi"/>
    <s v="Lhaovao Baptist Church (LBC)"/>
    <m/>
    <m/>
    <m/>
    <m/>
    <m/>
    <m/>
    <m/>
    <m/>
    <m/>
    <m/>
    <n v="350"/>
    <n v="236"/>
    <m/>
    <n v="203"/>
    <m/>
    <m/>
    <m/>
    <n v="0"/>
    <n v="0"/>
    <n v="0"/>
    <n v="0"/>
    <n v="0"/>
    <n v="0"/>
    <n v="0"/>
    <n v="0"/>
    <n v="0"/>
    <n v="0"/>
    <n v="0"/>
    <n v="0"/>
    <n v="0"/>
    <n v="0"/>
    <n v="1"/>
    <n v="0"/>
    <n v="0"/>
    <n v="0"/>
    <s v="MMR001CMP195"/>
    <x v="0"/>
    <x v="0"/>
    <s v="P1"/>
    <n v="0"/>
    <m/>
  </r>
  <r>
    <n v="28.8"/>
    <d v="2014-12-19T00:00:00"/>
    <x v="0"/>
    <s v="KBC"/>
    <s v="Kachin"/>
    <s v="Waingmaw"/>
    <s v="Zai Awng - Mung Ga Zup"/>
    <m/>
    <m/>
    <m/>
    <m/>
    <m/>
    <m/>
    <m/>
    <m/>
    <m/>
    <m/>
    <n v="1292"/>
    <n v="1938"/>
    <m/>
    <n v="1292"/>
    <m/>
    <m/>
    <m/>
    <n v="0"/>
    <n v="0"/>
    <n v="0"/>
    <n v="0"/>
    <n v="0"/>
    <n v="0"/>
    <n v="0"/>
    <n v="0"/>
    <n v="0"/>
    <n v="0"/>
    <n v="0"/>
    <n v="0"/>
    <n v="0"/>
    <n v="0"/>
    <n v="1"/>
    <n v="0"/>
    <n v="0"/>
    <n v="0"/>
    <s v="MMR001CMP111"/>
    <x v="0"/>
    <x v="1"/>
    <s v="P2"/>
    <n v="0"/>
    <m/>
  </r>
  <r>
    <n v="27.966666666666665"/>
    <d v="2015-01-13T00:00:00"/>
    <x v="9"/>
    <s v="MRCS"/>
    <s v="Kachin"/>
    <s v="Momauk"/>
    <s v="Nyaung Na Pin "/>
    <m/>
    <m/>
    <m/>
    <m/>
    <m/>
    <m/>
    <m/>
    <m/>
    <m/>
    <m/>
    <n v="195"/>
    <n v="91"/>
    <m/>
    <n v="92"/>
    <m/>
    <m/>
    <m/>
    <n v="0"/>
    <n v="0"/>
    <n v="0"/>
    <n v="0"/>
    <n v="0"/>
    <n v="0"/>
    <n v="0"/>
    <n v="0"/>
    <n v="0"/>
    <n v="0"/>
    <n v="0"/>
    <n v="0"/>
    <n v="0"/>
    <n v="0"/>
    <n v="1"/>
    <n v="0"/>
    <n v="0"/>
    <n v="0"/>
    <s v="MMR001CMP072"/>
    <x v="0"/>
    <x v="0"/>
    <s v="P3"/>
    <n v="0"/>
    <m/>
  </r>
  <r>
    <n v="27.966666666666665"/>
    <d v="2015-01-13T00:00:00"/>
    <x v="9"/>
    <s v="MRCS"/>
    <s v="Kachin"/>
    <s v="Myitkyina"/>
    <s v="Pa Dauk Myaing(Pa La Na)"/>
    <m/>
    <m/>
    <m/>
    <m/>
    <m/>
    <m/>
    <m/>
    <m/>
    <m/>
    <m/>
    <n v="323"/>
    <n v="178"/>
    <m/>
    <m/>
    <m/>
    <m/>
    <m/>
    <n v="0"/>
    <n v="0"/>
    <n v="0"/>
    <n v="0"/>
    <n v="0"/>
    <n v="0"/>
    <n v="0"/>
    <n v="0"/>
    <n v="0"/>
    <n v="0"/>
    <n v="0"/>
    <n v="0"/>
    <n v="0"/>
    <n v="0"/>
    <n v="1"/>
    <n v="0"/>
    <n v="0"/>
    <n v="0"/>
    <s v="MMR001CMP162"/>
    <x v="0"/>
    <x v="0"/>
    <s v="P4"/>
    <n v="0"/>
    <m/>
  </r>
  <r>
    <n v="27.966666666666665"/>
    <d v="2015-01-13T00:00:00"/>
    <x v="9"/>
    <s v="MRCS"/>
    <s v="Kachin"/>
    <s v="Chipwi"/>
    <s v="Pan Wa"/>
    <m/>
    <m/>
    <m/>
    <m/>
    <m/>
    <m/>
    <m/>
    <m/>
    <m/>
    <m/>
    <n v="187"/>
    <n v="137"/>
    <m/>
    <n v="118"/>
    <m/>
    <m/>
    <m/>
    <n v="0"/>
    <n v="0"/>
    <n v="0"/>
    <n v="0"/>
    <n v="0"/>
    <n v="0"/>
    <n v="0"/>
    <n v="0"/>
    <n v="0"/>
    <n v="0"/>
    <n v="0"/>
    <n v="0"/>
    <n v="0"/>
    <n v="0"/>
    <n v="1"/>
    <n v="0"/>
    <n v="0"/>
    <n v="0"/>
    <s v="MMR001CMP210"/>
    <x v="0"/>
    <x v="0"/>
    <s v="P1"/>
    <n v="0"/>
    <m/>
  </r>
  <r>
    <n v="28.066666666666666"/>
    <d v="2015-01-10T00:00:00"/>
    <x v="0"/>
    <s v="UNHCR"/>
    <s v="Kachin"/>
    <s v="Puta-O"/>
    <s v="Naung Khaing"/>
    <m/>
    <m/>
    <n v="55"/>
    <n v="110"/>
    <n v="55"/>
    <n v="110"/>
    <n v="55"/>
    <m/>
    <n v="55"/>
    <n v="275"/>
    <m/>
    <m/>
    <m/>
    <m/>
    <n v="55"/>
    <m/>
    <m/>
    <n v="0"/>
    <n v="0"/>
    <n v="0"/>
    <n v="0"/>
    <n v="0"/>
    <n v="0"/>
    <n v="0"/>
    <n v="0"/>
    <n v="0"/>
    <n v="0"/>
    <n v="0"/>
    <n v="0"/>
    <n v="0"/>
    <n v="0"/>
    <n v="0"/>
    <n v="0"/>
    <n v="0"/>
    <n v="0"/>
    <s v="MMR001CMP220"/>
    <x v="0"/>
    <x v="1"/>
    <s v="P3"/>
    <n v="1.3257164895027359E-3"/>
    <s v="No"/>
  </r>
  <r>
    <n v="27.966666666666665"/>
    <d v="2015-01-13T00:00:00"/>
    <x v="9"/>
    <s v="MRCS"/>
    <s v="Kachin"/>
    <s v="Hpakant"/>
    <s v="Rawan Baptist Church, Maw Shan Vil., Seik Mu"/>
    <m/>
    <m/>
    <m/>
    <m/>
    <m/>
    <m/>
    <m/>
    <m/>
    <m/>
    <m/>
    <n v="26"/>
    <n v="14"/>
    <m/>
    <m/>
    <m/>
    <m/>
    <m/>
    <n v="0"/>
    <n v="0"/>
    <n v="0"/>
    <n v="0"/>
    <n v="0"/>
    <n v="0"/>
    <n v="0"/>
    <n v="0"/>
    <n v="0"/>
    <n v="0"/>
    <n v="0"/>
    <n v="0"/>
    <n v="0"/>
    <n v="0"/>
    <n v="1"/>
    <n v="0"/>
    <n v="0"/>
    <n v="0"/>
    <s v="MMR001CMP182"/>
    <x v="0"/>
    <x v="0"/>
    <s v="P4"/>
    <n v="0"/>
    <m/>
  </r>
  <r>
    <n v="27.966666666666665"/>
    <d v="2015-01-13T00:00:00"/>
    <x v="9"/>
    <s v="MRCS"/>
    <s v="Kachin"/>
    <s v="Hpakant"/>
    <s v="Sai Nai Baptish Church, Maw Shan Vil., Seki Mu"/>
    <m/>
    <m/>
    <m/>
    <m/>
    <m/>
    <m/>
    <m/>
    <m/>
    <m/>
    <m/>
    <n v="34"/>
    <n v="9"/>
    <m/>
    <m/>
    <m/>
    <m/>
    <m/>
    <n v="0"/>
    <n v="0"/>
    <n v="0"/>
    <n v="0"/>
    <n v="0"/>
    <n v="0"/>
    <n v="0"/>
    <n v="0"/>
    <n v="0"/>
    <n v="0"/>
    <n v="0"/>
    <n v="0"/>
    <n v="0"/>
    <n v="0"/>
    <n v="1"/>
    <n v="0"/>
    <n v="0"/>
    <n v="0"/>
    <s v="MMR001CMP183"/>
    <x v="0"/>
    <x v="0"/>
    <s v="P4"/>
    <n v="0"/>
    <m/>
  </r>
  <r>
    <n v="3.5333333333333332"/>
    <d v="2017-01-15T00:00:00"/>
    <x v="0"/>
    <s v="KBC"/>
    <s v="Kachin"/>
    <s v="Mansi"/>
    <s v="Man Kawng Baptist Church"/>
    <m/>
    <n v="15"/>
    <n v="15"/>
    <n v="15"/>
    <n v="15"/>
    <n v="15"/>
    <n v="15"/>
    <m/>
    <n v="15"/>
    <n v="30"/>
    <m/>
    <m/>
    <m/>
    <m/>
    <n v="15"/>
    <m/>
    <n v="15"/>
    <n v="0"/>
    <n v="15"/>
    <n v="15"/>
    <n v="15"/>
    <n v="15"/>
    <n v="15"/>
    <n v="15"/>
    <n v="0"/>
    <n v="15"/>
    <n v="75"/>
    <n v="0"/>
    <n v="0"/>
    <n v="0"/>
    <n v="0"/>
    <n v="0"/>
    <n v="15"/>
    <n v="0"/>
    <n v="15"/>
    <s v="MMR001CMP212"/>
    <x v="3"/>
    <x v="1"/>
    <s v=""/>
    <s v=""/>
    <m/>
  </r>
  <r>
    <n v="27.966666666666665"/>
    <d v="2015-01-13T00:00:00"/>
    <x v="9"/>
    <s v="MRCS"/>
    <s v="Kachin"/>
    <s v="Chipwi"/>
    <s v="Saw Zam"/>
    <m/>
    <m/>
    <m/>
    <m/>
    <m/>
    <m/>
    <m/>
    <m/>
    <m/>
    <m/>
    <n v="111"/>
    <n v="56"/>
    <m/>
    <n v="58"/>
    <m/>
    <m/>
    <m/>
    <n v="0"/>
    <n v="0"/>
    <n v="0"/>
    <n v="0"/>
    <n v="0"/>
    <n v="0"/>
    <n v="0"/>
    <n v="0"/>
    <n v="0"/>
    <n v="0"/>
    <n v="0"/>
    <n v="0"/>
    <n v="0"/>
    <n v="0"/>
    <n v="1"/>
    <n v="0"/>
    <n v="0"/>
    <n v="0"/>
    <s v="MMR001CMP225"/>
    <x v="0"/>
    <x v="0"/>
    <s v="P1"/>
    <n v="0"/>
    <m/>
  </r>
  <r>
    <n v="27.966666666666665"/>
    <d v="2015-01-13T00:00:00"/>
    <x v="9"/>
    <s v="MRCS"/>
    <s v="Kachin"/>
    <s v="Momauk"/>
    <s v="Seng Ja "/>
    <m/>
    <m/>
    <m/>
    <m/>
    <m/>
    <m/>
    <m/>
    <m/>
    <m/>
    <m/>
    <n v="155"/>
    <n v="73"/>
    <m/>
    <n v="96"/>
    <m/>
    <m/>
    <m/>
    <n v="0"/>
    <n v="0"/>
    <n v="0"/>
    <n v="0"/>
    <n v="0"/>
    <n v="0"/>
    <n v="0"/>
    <n v="0"/>
    <n v="0"/>
    <n v="0"/>
    <n v="0"/>
    <n v="0"/>
    <n v="0"/>
    <n v="0"/>
    <n v="1"/>
    <n v="0"/>
    <n v="0"/>
    <n v="0"/>
    <s v="MMR001CMP073"/>
    <x v="0"/>
    <x v="0"/>
    <s v="P3"/>
    <n v="0"/>
    <m/>
  </r>
  <r>
    <n v="27.966666666666665"/>
    <d v="2015-01-13T00:00:00"/>
    <x v="9"/>
    <s v="MRCS"/>
    <s v="Kachin"/>
    <s v="Sumprabum"/>
    <s v="Sumprabum"/>
    <m/>
    <m/>
    <m/>
    <m/>
    <m/>
    <m/>
    <m/>
    <m/>
    <m/>
    <m/>
    <n v="91"/>
    <n v="32"/>
    <m/>
    <n v="36"/>
    <m/>
    <m/>
    <m/>
    <n v="0"/>
    <n v="0"/>
    <n v="0"/>
    <n v="0"/>
    <n v="0"/>
    <n v="0"/>
    <n v="0"/>
    <n v="0"/>
    <n v="0"/>
    <n v="0"/>
    <n v="0"/>
    <n v="0"/>
    <n v="0"/>
    <n v="0"/>
    <n v="1"/>
    <n v="0"/>
    <n v="0"/>
    <n v="0"/>
    <s v="MMR001CMP206"/>
    <x v="0"/>
    <x v="0"/>
    <s v="P4"/>
    <s v=""/>
    <m/>
  </r>
  <r>
    <n v="27.966666666666665"/>
    <d v="2015-01-13T00:00:00"/>
    <x v="0"/>
    <s v="Shalom"/>
    <s v="Kachin"/>
    <s v="Myitkyina"/>
    <s v="Tat Kone COC Baptist - Tat Kone Htoi San"/>
    <m/>
    <m/>
    <m/>
    <m/>
    <n v="2"/>
    <m/>
    <m/>
    <m/>
    <m/>
    <m/>
    <m/>
    <m/>
    <m/>
    <m/>
    <m/>
    <m/>
    <m/>
    <n v="0"/>
    <n v="0"/>
    <n v="0"/>
    <n v="0"/>
    <n v="0"/>
    <n v="0"/>
    <n v="0"/>
    <n v="0"/>
    <n v="0"/>
    <n v="0"/>
    <n v="0"/>
    <n v="0"/>
    <n v="0"/>
    <n v="0"/>
    <n v="0"/>
    <n v="0"/>
    <n v="0"/>
    <n v="0"/>
    <s v="MMR001CMP023"/>
    <x v="0"/>
    <x v="0"/>
    <s v="P4"/>
    <n v="0"/>
    <s v="No"/>
  </r>
  <r>
    <n v="27.966666666666665"/>
    <d v="2015-01-13T00:00:00"/>
    <x v="9"/>
    <s v="MRCS"/>
    <s v="Kachin"/>
    <s v="Hpakant"/>
    <s v="Ward 2 Sai Taung Baptist Church, Seik Mu "/>
    <m/>
    <m/>
    <m/>
    <m/>
    <m/>
    <m/>
    <m/>
    <m/>
    <m/>
    <m/>
    <n v="94"/>
    <n v="58"/>
    <m/>
    <m/>
    <m/>
    <m/>
    <m/>
    <n v="0"/>
    <n v="0"/>
    <n v="0"/>
    <n v="0"/>
    <n v="0"/>
    <n v="0"/>
    <n v="0"/>
    <n v="0"/>
    <n v="0"/>
    <n v="0"/>
    <n v="0"/>
    <n v="0"/>
    <n v="0"/>
    <n v="0"/>
    <n v="1"/>
    <n v="0"/>
    <n v="0"/>
    <n v="0"/>
    <s v="MMR001CMP184"/>
    <x v="0"/>
    <x v="0"/>
    <s v="P4"/>
    <n v="0"/>
    <m/>
  </r>
  <r>
    <n v="27.966666666666665"/>
    <d v="2015-01-13T00:00:00"/>
    <x v="9"/>
    <s v="MRCS"/>
    <s v="Kachin"/>
    <s v="Hpakant"/>
    <s v="Yumar Baptist Church"/>
    <m/>
    <m/>
    <m/>
    <m/>
    <m/>
    <m/>
    <m/>
    <m/>
    <m/>
    <m/>
    <n v="33"/>
    <n v="8"/>
    <m/>
    <m/>
    <m/>
    <m/>
    <m/>
    <n v="0"/>
    <n v="0"/>
    <n v="0"/>
    <n v="0"/>
    <n v="0"/>
    <n v="0"/>
    <n v="0"/>
    <n v="0"/>
    <n v="0"/>
    <n v="0"/>
    <n v="0"/>
    <n v="0"/>
    <n v="0"/>
    <n v="0"/>
    <n v="1"/>
    <n v="0"/>
    <n v="0"/>
    <n v="0"/>
    <s v="MMR001CMP105"/>
    <x v="0"/>
    <x v="0"/>
    <s v="P4"/>
    <n v="0"/>
    <m/>
  </r>
  <r>
    <n v="27.533333333333335"/>
    <d v="2015-01-26T00:00:00"/>
    <x v="0"/>
    <s v="KBC"/>
    <s v="Kachin"/>
    <s v="Hpakant"/>
    <s v="5 Ward RC Church(lon Khin)"/>
    <m/>
    <n v="100"/>
    <m/>
    <n v="200"/>
    <n v="200"/>
    <n v="200"/>
    <n v="100"/>
    <m/>
    <n v="100"/>
    <n v="500"/>
    <m/>
    <m/>
    <m/>
    <m/>
    <n v="100"/>
    <m/>
    <m/>
    <n v="0"/>
    <n v="0"/>
    <n v="0"/>
    <n v="0"/>
    <n v="0"/>
    <n v="0"/>
    <n v="0"/>
    <n v="0"/>
    <n v="0"/>
    <n v="0"/>
    <n v="0"/>
    <n v="0"/>
    <n v="0"/>
    <n v="0"/>
    <n v="0"/>
    <n v="0"/>
    <n v="0"/>
    <n v="0"/>
    <s v="MMR001CMP168"/>
    <x v="0"/>
    <x v="0"/>
    <s v="P4"/>
    <n v="2.4227740763173833E-3"/>
    <s v="No"/>
  </r>
  <r>
    <n v="26.933333333333334"/>
    <d v="2015-02-13T00:00:00"/>
    <x v="0"/>
    <s v="KMSS"/>
    <s v="Kachin"/>
    <s v="Myitkyina"/>
    <s v="Pa Dauk Myaing(Pa La Na)"/>
    <m/>
    <m/>
    <m/>
    <m/>
    <m/>
    <n v="18"/>
    <n v="9"/>
    <m/>
    <n v="29"/>
    <n v="145"/>
    <m/>
    <m/>
    <m/>
    <m/>
    <m/>
    <m/>
    <m/>
    <n v="0"/>
    <n v="0"/>
    <n v="0"/>
    <n v="0"/>
    <n v="0"/>
    <n v="0"/>
    <n v="0"/>
    <n v="0"/>
    <n v="0"/>
    <n v="0"/>
    <n v="0"/>
    <n v="0"/>
    <n v="0"/>
    <n v="0"/>
    <n v="0"/>
    <n v="0"/>
    <n v="0"/>
    <n v="0"/>
    <s v="MMR001CMP162"/>
    <x v="0"/>
    <x v="0"/>
    <s v="P4"/>
    <n v="2.1821355833575792E-4"/>
    <s v="No"/>
  </r>
  <r>
    <n v="26.833333333333332"/>
    <d v="2015-02-16T00:00:00"/>
    <x v="0"/>
    <s v="KMSS"/>
    <s v="Kachin"/>
    <s v="Waingmaw"/>
    <s v="Hpun Lum Yang "/>
    <m/>
    <m/>
    <m/>
    <m/>
    <m/>
    <m/>
    <m/>
    <m/>
    <m/>
    <m/>
    <n v="865"/>
    <n v="924"/>
    <m/>
    <n v="918"/>
    <m/>
    <m/>
    <m/>
    <n v="0"/>
    <n v="0"/>
    <n v="0"/>
    <n v="0"/>
    <n v="0"/>
    <n v="0"/>
    <n v="0"/>
    <n v="0"/>
    <n v="0"/>
    <n v="0"/>
    <n v="0"/>
    <n v="0"/>
    <n v="0"/>
    <n v="0"/>
    <n v="1"/>
    <n v="0"/>
    <n v="0"/>
    <n v="0"/>
    <s v="MMR001CMP122"/>
    <x v="0"/>
    <x v="0"/>
    <s v="P2"/>
    <n v="0"/>
    <s v="No"/>
  </r>
  <r>
    <n v="26.833333333333332"/>
    <d v="2015-02-16T00:00:00"/>
    <x v="0"/>
    <s v="KMSS"/>
    <s v="Kachin"/>
    <s v="Waingmaw"/>
    <s v="Je Yang Hka "/>
    <m/>
    <m/>
    <m/>
    <m/>
    <m/>
    <m/>
    <m/>
    <m/>
    <m/>
    <m/>
    <n v="2676"/>
    <n v="2672"/>
    <m/>
    <n v="3186"/>
    <m/>
    <m/>
    <m/>
    <n v="0"/>
    <n v="0"/>
    <n v="0"/>
    <n v="0"/>
    <n v="0"/>
    <n v="0"/>
    <n v="0"/>
    <n v="0"/>
    <n v="0"/>
    <n v="0"/>
    <n v="0"/>
    <n v="0"/>
    <n v="0"/>
    <n v="0"/>
    <n v="1"/>
    <n v="0"/>
    <n v="0"/>
    <n v="0"/>
    <s v="MMR001CMP121"/>
    <x v="0"/>
    <x v="0"/>
    <s v="P2"/>
    <n v="0"/>
    <s v="No"/>
  </r>
  <r>
    <n v="26.833333333333332"/>
    <d v="2015-02-16T00:00:00"/>
    <x v="0"/>
    <s v="KMSS"/>
    <s v="Kachin"/>
    <s v="Waingmaw"/>
    <s v="Woi Chyai "/>
    <m/>
    <m/>
    <m/>
    <m/>
    <m/>
    <m/>
    <m/>
    <m/>
    <m/>
    <m/>
    <n v="1620"/>
    <n v="2207"/>
    <m/>
    <n v="1760"/>
    <m/>
    <m/>
    <m/>
    <n v="0"/>
    <n v="0"/>
    <n v="0"/>
    <n v="0"/>
    <n v="0"/>
    <n v="0"/>
    <n v="0"/>
    <n v="0"/>
    <n v="0"/>
    <n v="0"/>
    <n v="0"/>
    <n v="0"/>
    <n v="0"/>
    <n v="0"/>
    <n v="1"/>
    <n v="0"/>
    <n v="0"/>
    <n v="0"/>
    <s v="MMR001CMP116"/>
    <x v="0"/>
    <x v="0"/>
    <s v="P4"/>
    <n v="0"/>
    <s v="No"/>
  </r>
  <r>
    <n v="26.666666666666668"/>
    <d v="2015-02-21T00:00:00"/>
    <x v="0"/>
    <s v="KMSS-LSO"/>
    <s v="Shan_North"/>
    <s v="Kutkai"/>
    <s v="Zup Aung Camp"/>
    <m/>
    <n v="54"/>
    <n v="36"/>
    <n v="108"/>
    <n v="54"/>
    <n v="108"/>
    <n v="54"/>
    <n v="54"/>
    <n v="54"/>
    <n v="108"/>
    <m/>
    <m/>
    <m/>
    <m/>
    <n v="54"/>
    <m/>
    <m/>
    <n v="0"/>
    <n v="0"/>
    <n v="0"/>
    <n v="0"/>
    <n v="0"/>
    <n v="0"/>
    <n v="0"/>
    <n v="0"/>
    <n v="0"/>
    <n v="0"/>
    <n v="0"/>
    <n v="0"/>
    <n v="0"/>
    <n v="0"/>
    <n v="0"/>
    <n v="0"/>
    <n v="0"/>
    <n v="0"/>
    <s v="MMR015CMP020"/>
    <x v="0"/>
    <x v="0"/>
    <s v="P3"/>
    <n v="1.3092813500145475E-3"/>
    <s v="No"/>
  </r>
  <r>
    <n v="27.533333333333335"/>
    <d v="2015-01-26T00:00:00"/>
    <x v="0"/>
    <s v="KMSS"/>
    <s v="Kachin"/>
    <s v="Hpakant"/>
    <s v="Emergency"/>
    <m/>
    <n v="200"/>
    <m/>
    <n v="400"/>
    <n v="250"/>
    <n v="400"/>
    <n v="200"/>
    <m/>
    <n v="200"/>
    <n v="1200"/>
    <m/>
    <m/>
    <m/>
    <m/>
    <n v="200"/>
    <m/>
    <n v="30"/>
    <n v="0"/>
    <n v="0"/>
    <n v="0"/>
    <n v="0"/>
    <n v="0"/>
    <n v="0"/>
    <n v="0"/>
    <n v="0"/>
    <n v="0"/>
    <n v="0"/>
    <n v="0"/>
    <n v="0"/>
    <n v="0"/>
    <n v="0"/>
    <n v="0"/>
    <n v="0"/>
    <n v="0"/>
    <n v="0"/>
    <s v=""/>
    <x v="1"/>
    <x v="2"/>
    <s v=""/>
    <s v=""/>
    <s v="No"/>
  </r>
  <r>
    <n v="26.533333333333335"/>
    <d v="2015-02-25T00:00:00"/>
    <x v="1"/>
    <s v="Solidarities"/>
    <s v="Kachin"/>
    <s v="Bhamo"/>
    <s v="Robert Church"/>
    <m/>
    <m/>
    <m/>
    <m/>
    <m/>
    <m/>
    <m/>
    <m/>
    <m/>
    <m/>
    <m/>
    <m/>
    <m/>
    <m/>
    <m/>
    <n v="76"/>
    <m/>
    <n v="0"/>
    <n v="0"/>
    <n v="0"/>
    <n v="0"/>
    <n v="0"/>
    <n v="0"/>
    <n v="0"/>
    <n v="0"/>
    <n v="0"/>
    <n v="0"/>
    <n v="0"/>
    <n v="0"/>
    <n v="0"/>
    <n v="0"/>
    <n v="0"/>
    <n v="0"/>
    <n v="0"/>
    <n v="0"/>
    <s v="MMR001CMP047"/>
    <x v="0"/>
    <x v="0"/>
    <s v="P4"/>
    <n v="0"/>
    <m/>
  </r>
  <r>
    <n v="27.033333333333335"/>
    <d v="2015-02-10T00:00:00"/>
    <x v="0"/>
    <s v="UNHCR"/>
    <s v="Shan_North"/>
    <s v="Mansi"/>
    <s v="Moe Gok (A Shae Kyaung)"/>
    <m/>
    <m/>
    <m/>
    <n v="49"/>
    <n v="16"/>
    <n v="49"/>
    <n v="16"/>
    <m/>
    <n v="16"/>
    <n v="92"/>
    <m/>
    <m/>
    <m/>
    <m/>
    <n v="15"/>
    <m/>
    <m/>
    <n v="0"/>
    <n v="0"/>
    <n v="0"/>
    <n v="0"/>
    <n v="0"/>
    <n v="0"/>
    <n v="0"/>
    <n v="0"/>
    <n v="0"/>
    <n v="0"/>
    <n v="0"/>
    <n v="0"/>
    <n v="0"/>
    <n v="0"/>
    <n v="0"/>
    <n v="0"/>
    <n v="0"/>
    <n v="0"/>
    <s v=""/>
    <x v="1"/>
    <x v="2"/>
    <s v=""/>
    <s v=""/>
    <s v="No"/>
  </r>
  <r>
    <n v="27.033333333333335"/>
    <d v="2015-02-10T00:00:00"/>
    <x v="0"/>
    <s v="UNHCR"/>
    <s v="Shan_North"/>
    <s v="Mansi"/>
    <s v="Moe Gok (Aung Daw Mu)"/>
    <m/>
    <m/>
    <m/>
    <n v="75"/>
    <n v="13"/>
    <n v="110"/>
    <n v="13"/>
    <m/>
    <n v="13"/>
    <n v="45"/>
    <m/>
    <m/>
    <m/>
    <m/>
    <m/>
    <m/>
    <m/>
    <n v="0"/>
    <n v="0"/>
    <n v="0"/>
    <n v="0"/>
    <n v="0"/>
    <n v="0"/>
    <n v="0"/>
    <n v="0"/>
    <n v="0"/>
    <n v="0"/>
    <n v="0"/>
    <n v="0"/>
    <n v="0"/>
    <n v="0"/>
    <n v="0"/>
    <n v="0"/>
    <n v="0"/>
    <n v="0"/>
    <s v=""/>
    <x v="1"/>
    <x v="2"/>
    <s v=""/>
    <s v=""/>
    <s v="No"/>
  </r>
  <r>
    <n v="27.033333333333335"/>
    <d v="2015-02-10T00:00:00"/>
    <x v="0"/>
    <s v="UNHCR"/>
    <s v="Shan_North"/>
    <s v="Mansi"/>
    <s v="Moe Gok (Pain Pyit Lisu Village)"/>
    <m/>
    <n v="200"/>
    <m/>
    <n v="86"/>
    <n v="28"/>
    <n v="173"/>
    <n v="28"/>
    <m/>
    <n v="43"/>
    <n v="199"/>
    <m/>
    <m/>
    <m/>
    <m/>
    <n v="42"/>
    <m/>
    <m/>
    <n v="0"/>
    <n v="0"/>
    <n v="0"/>
    <n v="0"/>
    <n v="0"/>
    <n v="0"/>
    <n v="0"/>
    <n v="0"/>
    <n v="0"/>
    <n v="0"/>
    <n v="0"/>
    <n v="0"/>
    <n v="0"/>
    <n v="0"/>
    <n v="0"/>
    <n v="0"/>
    <n v="0"/>
    <n v="0"/>
    <s v=""/>
    <x v="1"/>
    <x v="2"/>
    <s v=""/>
    <s v=""/>
    <s v="No"/>
  </r>
  <r>
    <n v="27.033333333333335"/>
    <d v="2015-02-10T00:00:00"/>
    <x v="0"/>
    <s v="UNHCR"/>
    <s v="Shan_North"/>
    <s v="Mansi"/>
    <s v="Moe Mait (Man Ohn0"/>
    <m/>
    <m/>
    <m/>
    <n v="90"/>
    <n v="43"/>
    <n v="93"/>
    <n v="43"/>
    <m/>
    <n v="32"/>
    <n v="164"/>
    <m/>
    <m/>
    <m/>
    <m/>
    <n v="43"/>
    <m/>
    <m/>
    <n v="0"/>
    <n v="0"/>
    <n v="0"/>
    <n v="0"/>
    <n v="0"/>
    <n v="0"/>
    <n v="0"/>
    <n v="0"/>
    <n v="0"/>
    <n v="0"/>
    <n v="0"/>
    <n v="0"/>
    <n v="0"/>
    <n v="0"/>
    <n v="0"/>
    <n v="0"/>
    <n v="0"/>
    <n v="0"/>
    <s v=""/>
    <x v="1"/>
    <x v="2"/>
    <s v=""/>
    <s v=""/>
    <s v="No"/>
  </r>
  <r>
    <n v="27.033333333333335"/>
    <d v="2015-02-10T00:00:00"/>
    <x v="0"/>
    <s v="KBC"/>
    <s v="Kachin"/>
    <s v="Puta-O"/>
    <s v="Resettlement place"/>
    <m/>
    <m/>
    <n v="46"/>
    <n v="92"/>
    <n v="46"/>
    <n v="92"/>
    <n v="46"/>
    <m/>
    <n v="46"/>
    <n v="230"/>
    <m/>
    <m/>
    <m/>
    <m/>
    <n v="46"/>
    <m/>
    <n v="55"/>
    <n v="0"/>
    <n v="0"/>
    <n v="0"/>
    <n v="0"/>
    <n v="0"/>
    <n v="0"/>
    <n v="0"/>
    <n v="0"/>
    <n v="0"/>
    <n v="0"/>
    <n v="0"/>
    <n v="0"/>
    <n v="0"/>
    <n v="0"/>
    <n v="0"/>
    <n v="0"/>
    <n v="0"/>
    <n v="0"/>
    <s v=""/>
    <x v="1"/>
    <x v="2"/>
    <s v=""/>
    <s v=""/>
    <s v="No"/>
  </r>
  <r>
    <n v="26.933333333333334"/>
    <d v="2015-02-13T00:00:00"/>
    <x v="0"/>
    <s v="KMSS-LSO"/>
    <s v="Shan_North"/>
    <s v="Kutkai"/>
    <s v="Pyi Lung Chan Tar"/>
    <m/>
    <n v="68"/>
    <n v="54"/>
    <n v="134"/>
    <n v="68"/>
    <n v="134"/>
    <n v="68"/>
    <m/>
    <n v="68"/>
    <n v="134"/>
    <m/>
    <m/>
    <m/>
    <m/>
    <n v="68"/>
    <m/>
    <m/>
    <n v="0"/>
    <n v="0"/>
    <n v="0"/>
    <n v="0"/>
    <n v="0"/>
    <n v="0"/>
    <n v="0"/>
    <n v="0"/>
    <n v="0"/>
    <n v="0"/>
    <n v="0"/>
    <n v="0"/>
    <n v="0"/>
    <n v="0"/>
    <n v="0"/>
    <n v="0"/>
    <n v="0"/>
    <n v="0"/>
    <s v=""/>
    <x v="1"/>
    <x v="2"/>
    <s v=""/>
    <s v=""/>
    <s v="No"/>
  </r>
  <r>
    <n v="26.5"/>
    <d v="2015-02-26T00:00:00"/>
    <x v="1"/>
    <s v="Solidarities"/>
    <s v="Kachin"/>
    <s v="Bhamo"/>
    <s v="AD-2000 Tharthana Compound"/>
    <m/>
    <m/>
    <m/>
    <m/>
    <m/>
    <m/>
    <m/>
    <m/>
    <m/>
    <m/>
    <m/>
    <m/>
    <m/>
    <m/>
    <m/>
    <n v="37"/>
    <m/>
    <n v="0"/>
    <n v="0"/>
    <n v="0"/>
    <n v="0"/>
    <n v="0"/>
    <n v="0"/>
    <n v="0"/>
    <n v="0"/>
    <n v="0"/>
    <n v="0"/>
    <n v="0"/>
    <n v="0"/>
    <n v="0"/>
    <n v="0"/>
    <n v="0"/>
    <n v="0"/>
    <n v="0"/>
    <n v="0"/>
    <s v="MMR001CMP050"/>
    <x v="0"/>
    <x v="0"/>
    <s v="P4"/>
    <n v="0"/>
    <m/>
  </r>
  <r>
    <n v="26.833333333333332"/>
    <d v="2015-02-16T00:00:00"/>
    <x v="0"/>
    <s v="KMSS"/>
    <s v="Kachin"/>
    <s v="Waingmaw"/>
    <s v="Laiza Market 3 - Laiza Gat"/>
    <m/>
    <m/>
    <m/>
    <m/>
    <m/>
    <m/>
    <m/>
    <m/>
    <m/>
    <m/>
    <n v="1119"/>
    <n v="1455"/>
    <m/>
    <n v="1080"/>
    <m/>
    <m/>
    <m/>
    <n v="0"/>
    <n v="0"/>
    <n v="0"/>
    <n v="0"/>
    <n v="0"/>
    <n v="0"/>
    <n v="0"/>
    <n v="0"/>
    <n v="0"/>
    <n v="0"/>
    <n v="0"/>
    <n v="0"/>
    <n v="0"/>
    <n v="0"/>
    <n v="1"/>
    <n v="0"/>
    <n v="0"/>
    <n v="0"/>
    <s v="MMR001CMP117"/>
    <x v="0"/>
    <x v="1"/>
    <s v="P2"/>
    <n v="0"/>
    <s v="No"/>
  </r>
  <r>
    <n v="26.266666666666666"/>
    <d v="2015-03-05T00:00:00"/>
    <x v="0"/>
    <s v="KMSS-LSO"/>
    <s v="Shan_North"/>
    <s v="Hseni"/>
    <s v="Nam Sa Larp"/>
    <m/>
    <n v="43"/>
    <n v="43"/>
    <n v="85"/>
    <n v="43"/>
    <n v="95"/>
    <n v="43"/>
    <n v="43"/>
    <n v="43"/>
    <n v="95"/>
    <m/>
    <m/>
    <m/>
    <m/>
    <n v="43"/>
    <m/>
    <m/>
    <n v="0"/>
    <n v="0"/>
    <n v="0"/>
    <n v="0"/>
    <n v="0"/>
    <n v="0"/>
    <n v="0"/>
    <n v="0"/>
    <n v="0"/>
    <n v="0"/>
    <n v="0"/>
    <n v="0"/>
    <n v="0"/>
    <n v="0"/>
    <n v="0"/>
    <n v="0"/>
    <n v="0"/>
    <n v="0"/>
    <s v="MMR015CMP218"/>
    <x v="2"/>
    <x v="0"/>
    <n v="0"/>
    <n v="1.0229327243315254E-3"/>
    <s v="No"/>
  </r>
  <r>
    <n v="26.1"/>
    <d v="2015-03-10T00:00:00"/>
    <x v="1"/>
    <s v="Solidarities"/>
    <s v="Kachin"/>
    <s v="Momauk"/>
    <s v="Nyaung Na Pin "/>
    <m/>
    <m/>
    <m/>
    <m/>
    <m/>
    <m/>
    <m/>
    <m/>
    <m/>
    <m/>
    <m/>
    <m/>
    <m/>
    <m/>
    <m/>
    <n v="2"/>
    <m/>
    <n v="0"/>
    <n v="0"/>
    <n v="0"/>
    <n v="0"/>
    <n v="0"/>
    <n v="0"/>
    <n v="0"/>
    <n v="0"/>
    <n v="0"/>
    <n v="0"/>
    <n v="0"/>
    <n v="0"/>
    <n v="0"/>
    <n v="0"/>
    <n v="0"/>
    <n v="0"/>
    <n v="0"/>
    <n v="0"/>
    <s v="MMR001CMP072"/>
    <x v="0"/>
    <x v="0"/>
    <s v="P3"/>
    <n v="0"/>
    <m/>
  </r>
  <r>
    <n v="26.033333333333335"/>
    <d v="2015-03-12T00:00:00"/>
    <x v="1"/>
    <s v="Solidarities"/>
    <s v="Kachin"/>
    <s v="Momauk"/>
    <s v="Loi Je Baptist Church"/>
    <m/>
    <m/>
    <m/>
    <m/>
    <m/>
    <m/>
    <m/>
    <m/>
    <m/>
    <m/>
    <m/>
    <m/>
    <m/>
    <m/>
    <m/>
    <n v="1"/>
    <m/>
    <n v="0"/>
    <n v="0"/>
    <n v="0"/>
    <n v="0"/>
    <n v="0"/>
    <n v="0"/>
    <n v="0"/>
    <n v="0"/>
    <n v="0"/>
    <n v="0"/>
    <n v="0"/>
    <n v="0"/>
    <n v="0"/>
    <n v="0"/>
    <n v="0"/>
    <n v="0"/>
    <n v="0"/>
    <n v="0"/>
    <s v="MMR001CMP071"/>
    <x v="0"/>
    <x v="0"/>
    <s v="P3"/>
    <n v="0"/>
    <m/>
  </r>
  <r>
    <n v="26.666666666666668"/>
    <d v="2015-02-21T00:00:00"/>
    <x v="0"/>
    <s v="UNHCR"/>
    <s v="Shan_North"/>
    <s v="Kutkai"/>
    <s v="Namtit"/>
    <m/>
    <m/>
    <m/>
    <n v="161"/>
    <n v="76"/>
    <m/>
    <n v="76"/>
    <m/>
    <n v="76"/>
    <m/>
    <m/>
    <m/>
    <m/>
    <m/>
    <n v="76"/>
    <m/>
    <m/>
    <n v="0"/>
    <n v="0"/>
    <n v="0"/>
    <n v="0"/>
    <n v="0"/>
    <n v="0"/>
    <n v="0"/>
    <n v="0"/>
    <n v="0"/>
    <n v="0"/>
    <n v="0"/>
    <n v="0"/>
    <n v="0"/>
    <n v="0"/>
    <n v="0"/>
    <n v="0"/>
    <n v="0"/>
    <n v="0"/>
    <s v=""/>
    <x v="1"/>
    <x v="2"/>
    <s v=""/>
    <s v=""/>
    <s v="No"/>
  </r>
  <r>
    <n v="26.033333333333335"/>
    <d v="2015-03-12T00:00:00"/>
    <x v="1"/>
    <s v="Solidarities"/>
    <s v="Kachin"/>
    <s v="Momauk"/>
    <s v="Loi Je Baptist Church"/>
    <m/>
    <m/>
    <m/>
    <m/>
    <m/>
    <m/>
    <m/>
    <m/>
    <m/>
    <m/>
    <m/>
    <m/>
    <m/>
    <m/>
    <m/>
    <m/>
    <m/>
    <n v="0"/>
    <n v="0"/>
    <n v="0"/>
    <n v="0"/>
    <n v="0"/>
    <n v="0"/>
    <n v="0"/>
    <n v="0"/>
    <n v="0"/>
    <n v="0"/>
    <n v="0"/>
    <n v="0"/>
    <n v="0"/>
    <n v="0"/>
    <n v="0"/>
    <n v="0"/>
    <n v="0"/>
    <n v="0"/>
    <s v="MMR001CMP071"/>
    <x v="0"/>
    <x v="0"/>
    <s v="P3"/>
    <n v="0"/>
    <m/>
  </r>
  <r>
    <n v="26.033333333333335"/>
    <d v="2015-03-12T00:00:00"/>
    <x v="1"/>
    <s v="Solidarities"/>
    <s v="Kachin"/>
    <s v="Momauk"/>
    <s v="Loi Je Catholic Church"/>
    <m/>
    <m/>
    <m/>
    <m/>
    <m/>
    <m/>
    <m/>
    <m/>
    <m/>
    <m/>
    <m/>
    <m/>
    <m/>
    <m/>
    <m/>
    <n v="2"/>
    <m/>
    <n v="0"/>
    <n v="0"/>
    <n v="0"/>
    <n v="0"/>
    <n v="0"/>
    <n v="0"/>
    <n v="0"/>
    <n v="0"/>
    <n v="0"/>
    <n v="0"/>
    <n v="0"/>
    <n v="0"/>
    <n v="0"/>
    <n v="0"/>
    <n v="0"/>
    <n v="0"/>
    <n v="0"/>
    <n v="0"/>
    <s v="MMR001CMP069"/>
    <x v="0"/>
    <x v="0"/>
    <s v="P3"/>
    <n v="0"/>
    <m/>
  </r>
  <r>
    <n v="26.033333333333335"/>
    <d v="2015-03-12T00:00:00"/>
    <x v="1"/>
    <s v="Solidarities"/>
    <s v="Kachin"/>
    <s v="Momauk"/>
    <s v="Loi Je Lisu Camp"/>
    <m/>
    <m/>
    <m/>
    <m/>
    <m/>
    <m/>
    <m/>
    <m/>
    <m/>
    <m/>
    <m/>
    <m/>
    <m/>
    <m/>
    <m/>
    <n v="5"/>
    <m/>
    <n v="0"/>
    <n v="0"/>
    <n v="0"/>
    <n v="0"/>
    <n v="0"/>
    <n v="0"/>
    <n v="0"/>
    <n v="0"/>
    <n v="0"/>
    <n v="0"/>
    <n v="0"/>
    <n v="0"/>
    <n v="0"/>
    <n v="0"/>
    <n v="0"/>
    <n v="0"/>
    <n v="0"/>
    <n v="0"/>
    <s v="MMR001CMP070"/>
    <x v="0"/>
    <x v="0"/>
    <s v="P3"/>
    <n v="0"/>
    <m/>
  </r>
  <r>
    <n v="26.033333333333335"/>
    <d v="2015-03-12T00:00:00"/>
    <x v="1"/>
    <s v="Solidarities"/>
    <s v="Kachin"/>
    <s v="Bhamo"/>
    <s v="Phan Khar Kone"/>
    <m/>
    <m/>
    <m/>
    <m/>
    <m/>
    <m/>
    <m/>
    <m/>
    <m/>
    <m/>
    <m/>
    <m/>
    <m/>
    <m/>
    <m/>
    <n v="7"/>
    <m/>
    <n v="0"/>
    <n v="0"/>
    <n v="0"/>
    <n v="0"/>
    <n v="0"/>
    <n v="0"/>
    <n v="0"/>
    <n v="0"/>
    <n v="0"/>
    <n v="0"/>
    <n v="0"/>
    <n v="0"/>
    <n v="0"/>
    <n v="0"/>
    <n v="0"/>
    <n v="0"/>
    <n v="0"/>
    <n v="0"/>
    <s v="MMR001CMP193"/>
    <x v="0"/>
    <x v="0"/>
    <s v="P4"/>
    <n v="0"/>
    <m/>
  </r>
  <r>
    <n v="26.033333333333335"/>
    <d v="2015-03-12T00:00:00"/>
    <x v="1"/>
    <s v="Solidarities"/>
    <s v="Kachin"/>
    <s v="Bhamo"/>
    <s v="Robert Church"/>
    <m/>
    <m/>
    <m/>
    <m/>
    <m/>
    <m/>
    <m/>
    <m/>
    <m/>
    <m/>
    <m/>
    <m/>
    <m/>
    <m/>
    <m/>
    <n v="11"/>
    <m/>
    <n v="0"/>
    <n v="0"/>
    <n v="0"/>
    <n v="0"/>
    <n v="0"/>
    <n v="0"/>
    <n v="0"/>
    <n v="0"/>
    <n v="0"/>
    <n v="0"/>
    <n v="0"/>
    <n v="0"/>
    <n v="0"/>
    <n v="0"/>
    <n v="0"/>
    <n v="0"/>
    <n v="0"/>
    <n v="0"/>
    <s v="MMR001CMP047"/>
    <x v="0"/>
    <x v="0"/>
    <s v="P4"/>
    <n v="0"/>
    <m/>
  </r>
  <r>
    <n v="26.033333333333335"/>
    <d v="2015-03-12T00:00:00"/>
    <x v="1"/>
    <s v="Solidarities"/>
    <s v="Kachin"/>
    <s v="Momauk"/>
    <s v="Seng Ja "/>
    <m/>
    <m/>
    <m/>
    <m/>
    <m/>
    <m/>
    <m/>
    <m/>
    <m/>
    <m/>
    <m/>
    <m/>
    <m/>
    <m/>
    <m/>
    <n v="4"/>
    <m/>
    <n v="0"/>
    <n v="0"/>
    <n v="0"/>
    <n v="0"/>
    <n v="0"/>
    <n v="0"/>
    <n v="0"/>
    <n v="0"/>
    <n v="0"/>
    <n v="0"/>
    <n v="0"/>
    <n v="0"/>
    <n v="0"/>
    <n v="0"/>
    <n v="0"/>
    <n v="0"/>
    <n v="0"/>
    <n v="0"/>
    <s v="MMR001CMP073"/>
    <x v="0"/>
    <x v="0"/>
    <s v="P3"/>
    <n v="0"/>
    <m/>
  </r>
  <r>
    <n v="26"/>
    <d v="2015-03-13T00:00:00"/>
    <x v="0"/>
    <s v="KMSS"/>
    <s v="Kachin"/>
    <s v="Waingmaw"/>
    <s v="Maina Catholic Church (St. Joseph)"/>
    <m/>
    <m/>
    <m/>
    <m/>
    <n v="1"/>
    <m/>
    <m/>
    <m/>
    <m/>
    <m/>
    <m/>
    <m/>
    <m/>
    <m/>
    <m/>
    <m/>
    <m/>
    <n v="0"/>
    <n v="0"/>
    <n v="0"/>
    <n v="0"/>
    <n v="0"/>
    <n v="0"/>
    <n v="0"/>
    <n v="0"/>
    <n v="0"/>
    <n v="0"/>
    <n v="0"/>
    <n v="0"/>
    <n v="0"/>
    <n v="0"/>
    <n v="0"/>
    <n v="0"/>
    <n v="0"/>
    <n v="0"/>
    <s v="MMR001CMP029"/>
    <x v="0"/>
    <x v="0"/>
    <s v="P4"/>
    <n v="0"/>
    <s v="No"/>
  </r>
  <r>
    <n v="25.6"/>
    <d v="2015-03-25T00:00:00"/>
    <x v="0"/>
    <s v="KMSS-BMO"/>
    <s v="Kachin"/>
    <s v="Mansi"/>
    <s v="Bum Tsit Pa "/>
    <m/>
    <m/>
    <m/>
    <m/>
    <m/>
    <n v="829"/>
    <m/>
    <m/>
    <m/>
    <m/>
    <m/>
    <m/>
    <m/>
    <m/>
    <m/>
    <m/>
    <m/>
    <n v="0"/>
    <n v="0"/>
    <n v="0"/>
    <n v="0"/>
    <n v="0"/>
    <n v="0"/>
    <n v="0"/>
    <n v="0"/>
    <n v="0"/>
    <n v="0"/>
    <n v="0"/>
    <n v="0"/>
    <n v="0"/>
    <n v="0"/>
    <n v="0"/>
    <n v="0"/>
    <n v="0"/>
    <n v="0"/>
    <s v="MMR001CMP129"/>
    <x v="0"/>
    <x v="0"/>
    <s v="P2"/>
    <n v="0"/>
    <s v="No"/>
  </r>
  <r>
    <n v="25.533333333333335"/>
    <d v="2015-03-27T00:00:00"/>
    <x v="0"/>
    <s v="KMSS-BMO"/>
    <s v="Kachin"/>
    <s v="Mansi"/>
    <s v="Lana Zup Ja "/>
    <m/>
    <m/>
    <m/>
    <m/>
    <m/>
    <n v="357"/>
    <m/>
    <m/>
    <m/>
    <m/>
    <m/>
    <m/>
    <m/>
    <m/>
    <m/>
    <m/>
    <m/>
    <n v="0"/>
    <n v="0"/>
    <n v="0"/>
    <n v="0"/>
    <n v="0"/>
    <n v="0"/>
    <n v="0"/>
    <n v="0"/>
    <n v="0"/>
    <n v="0"/>
    <n v="0"/>
    <n v="0"/>
    <n v="0"/>
    <n v="0"/>
    <n v="0"/>
    <n v="0"/>
    <n v="0"/>
    <n v="0"/>
    <s v="MMR001CMP128"/>
    <x v="0"/>
    <x v="0"/>
    <s v="P2"/>
    <n v="0"/>
    <s v="No"/>
  </r>
  <r>
    <n v="25.3"/>
    <d v="2015-04-03T00:00:00"/>
    <x v="0"/>
    <s v="Shalom-BM"/>
    <s v="Kachin"/>
    <s v="Bhamo"/>
    <s v="Mu-yin Baptist Church"/>
    <m/>
    <m/>
    <m/>
    <m/>
    <n v="3"/>
    <n v="53"/>
    <m/>
    <m/>
    <n v="3"/>
    <n v="11"/>
    <m/>
    <m/>
    <m/>
    <m/>
    <n v="3"/>
    <m/>
    <m/>
    <n v="0"/>
    <n v="0"/>
    <n v="0"/>
    <n v="0"/>
    <n v="0"/>
    <n v="0"/>
    <n v="0"/>
    <n v="0"/>
    <n v="0"/>
    <n v="0"/>
    <n v="0"/>
    <n v="0"/>
    <n v="0"/>
    <n v="0"/>
    <n v="0"/>
    <n v="0"/>
    <n v="0"/>
    <n v="0"/>
    <s v="MMR001CMP051"/>
    <x v="0"/>
    <x v="0"/>
    <s v="P4"/>
    <n v="0"/>
    <s v="No"/>
  </r>
  <r>
    <n v="25.3"/>
    <d v="2015-04-03T00:00:00"/>
    <x v="0"/>
    <s v="UNHCR"/>
    <s v="Kachin"/>
    <s v="Momauk"/>
    <s v="Nhkawng Pa "/>
    <m/>
    <m/>
    <m/>
    <m/>
    <m/>
    <m/>
    <m/>
    <m/>
    <m/>
    <m/>
    <m/>
    <m/>
    <m/>
    <m/>
    <n v="405"/>
    <m/>
    <m/>
    <n v="0"/>
    <n v="0"/>
    <n v="0"/>
    <n v="0"/>
    <n v="0"/>
    <n v="0"/>
    <n v="0"/>
    <n v="0"/>
    <n v="0"/>
    <n v="0"/>
    <n v="0"/>
    <n v="0"/>
    <n v="0"/>
    <n v="0"/>
    <n v="0"/>
    <n v="0"/>
    <n v="0"/>
    <n v="0"/>
    <s v="MMR001CMP131"/>
    <x v="0"/>
    <x v="0"/>
    <s v="P1"/>
    <n v="0"/>
    <s v="No"/>
  </r>
  <r>
    <n v="25.133333333333333"/>
    <d v="2015-04-08T00:00:00"/>
    <x v="1"/>
    <s v="Solidarities"/>
    <s v="Kachin"/>
    <s v="Bhamo"/>
    <s v="AD-2000 Tharthana Compound"/>
    <m/>
    <m/>
    <m/>
    <m/>
    <m/>
    <m/>
    <m/>
    <m/>
    <m/>
    <m/>
    <m/>
    <m/>
    <m/>
    <m/>
    <m/>
    <n v="7"/>
    <m/>
    <n v="0"/>
    <n v="0"/>
    <n v="0"/>
    <n v="0"/>
    <n v="0"/>
    <n v="0"/>
    <n v="0"/>
    <n v="0"/>
    <n v="0"/>
    <n v="0"/>
    <n v="0"/>
    <n v="0"/>
    <n v="0"/>
    <n v="0"/>
    <n v="0"/>
    <n v="0"/>
    <n v="0"/>
    <n v="0"/>
    <s v="MMR001CMP050"/>
    <x v="0"/>
    <x v="0"/>
    <s v="P4"/>
    <n v="0"/>
    <m/>
  </r>
  <r>
    <n v="25.133333333333333"/>
    <d v="2015-04-08T00:00:00"/>
    <x v="0"/>
    <s v="KBC"/>
    <s v="Kachin"/>
    <s v="Mansi"/>
    <s v="Maing Khaung"/>
    <m/>
    <m/>
    <m/>
    <n v="8"/>
    <n v="4"/>
    <m/>
    <n v="4"/>
    <m/>
    <n v="4"/>
    <m/>
    <m/>
    <m/>
    <m/>
    <m/>
    <m/>
    <m/>
    <m/>
    <n v="0"/>
    <n v="0"/>
    <n v="0"/>
    <n v="0"/>
    <n v="0"/>
    <n v="0"/>
    <n v="0"/>
    <n v="0"/>
    <n v="0"/>
    <n v="0"/>
    <n v="0"/>
    <n v="0"/>
    <n v="0"/>
    <n v="0"/>
    <n v="0"/>
    <n v="0"/>
    <n v="0"/>
    <n v="0"/>
    <s v="MMR001CMP218"/>
    <x v="0"/>
    <x v="0"/>
    <s v="P4"/>
    <n v="9.6274188889958599E-5"/>
    <s v="No"/>
  </r>
  <r>
    <n v="25.133333333333333"/>
    <d v="2015-04-08T00:00:00"/>
    <x v="1"/>
    <s v="Solidarities"/>
    <s v="Kachin"/>
    <s v="Bhamo"/>
    <s v="Ta Gun Taing Monastery (Shwe Kyi Na)"/>
    <m/>
    <m/>
    <m/>
    <m/>
    <m/>
    <m/>
    <m/>
    <m/>
    <m/>
    <m/>
    <m/>
    <m/>
    <m/>
    <m/>
    <m/>
    <n v="2"/>
    <m/>
    <n v="0"/>
    <n v="0"/>
    <n v="0"/>
    <n v="0"/>
    <n v="0"/>
    <n v="0"/>
    <n v="0"/>
    <n v="0"/>
    <n v="0"/>
    <n v="0"/>
    <n v="0"/>
    <n v="0"/>
    <n v="0"/>
    <n v="0"/>
    <n v="0"/>
    <n v="0"/>
    <n v="0"/>
    <n v="0"/>
    <s v="MMR001CMP055"/>
    <x v="0"/>
    <x v="0"/>
    <s v="P4"/>
    <n v="0"/>
    <m/>
  </r>
  <r>
    <n v="25.9"/>
    <d v="2015-03-16T00:00:00"/>
    <x v="0"/>
    <s v="UNHCR"/>
    <s v="Kachin"/>
    <s v="Bhamo"/>
    <s v="Nhkawng Pa camp and Pa Kahtawng camp thru cross line mission with KMSS-Bhamo"/>
    <m/>
    <m/>
    <m/>
    <m/>
    <m/>
    <m/>
    <m/>
    <m/>
    <m/>
    <m/>
    <n v="2460"/>
    <n v="3600"/>
    <m/>
    <m/>
    <m/>
    <m/>
    <m/>
    <n v="0"/>
    <n v="0"/>
    <n v="0"/>
    <n v="0"/>
    <n v="0"/>
    <n v="0"/>
    <n v="0"/>
    <n v="0"/>
    <n v="0"/>
    <n v="0"/>
    <n v="0"/>
    <n v="0"/>
    <n v="0"/>
    <n v="0"/>
    <n v="1"/>
    <n v="0"/>
    <n v="0"/>
    <n v="0"/>
    <s v=""/>
    <x v="1"/>
    <x v="2"/>
    <s v=""/>
    <s v=""/>
    <s v="No"/>
  </r>
  <r>
    <n v="25.6"/>
    <d v="2015-03-25T00:00:00"/>
    <x v="1"/>
    <s v="Solidarities"/>
    <s v="Kachin"/>
    <s v="Momauk"/>
    <s v="Edin"/>
    <m/>
    <m/>
    <m/>
    <m/>
    <m/>
    <m/>
    <m/>
    <m/>
    <m/>
    <m/>
    <m/>
    <m/>
    <m/>
    <m/>
    <m/>
    <n v="3"/>
    <m/>
    <n v="0"/>
    <n v="0"/>
    <n v="0"/>
    <n v="0"/>
    <n v="0"/>
    <n v="0"/>
    <n v="0"/>
    <n v="0"/>
    <n v="0"/>
    <n v="0"/>
    <n v="0"/>
    <n v="0"/>
    <n v="0"/>
    <n v="0"/>
    <n v="0"/>
    <n v="0"/>
    <n v="0"/>
    <n v="0"/>
    <s v=""/>
    <x v="1"/>
    <x v="2"/>
    <s v=""/>
    <s v=""/>
    <m/>
  </r>
  <r>
    <n v="25.6"/>
    <d v="2015-03-25T00:00:00"/>
    <x v="0"/>
    <s v="UNHCR"/>
    <s v="Kachin"/>
    <s v="Mansi"/>
    <s v="Lana Zup Ja and Bumtsit pa (1) and (2)"/>
    <m/>
    <m/>
    <m/>
    <n v="1621"/>
    <m/>
    <m/>
    <m/>
    <m/>
    <m/>
    <m/>
    <m/>
    <m/>
    <m/>
    <m/>
    <m/>
    <m/>
    <m/>
    <n v="0"/>
    <n v="0"/>
    <n v="0"/>
    <n v="0"/>
    <n v="0"/>
    <n v="0"/>
    <n v="0"/>
    <n v="0"/>
    <n v="0"/>
    <n v="0"/>
    <n v="0"/>
    <n v="0"/>
    <n v="0"/>
    <n v="0"/>
    <n v="0"/>
    <n v="0"/>
    <n v="0"/>
    <n v="0"/>
    <s v=""/>
    <x v="1"/>
    <x v="2"/>
    <s v=""/>
    <s v=""/>
    <s v="No"/>
  </r>
  <r>
    <n v="25.6"/>
    <d v="2015-03-25T00:00:00"/>
    <x v="0"/>
    <s v="UNHCR"/>
    <s v="Kachin"/>
    <s v="Bhamo"/>
    <s v="Nhkawng Pa camp and Pa Kahtawng camp thru cross line mission with KMSS-Bhamo"/>
    <m/>
    <m/>
    <m/>
    <m/>
    <m/>
    <m/>
    <m/>
    <m/>
    <m/>
    <m/>
    <n v="2086"/>
    <n v="3036"/>
    <m/>
    <m/>
    <m/>
    <m/>
    <m/>
    <n v="0"/>
    <n v="0"/>
    <n v="0"/>
    <n v="0"/>
    <n v="0"/>
    <n v="0"/>
    <n v="0"/>
    <n v="0"/>
    <n v="0"/>
    <n v="0"/>
    <n v="0"/>
    <n v="0"/>
    <n v="0"/>
    <n v="0"/>
    <n v="1"/>
    <n v="0"/>
    <n v="0"/>
    <n v="0"/>
    <s v=""/>
    <x v="1"/>
    <x v="2"/>
    <s v=""/>
    <s v=""/>
    <s v="No"/>
  </r>
  <r>
    <n v="25.6"/>
    <d v="2015-03-25T00:00:00"/>
    <x v="1"/>
    <s v="Solidarities"/>
    <s v="Kachin"/>
    <s v="Momauk"/>
    <s v="Ni Thaw Ka Monestry"/>
    <m/>
    <m/>
    <m/>
    <m/>
    <m/>
    <m/>
    <m/>
    <m/>
    <m/>
    <m/>
    <m/>
    <m/>
    <m/>
    <m/>
    <m/>
    <n v="1"/>
    <m/>
    <n v="0"/>
    <n v="0"/>
    <n v="0"/>
    <n v="0"/>
    <n v="0"/>
    <n v="0"/>
    <n v="0"/>
    <n v="0"/>
    <n v="0"/>
    <n v="0"/>
    <n v="0"/>
    <n v="0"/>
    <n v="0"/>
    <n v="0"/>
    <n v="0"/>
    <n v="0"/>
    <n v="0"/>
    <n v="0"/>
    <s v="MMR001CMP059"/>
    <x v="0"/>
    <x v="1"/>
    <s v="P4"/>
    <n v="0"/>
    <m/>
  </r>
  <r>
    <n v="24.866666666666667"/>
    <d v="2015-04-16T00:00:00"/>
    <x v="0"/>
    <s v="KMSS-LSO"/>
    <s v="Shan_North"/>
    <s v="Kutkai"/>
    <s v="Kutkai downtown (RC Church)"/>
    <m/>
    <m/>
    <m/>
    <m/>
    <m/>
    <m/>
    <m/>
    <m/>
    <m/>
    <n v="69"/>
    <m/>
    <m/>
    <m/>
    <m/>
    <m/>
    <m/>
    <m/>
    <n v="0"/>
    <n v="0"/>
    <n v="0"/>
    <n v="0"/>
    <n v="0"/>
    <n v="0"/>
    <n v="0"/>
    <n v="0"/>
    <n v="0"/>
    <n v="0"/>
    <n v="0"/>
    <n v="0"/>
    <n v="0"/>
    <n v="0"/>
    <n v="0"/>
    <n v="0"/>
    <n v="0"/>
    <n v="0"/>
    <s v="MMR015CMP017"/>
    <x v="0"/>
    <x v="0"/>
    <s v="P3"/>
    <n v="0"/>
    <s v="No"/>
  </r>
  <r>
    <n v="24.6"/>
    <d v="2015-04-24T00:00:00"/>
    <x v="0"/>
    <s v="KBC"/>
    <s v="Kachin"/>
    <s v="Momauk"/>
    <s v="Loi Je Lisu Camp"/>
    <m/>
    <m/>
    <m/>
    <m/>
    <m/>
    <m/>
    <m/>
    <m/>
    <n v="9"/>
    <m/>
    <m/>
    <m/>
    <m/>
    <m/>
    <m/>
    <m/>
    <m/>
    <n v="0"/>
    <n v="0"/>
    <n v="0"/>
    <n v="0"/>
    <n v="0"/>
    <n v="0"/>
    <n v="0"/>
    <n v="0"/>
    <n v="0"/>
    <n v="0"/>
    <n v="0"/>
    <n v="0"/>
    <n v="0"/>
    <n v="0"/>
    <n v="0"/>
    <n v="0"/>
    <n v="0"/>
    <n v="0"/>
    <s v="MMR001CMP070"/>
    <x v="0"/>
    <x v="0"/>
    <s v="P3"/>
    <n v="0"/>
    <s v="No"/>
  </r>
  <r>
    <n v="25.5"/>
    <d v="2015-03-28T00:00:00"/>
    <x v="0"/>
    <s v="KMSS-BMO"/>
    <s v="Kachin"/>
    <s v="Mansi"/>
    <s v="Bum Tsit Pa Camp II"/>
    <m/>
    <m/>
    <m/>
    <m/>
    <m/>
    <n v="704"/>
    <m/>
    <m/>
    <n v="9"/>
    <m/>
    <m/>
    <m/>
    <m/>
    <m/>
    <m/>
    <m/>
    <m/>
    <n v="0"/>
    <n v="0"/>
    <n v="0"/>
    <n v="0"/>
    <n v="0"/>
    <n v="0"/>
    <n v="0"/>
    <n v="0"/>
    <n v="0"/>
    <n v="0"/>
    <n v="0"/>
    <n v="0"/>
    <n v="0"/>
    <n v="0"/>
    <n v="0"/>
    <n v="0"/>
    <n v="0"/>
    <n v="0"/>
    <s v="MMR001CMP226"/>
    <x v="0"/>
    <x v="1"/>
    <s v="P2"/>
    <n v="0"/>
    <s v="No"/>
  </r>
  <r>
    <n v="25.3"/>
    <d v="2015-04-03T00:00:00"/>
    <x v="0"/>
    <s v="Shalom-BM"/>
    <s v="Kachin"/>
    <s v="Bhamo"/>
    <s v="Lisu Baptist Church"/>
    <m/>
    <m/>
    <m/>
    <m/>
    <m/>
    <n v="15"/>
    <m/>
    <m/>
    <n v="26"/>
    <n v="720"/>
    <m/>
    <m/>
    <m/>
    <m/>
    <n v="26"/>
    <m/>
    <m/>
    <n v="0"/>
    <n v="0"/>
    <n v="0"/>
    <n v="0"/>
    <n v="0"/>
    <n v="0"/>
    <n v="0"/>
    <n v="0"/>
    <n v="0"/>
    <n v="0"/>
    <n v="0"/>
    <n v="0"/>
    <n v="0"/>
    <n v="0"/>
    <n v="0"/>
    <n v="0"/>
    <n v="0"/>
    <n v="0"/>
    <s v=""/>
    <x v="1"/>
    <x v="2"/>
    <s v=""/>
    <s v=""/>
    <s v="No"/>
  </r>
  <r>
    <n v="25.3"/>
    <d v="2015-04-03T00:00:00"/>
    <x v="0"/>
    <s v="Shalom"/>
    <s v="Kachin"/>
    <s v="Momauk"/>
    <s v="Mandalay Monestry"/>
    <m/>
    <m/>
    <m/>
    <m/>
    <m/>
    <m/>
    <m/>
    <m/>
    <m/>
    <m/>
    <m/>
    <m/>
    <m/>
    <m/>
    <m/>
    <m/>
    <m/>
    <n v="0"/>
    <n v="0"/>
    <n v="0"/>
    <n v="0"/>
    <n v="0"/>
    <n v="0"/>
    <n v="0"/>
    <n v="0"/>
    <n v="0"/>
    <n v="0"/>
    <n v="0"/>
    <n v="0"/>
    <n v="0"/>
    <n v="0"/>
    <n v="0"/>
    <n v="0"/>
    <n v="0"/>
    <n v="0"/>
    <s v="MMR001CMP058"/>
    <x v="0"/>
    <x v="1"/>
    <s v="P4"/>
    <n v="0"/>
    <s v="No"/>
  </r>
  <r>
    <n v="25.3"/>
    <d v="2015-04-03T00:00:00"/>
    <x v="0"/>
    <s v="Shalom"/>
    <s v="Kachin"/>
    <s v="Momauk"/>
    <s v="Ni Thaw Ka Monestry"/>
    <m/>
    <m/>
    <m/>
    <n v="105"/>
    <n v="26"/>
    <n v="308"/>
    <n v="29"/>
    <m/>
    <m/>
    <n v="69"/>
    <m/>
    <m/>
    <m/>
    <m/>
    <m/>
    <m/>
    <m/>
    <n v="0"/>
    <n v="0"/>
    <n v="0"/>
    <n v="0"/>
    <n v="0"/>
    <n v="0"/>
    <n v="0"/>
    <n v="0"/>
    <n v="0"/>
    <n v="0"/>
    <n v="0"/>
    <n v="0"/>
    <n v="0"/>
    <n v="0"/>
    <n v="0"/>
    <n v="0"/>
    <n v="0"/>
    <n v="0"/>
    <s v="MMR001CMP059"/>
    <x v="0"/>
    <x v="1"/>
    <s v="P4"/>
    <n v="7.1048827694343043E-4"/>
    <s v="No"/>
  </r>
  <r>
    <n v="24.6"/>
    <d v="2015-04-24T00:00:00"/>
    <x v="0"/>
    <s v="KBC"/>
    <s v="Kachin"/>
    <s v="Momauk"/>
    <s v="Seng Ja "/>
    <m/>
    <m/>
    <m/>
    <n v="36"/>
    <n v="18"/>
    <n v="90"/>
    <n v="18"/>
    <m/>
    <m/>
    <n v="90"/>
    <m/>
    <m/>
    <m/>
    <m/>
    <n v="18"/>
    <m/>
    <m/>
    <n v="0"/>
    <n v="0"/>
    <n v="0"/>
    <n v="0"/>
    <n v="0"/>
    <n v="0"/>
    <n v="0"/>
    <n v="0"/>
    <n v="0"/>
    <n v="0"/>
    <n v="0"/>
    <n v="0"/>
    <n v="0"/>
    <n v="0"/>
    <n v="0"/>
    <n v="0"/>
    <n v="0"/>
    <n v="0"/>
    <s v="MMR001CMP073"/>
    <x v="0"/>
    <x v="0"/>
    <s v="P3"/>
    <n v="4.3772190068576433E-4"/>
    <s v="No"/>
  </r>
  <r>
    <n v="23.966666666666665"/>
    <d v="2015-05-13T00:00:00"/>
    <x v="0"/>
    <s v="KMSS-BMO"/>
    <s v="Kachin"/>
    <s v="Momauk"/>
    <s v="Man Bung Catholic compound"/>
    <m/>
    <m/>
    <m/>
    <m/>
    <m/>
    <n v="28"/>
    <m/>
    <m/>
    <m/>
    <m/>
    <m/>
    <m/>
    <m/>
    <m/>
    <m/>
    <m/>
    <m/>
    <n v="0"/>
    <n v="0"/>
    <n v="0"/>
    <n v="0"/>
    <n v="0"/>
    <n v="0"/>
    <n v="0"/>
    <n v="0"/>
    <n v="0"/>
    <n v="0"/>
    <n v="0"/>
    <n v="0"/>
    <n v="0"/>
    <n v="0"/>
    <n v="0"/>
    <n v="0"/>
    <n v="0"/>
    <n v="0"/>
    <s v="MMR001CMP062"/>
    <x v="0"/>
    <x v="0"/>
    <s v="P4"/>
    <n v="0"/>
    <s v="No"/>
  </r>
  <r>
    <n v="23.5"/>
    <d v="2015-05-27T00:00:00"/>
    <x v="1"/>
    <s v="Solidarities"/>
    <s v="Kachin"/>
    <s v="Bhamo"/>
    <s v="AD-2000 Tharthana Compound"/>
    <m/>
    <m/>
    <n v="424"/>
    <m/>
    <m/>
    <m/>
    <m/>
    <m/>
    <m/>
    <m/>
    <m/>
    <m/>
    <m/>
    <m/>
    <m/>
    <m/>
    <m/>
    <n v="0"/>
    <n v="0"/>
    <n v="0"/>
    <n v="0"/>
    <n v="0"/>
    <n v="0"/>
    <n v="0"/>
    <n v="0"/>
    <n v="0"/>
    <n v="0"/>
    <n v="0"/>
    <n v="0"/>
    <n v="0"/>
    <n v="0"/>
    <n v="0"/>
    <n v="0"/>
    <n v="0"/>
    <n v="0"/>
    <s v="MMR001CMP050"/>
    <x v="0"/>
    <x v="0"/>
    <s v="P4"/>
    <n v="0"/>
    <m/>
  </r>
  <r>
    <n v="23.466666666666665"/>
    <d v="2015-05-28T00:00:00"/>
    <x v="1"/>
    <s v="Solidarities"/>
    <s v="Kachin"/>
    <s v="Bhamo"/>
    <s v="Ta Gun Taing Monastery (Shwe Kyi Na)"/>
    <m/>
    <m/>
    <n v="36"/>
    <m/>
    <m/>
    <m/>
    <m/>
    <m/>
    <m/>
    <m/>
    <m/>
    <m/>
    <m/>
    <m/>
    <m/>
    <m/>
    <m/>
    <n v="0"/>
    <n v="0"/>
    <n v="0"/>
    <n v="0"/>
    <n v="0"/>
    <n v="0"/>
    <n v="0"/>
    <n v="0"/>
    <n v="0"/>
    <n v="0"/>
    <n v="0"/>
    <n v="0"/>
    <n v="0"/>
    <n v="0"/>
    <n v="0"/>
    <n v="0"/>
    <n v="0"/>
    <n v="0"/>
    <s v="MMR001CMP055"/>
    <x v="0"/>
    <x v="0"/>
    <s v="P4"/>
    <n v="0"/>
    <m/>
  </r>
  <r>
    <n v="23.433333333333334"/>
    <d v="2015-05-29T00:00:00"/>
    <x v="1"/>
    <s v="Solidarities"/>
    <s v="Kachin"/>
    <s v="Bhamo"/>
    <s v="Phan Khar Kone"/>
    <m/>
    <m/>
    <n v="258"/>
    <m/>
    <m/>
    <m/>
    <m/>
    <m/>
    <m/>
    <m/>
    <m/>
    <m/>
    <m/>
    <m/>
    <m/>
    <m/>
    <m/>
    <n v="0"/>
    <n v="0"/>
    <n v="0"/>
    <n v="0"/>
    <n v="0"/>
    <n v="0"/>
    <n v="0"/>
    <n v="0"/>
    <n v="0"/>
    <n v="0"/>
    <n v="0"/>
    <n v="0"/>
    <n v="0"/>
    <n v="0"/>
    <n v="0"/>
    <n v="0"/>
    <n v="0"/>
    <n v="0"/>
    <s v="MMR001CMP193"/>
    <x v="0"/>
    <x v="0"/>
    <s v="P4"/>
    <n v="0"/>
    <m/>
  </r>
  <r>
    <n v="23.4"/>
    <d v="2015-05-30T00:00:00"/>
    <x v="1"/>
    <s v="Solidarities"/>
    <s v="Kachin"/>
    <s v="Bhamo"/>
    <s v="Robert Church"/>
    <m/>
    <m/>
    <m/>
    <m/>
    <m/>
    <m/>
    <m/>
    <m/>
    <m/>
    <m/>
    <m/>
    <m/>
    <m/>
    <m/>
    <n v="3"/>
    <m/>
    <m/>
    <n v="0"/>
    <n v="0"/>
    <n v="0"/>
    <n v="0"/>
    <n v="0"/>
    <n v="0"/>
    <n v="0"/>
    <n v="0"/>
    <n v="0"/>
    <n v="0"/>
    <n v="0"/>
    <n v="0"/>
    <n v="0"/>
    <n v="0"/>
    <n v="0"/>
    <n v="0"/>
    <n v="0"/>
    <n v="0"/>
    <s v="MMR001CMP047"/>
    <x v="0"/>
    <x v="0"/>
    <s v="P4"/>
    <n v="0"/>
    <m/>
  </r>
  <r>
    <n v="23.366666666666667"/>
    <d v="2015-05-31T00:00:00"/>
    <x v="1"/>
    <s v="Solidarities"/>
    <s v="Kachin"/>
    <s v="Momauk"/>
    <s v="Loi Je Baptist Church"/>
    <m/>
    <m/>
    <m/>
    <m/>
    <m/>
    <m/>
    <m/>
    <m/>
    <m/>
    <m/>
    <m/>
    <m/>
    <m/>
    <m/>
    <n v="2"/>
    <m/>
    <m/>
    <n v="0"/>
    <n v="0"/>
    <n v="0"/>
    <n v="0"/>
    <n v="0"/>
    <n v="0"/>
    <n v="0"/>
    <n v="0"/>
    <n v="0"/>
    <n v="0"/>
    <n v="0"/>
    <n v="0"/>
    <n v="0"/>
    <n v="0"/>
    <n v="0"/>
    <n v="0"/>
    <n v="0"/>
    <n v="0"/>
    <s v="MMR001CMP071"/>
    <x v="0"/>
    <x v="0"/>
    <s v="P3"/>
    <n v="0"/>
    <m/>
  </r>
  <r>
    <n v="23.366666666666667"/>
    <d v="2015-05-31T00:00:00"/>
    <x v="1"/>
    <s v="Solidarities"/>
    <s v="Kachin"/>
    <s v="Momauk"/>
    <s v="Loi Je Lisu Camp"/>
    <m/>
    <m/>
    <m/>
    <m/>
    <m/>
    <m/>
    <m/>
    <m/>
    <m/>
    <m/>
    <m/>
    <m/>
    <m/>
    <m/>
    <n v="4"/>
    <m/>
    <m/>
    <n v="0"/>
    <n v="0"/>
    <n v="0"/>
    <n v="0"/>
    <n v="0"/>
    <n v="0"/>
    <n v="0"/>
    <n v="0"/>
    <n v="0"/>
    <n v="0"/>
    <n v="0"/>
    <n v="0"/>
    <n v="0"/>
    <n v="0"/>
    <n v="0"/>
    <n v="0"/>
    <n v="0"/>
    <n v="0"/>
    <s v="MMR001CMP070"/>
    <x v="0"/>
    <x v="0"/>
    <s v="P3"/>
    <n v="0"/>
    <m/>
  </r>
  <r>
    <n v="23.366666666666667"/>
    <d v="2015-05-31T00:00:00"/>
    <x v="1"/>
    <s v="Solidarities"/>
    <s v="Kachin"/>
    <s v="Bhamo"/>
    <s v="Phan Khar Kone"/>
    <m/>
    <m/>
    <m/>
    <m/>
    <m/>
    <m/>
    <m/>
    <m/>
    <m/>
    <m/>
    <m/>
    <m/>
    <m/>
    <m/>
    <n v="6"/>
    <m/>
    <m/>
    <n v="0"/>
    <n v="0"/>
    <n v="0"/>
    <n v="0"/>
    <n v="0"/>
    <n v="0"/>
    <n v="0"/>
    <n v="0"/>
    <n v="0"/>
    <n v="0"/>
    <n v="0"/>
    <n v="0"/>
    <n v="0"/>
    <n v="0"/>
    <n v="0"/>
    <n v="0"/>
    <n v="0"/>
    <n v="0"/>
    <s v="MMR001CMP193"/>
    <x v="0"/>
    <x v="0"/>
    <s v="P4"/>
    <n v="0"/>
    <m/>
  </r>
  <r>
    <n v="23.366666666666667"/>
    <d v="2015-05-31T00:00:00"/>
    <x v="1"/>
    <s v="Solidarities"/>
    <s v="Kachin"/>
    <s v="Momauk"/>
    <s v="Seng Ja "/>
    <m/>
    <m/>
    <m/>
    <m/>
    <m/>
    <m/>
    <m/>
    <m/>
    <m/>
    <m/>
    <m/>
    <m/>
    <m/>
    <m/>
    <n v="3"/>
    <m/>
    <m/>
    <n v="0"/>
    <n v="0"/>
    <n v="0"/>
    <n v="0"/>
    <n v="0"/>
    <n v="0"/>
    <n v="0"/>
    <n v="0"/>
    <n v="0"/>
    <n v="0"/>
    <n v="0"/>
    <n v="0"/>
    <n v="0"/>
    <n v="0"/>
    <n v="0"/>
    <n v="0"/>
    <n v="0"/>
    <n v="0"/>
    <s v="MMR001CMP073"/>
    <x v="0"/>
    <x v="0"/>
    <s v="P3"/>
    <n v="0"/>
    <m/>
  </r>
  <r>
    <n v="23.3"/>
    <d v="2015-06-02T00:00:00"/>
    <x v="1"/>
    <s v="Solidarities"/>
    <s v="Kachin"/>
    <s v="Bhamo"/>
    <s v="Robert Church"/>
    <m/>
    <m/>
    <n v="1048"/>
    <m/>
    <m/>
    <m/>
    <m/>
    <m/>
    <m/>
    <m/>
    <m/>
    <m/>
    <m/>
    <m/>
    <m/>
    <m/>
    <m/>
    <n v="0"/>
    <n v="0"/>
    <n v="0"/>
    <n v="0"/>
    <n v="0"/>
    <n v="0"/>
    <n v="0"/>
    <n v="0"/>
    <n v="0"/>
    <n v="0"/>
    <n v="0"/>
    <n v="0"/>
    <n v="0"/>
    <n v="0"/>
    <n v="0"/>
    <n v="0"/>
    <n v="0"/>
    <n v="0"/>
    <s v="MMR001CMP047"/>
    <x v="0"/>
    <x v="0"/>
    <s v="P4"/>
    <n v="0"/>
    <m/>
  </r>
  <r>
    <n v="23.433333333333334"/>
    <d v="2015-05-29T00:00:00"/>
    <x v="1"/>
    <s v="Solidarities"/>
    <s v="Kachin"/>
    <s v="Momauk"/>
    <s v="Edin"/>
    <m/>
    <m/>
    <n v="103"/>
    <m/>
    <m/>
    <m/>
    <m/>
    <m/>
    <m/>
    <m/>
    <m/>
    <m/>
    <m/>
    <m/>
    <m/>
    <m/>
    <m/>
    <n v="0"/>
    <n v="0"/>
    <n v="0"/>
    <n v="0"/>
    <n v="0"/>
    <n v="0"/>
    <n v="0"/>
    <n v="0"/>
    <n v="0"/>
    <n v="0"/>
    <n v="0"/>
    <n v="0"/>
    <n v="0"/>
    <n v="0"/>
    <n v="0"/>
    <n v="0"/>
    <n v="0"/>
    <n v="0"/>
    <s v=""/>
    <x v="1"/>
    <x v="2"/>
    <s v=""/>
    <s v=""/>
    <m/>
  </r>
  <r>
    <n v="23.266666666666666"/>
    <d v="2015-06-03T00:00:00"/>
    <x v="1"/>
    <s v="Solidarities"/>
    <s v="Kachin"/>
    <s v="Momauk"/>
    <s v="Loi Je Baptist Church"/>
    <m/>
    <m/>
    <m/>
    <m/>
    <m/>
    <m/>
    <m/>
    <m/>
    <m/>
    <m/>
    <m/>
    <m/>
    <m/>
    <m/>
    <m/>
    <m/>
    <m/>
    <n v="0"/>
    <n v="0"/>
    <n v="0"/>
    <n v="0"/>
    <n v="0"/>
    <n v="0"/>
    <n v="0"/>
    <n v="0"/>
    <n v="0"/>
    <n v="0"/>
    <n v="0"/>
    <n v="0"/>
    <n v="0"/>
    <n v="0"/>
    <n v="0"/>
    <n v="0"/>
    <n v="0"/>
    <n v="0"/>
    <s v="MMR001CMP071"/>
    <x v="0"/>
    <x v="0"/>
    <s v="P3"/>
    <n v="0"/>
    <m/>
  </r>
  <r>
    <n v="23.266666666666666"/>
    <d v="2015-06-03T00:00:00"/>
    <x v="1"/>
    <s v="Solidarities"/>
    <s v="Kachin"/>
    <s v="Momauk"/>
    <s v="Loi Je Catholic Church"/>
    <m/>
    <m/>
    <n v="115"/>
    <m/>
    <m/>
    <m/>
    <m/>
    <m/>
    <m/>
    <m/>
    <m/>
    <m/>
    <m/>
    <m/>
    <m/>
    <m/>
    <m/>
    <n v="0"/>
    <n v="0"/>
    <n v="0"/>
    <n v="0"/>
    <n v="0"/>
    <n v="0"/>
    <n v="0"/>
    <n v="0"/>
    <n v="0"/>
    <n v="0"/>
    <n v="0"/>
    <n v="0"/>
    <n v="0"/>
    <n v="0"/>
    <n v="0"/>
    <n v="0"/>
    <n v="0"/>
    <n v="0"/>
    <s v="MMR001CMP069"/>
    <x v="0"/>
    <x v="0"/>
    <s v="P3"/>
    <n v="0"/>
    <m/>
  </r>
  <r>
    <n v="23.366666666666667"/>
    <d v="2015-05-31T00:00:00"/>
    <x v="1"/>
    <s v="Solidarities"/>
    <s v="Kachin"/>
    <s v="Momauk"/>
    <s v="Ni Thaw Ka Monestry"/>
    <m/>
    <m/>
    <n v="34"/>
    <m/>
    <m/>
    <m/>
    <m/>
    <m/>
    <m/>
    <m/>
    <m/>
    <m/>
    <m/>
    <m/>
    <m/>
    <m/>
    <m/>
    <n v="0"/>
    <n v="0"/>
    <n v="0"/>
    <n v="0"/>
    <n v="0"/>
    <n v="0"/>
    <n v="0"/>
    <n v="0"/>
    <n v="0"/>
    <n v="0"/>
    <n v="0"/>
    <n v="0"/>
    <n v="0"/>
    <n v="0"/>
    <n v="0"/>
    <n v="0"/>
    <n v="0"/>
    <n v="0"/>
    <s v="MMR001CMP059"/>
    <x v="0"/>
    <x v="1"/>
    <s v="P4"/>
    <n v="0"/>
    <m/>
  </r>
  <r>
    <n v="23.266666666666666"/>
    <d v="2015-06-03T00:00:00"/>
    <x v="1"/>
    <s v="Solidarities"/>
    <s v="Kachin"/>
    <s v="Momauk"/>
    <s v="Loi Je Lisu Camp"/>
    <m/>
    <m/>
    <n v="270"/>
    <m/>
    <m/>
    <m/>
    <m/>
    <m/>
    <m/>
    <m/>
    <m/>
    <m/>
    <m/>
    <m/>
    <m/>
    <m/>
    <m/>
    <n v="0"/>
    <n v="0"/>
    <n v="0"/>
    <n v="0"/>
    <n v="0"/>
    <n v="0"/>
    <n v="0"/>
    <n v="0"/>
    <n v="0"/>
    <n v="0"/>
    <n v="0"/>
    <n v="0"/>
    <n v="0"/>
    <n v="0"/>
    <n v="0"/>
    <n v="0"/>
    <n v="0"/>
    <n v="0"/>
    <s v="MMR001CMP070"/>
    <x v="0"/>
    <x v="0"/>
    <s v="P3"/>
    <n v="0"/>
    <m/>
  </r>
  <r>
    <n v="23.266666666666666"/>
    <d v="2015-06-03T00:00:00"/>
    <x v="0"/>
    <s v="KBC"/>
    <s v="Kachin"/>
    <s v="Mansi"/>
    <s v="Maing Khaung"/>
    <m/>
    <m/>
    <m/>
    <n v="6"/>
    <n v="12"/>
    <n v="24"/>
    <n v="3"/>
    <m/>
    <n v="3"/>
    <n v="9"/>
    <m/>
    <m/>
    <m/>
    <m/>
    <n v="3"/>
    <m/>
    <m/>
    <n v="0"/>
    <n v="0"/>
    <n v="0"/>
    <n v="0"/>
    <n v="0"/>
    <n v="0"/>
    <n v="0"/>
    <n v="0"/>
    <n v="0"/>
    <n v="0"/>
    <n v="0"/>
    <n v="0"/>
    <n v="0"/>
    <n v="0"/>
    <n v="0"/>
    <n v="0"/>
    <n v="0"/>
    <n v="0"/>
    <s v="MMR001CMP218"/>
    <x v="0"/>
    <x v="0"/>
    <s v="P4"/>
    <n v="7.2205641667468946E-5"/>
    <s v="No"/>
  </r>
  <r>
    <n v="23.233333333333334"/>
    <d v="2015-06-04T00:00:00"/>
    <x v="1"/>
    <s v="Solidarities"/>
    <s v="Kachin"/>
    <s v="Momauk"/>
    <s v="Loi Je Baptist Church"/>
    <m/>
    <m/>
    <n v="54"/>
    <m/>
    <m/>
    <m/>
    <m/>
    <m/>
    <m/>
    <m/>
    <m/>
    <m/>
    <m/>
    <m/>
    <m/>
    <m/>
    <m/>
    <n v="0"/>
    <n v="0"/>
    <n v="0"/>
    <n v="0"/>
    <n v="0"/>
    <n v="0"/>
    <n v="0"/>
    <n v="0"/>
    <n v="0"/>
    <n v="0"/>
    <n v="0"/>
    <n v="0"/>
    <n v="0"/>
    <n v="0"/>
    <n v="0"/>
    <n v="0"/>
    <n v="0"/>
    <n v="0"/>
    <s v="MMR001CMP071"/>
    <x v="0"/>
    <x v="0"/>
    <s v="P3"/>
    <n v="0"/>
    <m/>
  </r>
  <r>
    <n v="23.233333333333334"/>
    <d v="2015-06-04T00:00:00"/>
    <x v="0"/>
    <s v="KBC"/>
    <s v="Kachin"/>
    <s v="Momauk"/>
    <s v="Loi Je Lisu Camp"/>
    <m/>
    <m/>
    <m/>
    <m/>
    <n v="88"/>
    <n v="27"/>
    <n v="9"/>
    <m/>
    <n v="9"/>
    <n v="48"/>
    <m/>
    <m/>
    <m/>
    <m/>
    <n v="9"/>
    <m/>
    <m/>
    <n v="0"/>
    <n v="0"/>
    <n v="0"/>
    <n v="0"/>
    <n v="0"/>
    <n v="0"/>
    <n v="0"/>
    <n v="0"/>
    <n v="0"/>
    <n v="0"/>
    <n v="0"/>
    <n v="0"/>
    <n v="0"/>
    <n v="0"/>
    <n v="0"/>
    <n v="0"/>
    <n v="0"/>
    <n v="0"/>
    <s v="MMR001CMP070"/>
    <x v="0"/>
    <x v="0"/>
    <s v="P3"/>
    <n v="2.1951219512195122E-4"/>
    <s v="No"/>
  </r>
  <r>
    <n v="23.233333333333334"/>
    <d v="2015-06-04T00:00:00"/>
    <x v="0"/>
    <s v="KBC"/>
    <s v="Kachin"/>
    <s v="Momauk"/>
    <s v="Momauk Baptist Church"/>
    <m/>
    <m/>
    <m/>
    <m/>
    <n v="80"/>
    <m/>
    <m/>
    <m/>
    <m/>
    <m/>
    <m/>
    <m/>
    <m/>
    <m/>
    <m/>
    <m/>
    <m/>
    <n v="0"/>
    <n v="0"/>
    <n v="0"/>
    <n v="0"/>
    <n v="0"/>
    <n v="0"/>
    <n v="0"/>
    <n v="0"/>
    <n v="0"/>
    <n v="0"/>
    <n v="0"/>
    <n v="0"/>
    <n v="0"/>
    <n v="0"/>
    <n v="0"/>
    <n v="0"/>
    <n v="0"/>
    <n v="0"/>
    <s v="MMR001CMP056"/>
    <x v="0"/>
    <x v="0"/>
    <s v="P4"/>
    <n v="0"/>
    <s v="No"/>
  </r>
  <r>
    <n v="23.233333333333334"/>
    <d v="2015-06-04T00:00:00"/>
    <x v="1"/>
    <s v="Solidarities"/>
    <s v="Kachin"/>
    <s v="Momauk"/>
    <s v="Nyaung Na Pin "/>
    <m/>
    <m/>
    <n v="87"/>
    <m/>
    <m/>
    <m/>
    <m/>
    <m/>
    <m/>
    <m/>
    <m/>
    <m/>
    <m/>
    <m/>
    <m/>
    <m/>
    <m/>
    <n v="0"/>
    <n v="0"/>
    <n v="0"/>
    <n v="0"/>
    <n v="0"/>
    <n v="0"/>
    <n v="0"/>
    <n v="0"/>
    <n v="0"/>
    <n v="0"/>
    <n v="0"/>
    <n v="0"/>
    <n v="0"/>
    <n v="0"/>
    <n v="0"/>
    <n v="0"/>
    <n v="0"/>
    <n v="0"/>
    <s v="MMR001CMP072"/>
    <x v="0"/>
    <x v="0"/>
    <s v="P3"/>
    <n v="0"/>
    <m/>
  </r>
  <r>
    <n v="23.233333333333334"/>
    <d v="2015-06-04T00:00:00"/>
    <x v="0"/>
    <s v="KBC"/>
    <s v="Kachin"/>
    <s v="Bhamo"/>
    <s v="Phan Khar Kone"/>
    <m/>
    <m/>
    <m/>
    <m/>
    <n v="37"/>
    <m/>
    <m/>
    <m/>
    <m/>
    <m/>
    <m/>
    <m/>
    <m/>
    <m/>
    <m/>
    <m/>
    <m/>
    <n v="0"/>
    <n v="0"/>
    <n v="0"/>
    <n v="0"/>
    <n v="0"/>
    <n v="0"/>
    <n v="0"/>
    <n v="0"/>
    <n v="0"/>
    <n v="0"/>
    <n v="0"/>
    <n v="0"/>
    <n v="0"/>
    <n v="0"/>
    <n v="0"/>
    <n v="0"/>
    <n v="0"/>
    <n v="0"/>
    <s v="MMR001CMP193"/>
    <x v="0"/>
    <x v="0"/>
    <s v="P4"/>
    <n v="0"/>
    <s v="No"/>
  </r>
  <r>
    <n v="23.233333333333334"/>
    <d v="2015-06-04T00:00:00"/>
    <x v="0"/>
    <s v="KBC"/>
    <s v="Kachin"/>
    <s v="Momauk"/>
    <s v="Seng Ja "/>
    <m/>
    <m/>
    <m/>
    <n v="18"/>
    <n v="35"/>
    <m/>
    <m/>
    <m/>
    <m/>
    <m/>
    <m/>
    <m/>
    <m/>
    <m/>
    <m/>
    <m/>
    <n v="8"/>
    <n v="0"/>
    <n v="0"/>
    <n v="0"/>
    <n v="0"/>
    <n v="0"/>
    <n v="0"/>
    <n v="0"/>
    <n v="0"/>
    <n v="0"/>
    <n v="0"/>
    <n v="0"/>
    <n v="0"/>
    <n v="0"/>
    <n v="0"/>
    <n v="0"/>
    <n v="0"/>
    <n v="0"/>
    <n v="0"/>
    <s v="MMR001CMP073"/>
    <x v="0"/>
    <x v="0"/>
    <s v="P3"/>
    <n v="0"/>
    <s v="No"/>
  </r>
  <r>
    <n v="23.233333333333334"/>
    <d v="2015-06-04T00:00:00"/>
    <x v="1"/>
    <s v="Solidarities"/>
    <s v="Kachin"/>
    <s v="Momauk"/>
    <s v="Seng Ja "/>
    <m/>
    <m/>
    <n v="73"/>
    <m/>
    <m/>
    <m/>
    <m/>
    <m/>
    <m/>
    <m/>
    <m/>
    <m/>
    <m/>
    <m/>
    <m/>
    <m/>
    <m/>
    <n v="0"/>
    <n v="0"/>
    <n v="0"/>
    <n v="0"/>
    <n v="0"/>
    <n v="0"/>
    <n v="0"/>
    <n v="0"/>
    <n v="0"/>
    <n v="0"/>
    <n v="0"/>
    <n v="0"/>
    <n v="0"/>
    <n v="0"/>
    <n v="0"/>
    <n v="0"/>
    <n v="0"/>
    <n v="0"/>
    <s v="MMR001CMP073"/>
    <x v="0"/>
    <x v="0"/>
    <s v="P3"/>
    <n v="0"/>
    <m/>
  </r>
  <r>
    <n v="22.4"/>
    <d v="2015-06-29T00:00:00"/>
    <x v="1"/>
    <s v="KBC"/>
    <s v="Kachin"/>
    <s v="Momauk"/>
    <s v="Je Yang Hka "/>
    <m/>
    <m/>
    <n v="2350"/>
    <m/>
    <m/>
    <m/>
    <m/>
    <m/>
    <m/>
    <m/>
    <m/>
    <m/>
    <m/>
    <m/>
    <m/>
    <m/>
    <m/>
    <n v="0"/>
    <n v="0"/>
    <n v="0"/>
    <n v="0"/>
    <n v="0"/>
    <n v="0"/>
    <n v="0"/>
    <n v="0"/>
    <n v="0"/>
    <n v="0"/>
    <n v="0"/>
    <n v="0"/>
    <n v="0"/>
    <n v="0"/>
    <n v="0"/>
    <n v="0"/>
    <n v="0"/>
    <n v="0"/>
    <s v="MMR001CMP121"/>
    <x v="0"/>
    <x v="0"/>
    <s v="P2"/>
    <n v="0"/>
    <m/>
  </r>
  <r>
    <n v="22.366666666666667"/>
    <d v="2015-06-30T00:00:00"/>
    <x v="1"/>
    <s v="Solidarities"/>
    <s v="Kachin"/>
    <s v="Bhamo"/>
    <s v="AD-2000 Tharthana Compound"/>
    <m/>
    <m/>
    <m/>
    <m/>
    <m/>
    <m/>
    <m/>
    <m/>
    <m/>
    <m/>
    <m/>
    <m/>
    <m/>
    <m/>
    <n v="3"/>
    <m/>
    <m/>
    <n v="0"/>
    <n v="0"/>
    <n v="0"/>
    <n v="0"/>
    <n v="0"/>
    <n v="0"/>
    <n v="0"/>
    <n v="0"/>
    <n v="0"/>
    <n v="0"/>
    <n v="0"/>
    <n v="0"/>
    <n v="0"/>
    <n v="0"/>
    <n v="0"/>
    <n v="0"/>
    <n v="0"/>
    <n v="0"/>
    <s v="MMR001CMP050"/>
    <x v="0"/>
    <x v="0"/>
    <s v="P4"/>
    <n v="0"/>
    <m/>
  </r>
  <r>
    <n v="22.366666666666667"/>
    <d v="2015-06-30T00:00:00"/>
    <x v="1"/>
    <s v="Solidarities"/>
    <s v="Kachin"/>
    <s v="Bhamo"/>
    <s v="Phan Khar Kone"/>
    <m/>
    <m/>
    <m/>
    <m/>
    <m/>
    <m/>
    <m/>
    <m/>
    <m/>
    <m/>
    <m/>
    <m/>
    <m/>
    <m/>
    <n v="5"/>
    <m/>
    <m/>
    <n v="0"/>
    <n v="0"/>
    <n v="0"/>
    <n v="0"/>
    <n v="0"/>
    <n v="0"/>
    <n v="0"/>
    <n v="0"/>
    <n v="0"/>
    <n v="0"/>
    <n v="0"/>
    <n v="0"/>
    <n v="0"/>
    <n v="0"/>
    <n v="0"/>
    <n v="0"/>
    <n v="0"/>
    <n v="0"/>
    <s v="MMR001CMP193"/>
    <x v="0"/>
    <x v="0"/>
    <s v="P4"/>
    <n v="0"/>
    <m/>
  </r>
  <r>
    <n v="21.666666666666668"/>
    <d v="2015-07-21T00:00:00"/>
    <x v="0"/>
    <s v="KBC"/>
    <s v="Kachin"/>
    <s v="Sumprabum"/>
    <s v="Sumprabum"/>
    <m/>
    <m/>
    <m/>
    <m/>
    <n v="250"/>
    <m/>
    <m/>
    <m/>
    <m/>
    <m/>
    <m/>
    <m/>
    <m/>
    <m/>
    <m/>
    <m/>
    <m/>
    <n v="0"/>
    <n v="0"/>
    <n v="0"/>
    <n v="0"/>
    <n v="0"/>
    <n v="0"/>
    <n v="0"/>
    <n v="0"/>
    <n v="0"/>
    <n v="0"/>
    <n v="0"/>
    <n v="0"/>
    <n v="0"/>
    <n v="0"/>
    <n v="0"/>
    <n v="0"/>
    <n v="0"/>
    <n v="0"/>
    <s v="MMR001CMP206"/>
    <x v="0"/>
    <x v="0"/>
    <s v="P4"/>
    <s v=""/>
    <s v="No"/>
  </r>
  <r>
    <n v="20.966666666666665"/>
    <d v="2015-08-11T00:00:00"/>
    <x v="0"/>
    <s v="KBC"/>
    <s v="Kachin"/>
    <s v="Mogaung"/>
    <s v="Kyun Taw Baptist Church "/>
    <m/>
    <m/>
    <m/>
    <n v="14"/>
    <n v="14"/>
    <m/>
    <m/>
    <m/>
    <m/>
    <m/>
    <m/>
    <m/>
    <m/>
    <m/>
    <m/>
    <m/>
    <m/>
    <n v="0"/>
    <n v="0"/>
    <n v="0"/>
    <n v="0"/>
    <n v="0"/>
    <n v="0"/>
    <n v="0"/>
    <n v="0"/>
    <n v="0"/>
    <n v="0"/>
    <n v="0"/>
    <n v="0"/>
    <n v="0"/>
    <n v="0"/>
    <n v="0"/>
    <n v="0"/>
    <n v="0"/>
    <n v="0"/>
    <s v="MMR001CMP078"/>
    <x v="0"/>
    <x v="0"/>
    <s v="P4"/>
    <n v="0"/>
    <s v="No"/>
  </r>
  <r>
    <n v="20.966666666666665"/>
    <d v="2015-08-11T00:00:00"/>
    <x v="0"/>
    <s v="Shalom"/>
    <s v="Kachin"/>
    <s v="Myitkyina"/>
    <s v="Tat Kone Emanuel Church"/>
    <m/>
    <m/>
    <m/>
    <n v="6"/>
    <n v="4"/>
    <n v="6"/>
    <n v="4"/>
    <m/>
    <n v="4"/>
    <n v="10"/>
    <m/>
    <m/>
    <m/>
    <m/>
    <n v="4"/>
    <m/>
    <m/>
    <n v="0"/>
    <n v="0"/>
    <n v="0"/>
    <n v="0"/>
    <n v="0"/>
    <n v="0"/>
    <n v="0"/>
    <n v="0"/>
    <n v="0"/>
    <n v="0"/>
    <n v="0"/>
    <n v="0"/>
    <n v="0"/>
    <n v="0"/>
    <n v="0"/>
    <n v="0"/>
    <n v="0"/>
    <n v="0"/>
    <s v="MMR001CMP004"/>
    <x v="0"/>
    <x v="0"/>
    <s v="P4"/>
    <n v="9.814505839630975E-5"/>
    <s v="No"/>
  </r>
  <r>
    <n v="19.7"/>
    <d v="2015-09-18T00:00:00"/>
    <x v="0"/>
    <s v="KMSS"/>
    <s v="Kachin"/>
    <s v="Myitkyina"/>
    <s v="Pa Dauk Myaing(Pa La Na)"/>
    <m/>
    <n v="11"/>
    <n v="11"/>
    <n v="21"/>
    <n v="16"/>
    <n v="21"/>
    <n v="11"/>
    <m/>
    <n v="11"/>
    <n v="42"/>
    <m/>
    <m/>
    <m/>
    <m/>
    <n v="11"/>
    <m/>
    <n v="6"/>
    <n v="0"/>
    <n v="0"/>
    <n v="0"/>
    <n v="0"/>
    <n v="0"/>
    <n v="0"/>
    <n v="0"/>
    <n v="0"/>
    <n v="0"/>
    <n v="0"/>
    <n v="0"/>
    <n v="0"/>
    <n v="0"/>
    <n v="0"/>
    <n v="0"/>
    <n v="0"/>
    <n v="0"/>
    <n v="0"/>
    <s v="MMR001CMP162"/>
    <x v="0"/>
    <x v="0"/>
    <s v="P4"/>
    <n v="2.667054601881486E-4"/>
    <s v="No"/>
  </r>
  <r>
    <n v="19.600000000000001"/>
    <d v="2015-09-21T00:00:00"/>
    <x v="0"/>
    <s v="KMSS"/>
    <s v="Kachin"/>
    <s v="Waingmaw"/>
    <s v="Maina Catholic Church (St. Joseph)"/>
    <m/>
    <m/>
    <m/>
    <n v="41"/>
    <n v="16"/>
    <n v="41"/>
    <n v="16"/>
    <m/>
    <n v="16"/>
    <n v="80"/>
    <m/>
    <m/>
    <m/>
    <m/>
    <n v="16"/>
    <m/>
    <m/>
    <n v="0"/>
    <n v="0"/>
    <n v="0"/>
    <n v="0"/>
    <n v="0"/>
    <n v="0"/>
    <n v="0"/>
    <n v="0"/>
    <n v="0"/>
    <n v="0"/>
    <n v="0"/>
    <n v="0"/>
    <n v="0"/>
    <n v="0"/>
    <n v="0"/>
    <n v="0"/>
    <n v="0"/>
    <n v="0"/>
    <s v="MMR001CMP029"/>
    <x v="0"/>
    <x v="0"/>
    <s v="P4"/>
    <n v="3.8623086950224499E-4"/>
    <s v="No"/>
  </r>
  <r>
    <n v="17.466666666666665"/>
    <d v="2015-11-24T00:00:00"/>
    <x v="0"/>
    <s v="KMSS"/>
    <s v="Kachin"/>
    <s v="Myitkyina"/>
    <s v="Pa Dauk Myaing(Pa La Na)"/>
    <m/>
    <m/>
    <m/>
    <m/>
    <m/>
    <m/>
    <m/>
    <m/>
    <m/>
    <m/>
    <m/>
    <m/>
    <m/>
    <n v="50"/>
    <m/>
    <m/>
    <m/>
    <n v="0"/>
    <n v="0"/>
    <n v="0"/>
    <n v="0"/>
    <n v="0"/>
    <n v="0"/>
    <n v="0"/>
    <n v="0"/>
    <n v="0"/>
    <n v="0"/>
    <n v="0"/>
    <n v="0"/>
    <n v="0"/>
    <n v="0"/>
    <n v="1"/>
    <n v="0"/>
    <n v="0"/>
    <n v="0"/>
    <s v="MMR001CMP162"/>
    <x v="0"/>
    <x v="0"/>
    <s v="P4"/>
    <n v="0"/>
    <s v="No"/>
  </r>
  <r>
    <n v="22.366666666666667"/>
    <d v="2015-06-30T00:00:00"/>
    <x v="1"/>
    <s v="Solidarities"/>
    <s v="Kachin"/>
    <s v="Momauk"/>
    <s v="Edin"/>
    <m/>
    <m/>
    <m/>
    <m/>
    <m/>
    <m/>
    <m/>
    <m/>
    <m/>
    <m/>
    <m/>
    <m/>
    <m/>
    <m/>
    <n v="2"/>
    <m/>
    <m/>
    <n v="0"/>
    <n v="0"/>
    <n v="0"/>
    <n v="0"/>
    <n v="0"/>
    <n v="0"/>
    <n v="0"/>
    <n v="0"/>
    <n v="0"/>
    <n v="0"/>
    <n v="0"/>
    <n v="0"/>
    <n v="0"/>
    <n v="0"/>
    <n v="0"/>
    <n v="0"/>
    <n v="0"/>
    <n v="0"/>
    <s v=""/>
    <x v="1"/>
    <x v="2"/>
    <s v=""/>
    <s v=""/>
    <m/>
  </r>
  <r>
    <n v="22.366666666666667"/>
    <d v="2015-06-30T00:00:00"/>
    <x v="1"/>
    <s v="Solidarities"/>
    <s v="Kachin"/>
    <s v="Waingmaw"/>
    <s v="Laiza Market 3 - Laiza Gat"/>
    <m/>
    <m/>
    <n v="825"/>
    <m/>
    <m/>
    <m/>
    <m/>
    <m/>
    <m/>
    <m/>
    <m/>
    <m/>
    <m/>
    <m/>
    <m/>
    <m/>
    <m/>
    <n v="0"/>
    <n v="0"/>
    <n v="0"/>
    <n v="0"/>
    <n v="0"/>
    <n v="0"/>
    <n v="0"/>
    <n v="0"/>
    <n v="0"/>
    <n v="0"/>
    <n v="0"/>
    <n v="0"/>
    <n v="0"/>
    <n v="0"/>
    <n v="0"/>
    <n v="0"/>
    <n v="0"/>
    <n v="0"/>
    <s v="MMR001CMP117"/>
    <x v="0"/>
    <x v="1"/>
    <s v="P2"/>
    <n v="0"/>
    <m/>
  </r>
  <r>
    <n v="17.433333333333334"/>
    <d v="2015-11-25T00:00:00"/>
    <x v="0"/>
    <s v="KBC"/>
    <s v="Kachin"/>
    <s v="Shwegu"/>
    <s v="Shwe Gu Baptist Church"/>
    <m/>
    <m/>
    <m/>
    <m/>
    <n v="4"/>
    <n v="16"/>
    <n v="4"/>
    <m/>
    <n v="4"/>
    <n v="23"/>
    <m/>
    <m/>
    <m/>
    <m/>
    <n v="7"/>
    <m/>
    <m/>
    <n v="0"/>
    <n v="0"/>
    <n v="0"/>
    <n v="0"/>
    <n v="0"/>
    <n v="0"/>
    <n v="0"/>
    <n v="0"/>
    <n v="0"/>
    <n v="0"/>
    <n v="0"/>
    <n v="0"/>
    <n v="0"/>
    <n v="0"/>
    <n v="0"/>
    <n v="0"/>
    <n v="0"/>
    <n v="0"/>
    <s v="MMR001CMP067"/>
    <x v="0"/>
    <x v="0"/>
    <s v="P4"/>
    <n v="9.8219766728054015E-5"/>
    <s v="No"/>
  </r>
  <r>
    <n v="17.433333333333334"/>
    <d v="2015-11-25T00:00:00"/>
    <x v="0"/>
    <s v="KBC"/>
    <s v="Kachin"/>
    <s v="Shwegu"/>
    <s v="Shwe Gu Catholic Church"/>
    <m/>
    <m/>
    <m/>
    <m/>
    <n v="4"/>
    <n v="12"/>
    <n v="3"/>
    <m/>
    <n v="4"/>
    <n v="14"/>
    <m/>
    <m/>
    <m/>
    <m/>
    <n v="4"/>
    <m/>
    <m/>
    <n v="0"/>
    <n v="0"/>
    <n v="0"/>
    <n v="0"/>
    <n v="0"/>
    <n v="0"/>
    <n v="0"/>
    <n v="0"/>
    <n v="0"/>
    <n v="0"/>
    <n v="0"/>
    <n v="0"/>
    <n v="0"/>
    <n v="0"/>
    <n v="0"/>
    <n v="0"/>
    <n v="0"/>
    <n v="0"/>
    <s v="MMR001CMP068"/>
    <x v="0"/>
    <x v="0"/>
    <s v="P4"/>
    <n v="7.3664825046040511E-5"/>
    <s v="No"/>
  </r>
  <r>
    <n v="17.366666666666667"/>
    <d v="2015-11-27T00:00:00"/>
    <x v="0"/>
    <s v="KBC"/>
    <s v="Kachin"/>
    <s v="Shwegu"/>
    <s v="Shwe Gu Baptist Church"/>
    <m/>
    <m/>
    <m/>
    <m/>
    <n v="9"/>
    <n v="23"/>
    <n v="10"/>
    <m/>
    <n v="8"/>
    <n v="24"/>
    <m/>
    <m/>
    <m/>
    <m/>
    <n v="6"/>
    <m/>
    <m/>
    <n v="0"/>
    <n v="0"/>
    <n v="0"/>
    <n v="0"/>
    <n v="0"/>
    <n v="0"/>
    <n v="0"/>
    <n v="0"/>
    <n v="0"/>
    <n v="0"/>
    <n v="0"/>
    <n v="0"/>
    <n v="0"/>
    <n v="0"/>
    <n v="0"/>
    <n v="0"/>
    <n v="0"/>
    <n v="0"/>
    <s v="MMR001CMP067"/>
    <x v="0"/>
    <x v="0"/>
    <s v="P4"/>
    <n v="2.4554941682013506E-4"/>
    <s v="No"/>
  </r>
  <r>
    <n v="17.133333333333333"/>
    <d v="2015-12-04T00:00:00"/>
    <x v="1"/>
    <s v="Solidarities"/>
    <s v="Kachin"/>
    <s v="Bhamo"/>
    <s v="Phan Khar Kone"/>
    <m/>
    <m/>
    <m/>
    <m/>
    <m/>
    <m/>
    <m/>
    <m/>
    <m/>
    <m/>
    <m/>
    <m/>
    <m/>
    <m/>
    <n v="5"/>
    <m/>
    <m/>
    <n v="0"/>
    <n v="0"/>
    <n v="0"/>
    <n v="0"/>
    <n v="0"/>
    <n v="0"/>
    <n v="0"/>
    <n v="0"/>
    <n v="0"/>
    <n v="0"/>
    <n v="0"/>
    <n v="0"/>
    <n v="0"/>
    <n v="0"/>
    <n v="0"/>
    <n v="0"/>
    <n v="0"/>
    <n v="0"/>
    <s v="MMR001CMP193"/>
    <x v="0"/>
    <x v="0"/>
    <s v="P4"/>
    <n v="0"/>
    <m/>
  </r>
  <r>
    <n v="16.899999999999999"/>
    <d v="2015-12-11T00:00:00"/>
    <x v="0"/>
    <s v="Shalom"/>
    <s v="Kachin"/>
    <s v="Myitkyina"/>
    <s v="Tat Kone Emanuel Church"/>
    <m/>
    <m/>
    <m/>
    <m/>
    <m/>
    <m/>
    <m/>
    <m/>
    <m/>
    <m/>
    <m/>
    <m/>
    <m/>
    <n v="11"/>
    <m/>
    <m/>
    <m/>
    <n v="0"/>
    <n v="0"/>
    <n v="0"/>
    <n v="0"/>
    <n v="0"/>
    <n v="0"/>
    <n v="0"/>
    <n v="0"/>
    <n v="0"/>
    <n v="0"/>
    <n v="0"/>
    <n v="0"/>
    <n v="0"/>
    <n v="0"/>
    <n v="1"/>
    <n v="0"/>
    <n v="0"/>
    <n v="0"/>
    <s v="MMR001CMP004"/>
    <x v="0"/>
    <x v="0"/>
    <s v="P4"/>
    <n v="0"/>
    <s v="No"/>
  </r>
  <r>
    <n v="20.433333333333334"/>
    <d v="2015-08-27T00:00:00"/>
    <x v="0"/>
    <s v="KBC"/>
    <s v="Kachin"/>
    <s v="Myitkyina"/>
    <m/>
    <m/>
    <m/>
    <m/>
    <m/>
    <m/>
    <m/>
    <m/>
    <m/>
    <m/>
    <m/>
    <m/>
    <m/>
    <m/>
    <m/>
    <m/>
    <n v="10"/>
    <m/>
    <n v="0"/>
    <n v="0"/>
    <n v="0"/>
    <n v="0"/>
    <n v="0"/>
    <n v="0"/>
    <n v="0"/>
    <n v="0"/>
    <n v="0"/>
    <n v="0"/>
    <n v="0"/>
    <n v="0"/>
    <n v="0"/>
    <n v="0"/>
    <n v="0"/>
    <n v="0"/>
    <n v="0"/>
    <n v="0"/>
    <s v=""/>
    <x v="1"/>
    <x v="2"/>
    <s v=""/>
    <s v=""/>
    <s v="No"/>
  </r>
  <r>
    <n v="20.433333333333334"/>
    <d v="2015-08-27T00:00:00"/>
    <x v="0"/>
    <s v="KMSS-MKN"/>
    <s v="Kachin"/>
    <s v="Myitkyina"/>
    <m/>
    <m/>
    <m/>
    <m/>
    <m/>
    <m/>
    <m/>
    <m/>
    <m/>
    <m/>
    <m/>
    <m/>
    <m/>
    <m/>
    <m/>
    <m/>
    <n v="7"/>
    <m/>
    <n v="0"/>
    <n v="0"/>
    <n v="0"/>
    <n v="0"/>
    <n v="0"/>
    <n v="0"/>
    <n v="0"/>
    <n v="0"/>
    <n v="0"/>
    <n v="0"/>
    <n v="0"/>
    <n v="0"/>
    <n v="0"/>
    <n v="0"/>
    <n v="0"/>
    <n v="0"/>
    <n v="0"/>
    <n v="0"/>
    <s v=""/>
    <x v="1"/>
    <x v="2"/>
    <s v=""/>
    <s v=""/>
    <s v="No"/>
  </r>
  <r>
    <n v="20.433333333333334"/>
    <d v="2015-08-27T00:00:00"/>
    <x v="0"/>
    <s v="Shalom"/>
    <s v="Kachin"/>
    <s v="Myitkyina"/>
    <m/>
    <m/>
    <m/>
    <m/>
    <m/>
    <m/>
    <m/>
    <m/>
    <m/>
    <m/>
    <m/>
    <m/>
    <m/>
    <m/>
    <m/>
    <m/>
    <n v="8"/>
    <m/>
    <n v="0"/>
    <n v="0"/>
    <n v="0"/>
    <n v="0"/>
    <n v="0"/>
    <n v="0"/>
    <n v="0"/>
    <n v="0"/>
    <n v="0"/>
    <n v="0"/>
    <n v="0"/>
    <n v="0"/>
    <n v="0"/>
    <n v="0"/>
    <n v="0"/>
    <n v="0"/>
    <n v="0"/>
    <n v="0"/>
    <s v=""/>
    <x v="1"/>
    <x v="2"/>
    <s v=""/>
    <s v=""/>
    <s v="No"/>
  </r>
  <r>
    <n v="16.8"/>
    <d v="2015-12-14T00:00:00"/>
    <x v="1"/>
    <s v="Solidarities"/>
    <s v="Kachin"/>
    <s v="Bhamo"/>
    <s v="Robert Church"/>
    <m/>
    <m/>
    <m/>
    <m/>
    <m/>
    <m/>
    <m/>
    <m/>
    <m/>
    <m/>
    <m/>
    <m/>
    <m/>
    <m/>
    <n v="2"/>
    <m/>
    <m/>
    <n v="0"/>
    <n v="0"/>
    <n v="0"/>
    <n v="0"/>
    <n v="0"/>
    <n v="0"/>
    <n v="0"/>
    <n v="0"/>
    <n v="0"/>
    <n v="0"/>
    <n v="0"/>
    <n v="0"/>
    <n v="0"/>
    <n v="0"/>
    <n v="0"/>
    <n v="0"/>
    <n v="0"/>
    <n v="0"/>
    <s v="MMR001CMP047"/>
    <x v="0"/>
    <x v="0"/>
    <s v="P4"/>
    <n v="0"/>
    <m/>
  </r>
  <r>
    <n v="19.600000000000001"/>
    <d v="2015-09-21T00:00:00"/>
    <x v="0"/>
    <s v="KMSS-MKN"/>
    <s v="Kachin"/>
    <s v="Myitkyina"/>
    <m/>
    <m/>
    <m/>
    <m/>
    <m/>
    <m/>
    <m/>
    <m/>
    <m/>
    <m/>
    <m/>
    <m/>
    <m/>
    <m/>
    <m/>
    <m/>
    <m/>
    <m/>
    <n v="0"/>
    <n v="0"/>
    <n v="0"/>
    <n v="0"/>
    <n v="0"/>
    <n v="0"/>
    <n v="0"/>
    <n v="0"/>
    <n v="0"/>
    <n v="0"/>
    <n v="0"/>
    <n v="0"/>
    <n v="0"/>
    <n v="0"/>
    <n v="0"/>
    <n v="0"/>
    <n v="0"/>
    <n v="0"/>
    <s v=""/>
    <x v="1"/>
    <x v="2"/>
    <s v=""/>
    <s v=""/>
    <s v="No"/>
  </r>
  <r>
    <n v="16.766666666666666"/>
    <d v="2015-12-15T00:00:00"/>
    <x v="1"/>
    <s v="Solidarities"/>
    <s v="Kachin"/>
    <s v="Momauk"/>
    <s v="Loi Je Baptist Church"/>
    <m/>
    <m/>
    <m/>
    <m/>
    <m/>
    <m/>
    <m/>
    <m/>
    <m/>
    <m/>
    <m/>
    <m/>
    <m/>
    <m/>
    <m/>
    <n v="3"/>
    <m/>
    <n v="0"/>
    <n v="0"/>
    <n v="0"/>
    <n v="0"/>
    <n v="0"/>
    <n v="0"/>
    <n v="0"/>
    <n v="0"/>
    <n v="0"/>
    <n v="0"/>
    <n v="0"/>
    <n v="0"/>
    <n v="0"/>
    <n v="0"/>
    <n v="0"/>
    <n v="0"/>
    <n v="0"/>
    <n v="0"/>
    <s v="MMR001CMP071"/>
    <x v="0"/>
    <x v="0"/>
    <s v="P3"/>
    <n v="0"/>
    <m/>
  </r>
  <r>
    <n v="19.566666666666666"/>
    <d v="2015-09-22T00:00:00"/>
    <x v="0"/>
    <s v="KBC"/>
    <s v="Kachin"/>
    <s v="Mansi"/>
    <s v="Mai hkawng Camp (RC +KBC)"/>
    <m/>
    <m/>
    <n v="145"/>
    <n v="132"/>
    <n v="66"/>
    <n v="132"/>
    <n v="66"/>
    <m/>
    <n v="66"/>
    <n v="243"/>
    <m/>
    <m/>
    <m/>
    <m/>
    <n v="66"/>
    <m/>
    <m/>
    <n v="0"/>
    <n v="0"/>
    <n v="0"/>
    <n v="0"/>
    <n v="0"/>
    <n v="0"/>
    <n v="0"/>
    <n v="0"/>
    <n v="0"/>
    <n v="0"/>
    <n v="0"/>
    <n v="0"/>
    <n v="0"/>
    <n v="0"/>
    <n v="0"/>
    <n v="0"/>
    <n v="0"/>
    <n v="0"/>
    <s v=""/>
    <x v="1"/>
    <x v="2"/>
    <s v=""/>
    <s v=""/>
    <s v="No"/>
  </r>
  <r>
    <n v="19.266666666666666"/>
    <d v="2015-10-01T00:00:00"/>
    <x v="0"/>
    <s v="KBC"/>
    <s v="Kachin"/>
    <s v="Mansi"/>
    <s v="Mai hkawng Camp (RC +KBC)"/>
    <m/>
    <n v="77"/>
    <n v="232"/>
    <n v="200"/>
    <n v="89"/>
    <n v="200"/>
    <n v="119"/>
    <m/>
    <n v="119"/>
    <n v="345"/>
    <m/>
    <m/>
    <m/>
    <m/>
    <n v="119"/>
    <m/>
    <n v="45"/>
    <n v="0"/>
    <n v="0"/>
    <n v="0"/>
    <n v="0"/>
    <n v="0"/>
    <n v="0"/>
    <n v="0"/>
    <n v="0"/>
    <n v="0"/>
    <n v="0"/>
    <n v="0"/>
    <n v="0"/>
    <n v="0"/>
    <n v="0"/>
    <n v="0"/>
    <n v="0"/>
    <n v="0"/>
    <n v="0"/>
    <s v=""/>
    <x v="1"/>
    <x v="2"/>
    <s v=""/>
    <s v=""/>
    <s v="No"/>
  </r>
  <r>
    <n v="18.2"/>
    <d v="2015-11-02T00:00:00"/>
    <x v="0"/>
    <s v="KBC"/>
    <s v="Kachin"/>
    <s v="Mansi"/>
    <s v="Mai hkawng Camp (RC +KBC)"/>
    <m/>
    <m/>
    <n v="223"/>
    <m/>
    <n v="30"/>
    <m/>
    <m/>
    <m/>
    <m/>
    <n v="337"/>
    <m/>
    <m/>
    <m/>
    <m/>
    <m/>
    <m/>
    <m/>
    <n v="0"/>
    <n v="0"/>
    <n v="0"/>
    <n v="0"/>
    <n v="0"/>
    <n v="0"/>
    <n v="0"/>
    <n v="0"/>
    <n v="0"/>
    <n v="0"/>
    <n v="0"/>
    <n v="0"/>
    <n v="0"/>
    <n v="0"/>
    <n v="0"/>
    <n v="0"/>
    <n v="0"/>
    <n v="0"/>
    <s v=""/>
    <x v="1"/>
    <x v="2"/>
    <s v=""/>
    <s v=""/>
    <s v="No"/>
  </r>
  <r>
    <n v="16.766666666666666"/>
    <d v="2015-12-15T00:00:00"/>
    <x v="1"/>
    <s v="Solidarities"/>
    <s v="Kachin"/>
    <s v="Momauk"/>
    <s v="Loi Je Baptist Church"/>
    <m/>
    <m/>
    <m/>
    <m/>
    <m/>
    <m/>
    <m/>
    <m/>
    <m/>
    <m/>
    <m/>
    <m/>
    <m/>
    <m/>
    <m/>
    <m/>
    <m/>
    <n v="0"/>
    <n v="0"/>
    <n v="0"/>
    <n v="0"/>
    <n v="0"/>
    <n v="0"/>
    <n v="0"/>
    <n v="0"/>
    <n v="0"/>
    <n v="0"/>
    <n v="0"/>
    <n v="0"/>
    <n v="0"/>
    <n v="0"/>
    <n v="0"/>
    <n v="0"/>
    <n v="0"/>
    <n v="0"/>
    <s v="MMR001CMP071"/>
    <x v="0"/>
    <x v="0"/>
    <s v="P3"/>
    <n v="0"/>
    <m/>
  </r>
  <r>
    <n v="16.766666666666666"/>
    <d v="2015-12-15T00:00:00"/>
    <x v="1"/>
    <s v="Solidarities"/>
    <s v="Kachin"/>
    <s v="Momauk"/>
    <s v="Loi Je Catholic Church"/>
    <m/>
    <m/>
    <m/>
    <m/>
    <m/>
    <m/>
    <m/>
    <m/>
    <m/>
    <m/>
    <m/>
    <m/>
    <m/>
    <m/>
    <m/>
    <n v="20"/>
    <m/>
    <n v="0"/>
    <n v="0"/>
    <n v="0"/>
    <n v="0"/>
    <n v="0"/>
    <n v="0"/>
    <n v="0"/>
    <n v="0"/>
    <n v="0"/>
    <n v="0"/>
    <n v="0"/>
    <n v="0"/>
    <n v="0"/>
    <n v="0"/>
    <n v="0"/>
    <n v="0"/>
    <n v="0"/>
    <n v="0"/>
    <s v="MMR001CMP069"/>
    <x v="0"/>
    <x v="0"/>
    <s v="P3"/>
    <n v="0"/>
    <m/>
  </r>
  <r>
    <n v="16.766666666666666"/>
    <d v="2015-12-15T00:00:00"/>
    <x v="1"/>
    <s v="Solidarities"/>
    <s v="Kachin"/>
    <s v="Momauk"/>
    <s v="Loi Je Lisu Camp"/>
    <m/>
    <m/>
    <m/>
    <m/>
    <m/>
    <m/>
    <m/>
    <m/>
    <m/>
    <m/>
    <m/>
    <m/>
    <m/>
    <m/>
    <m/>
    <n v="14"/>
    <m/>
    <n v="0"/>
    <n v="0"/>
    <n v="0"/>
    <n v="0"/>
    <n v="0"/>
    <n v="0"/>
    <n v="0"/>
    <n v="0"/>
    <n v="0"/>
    <n v="0"/>
    <n v="0"/>
    <n v="0"/>
    <n v="0"/>
    <n v="0"/>
    <n v="0"/>
    <n v="0"/>
    <n v="0"/>
    <n v="0"/>
    <s v="MMR001CMP070"/>
    <x v="0"/>
    <x v="0"/>
    <s v="P3"/>
    <n v="0"/>
    <m/>
  </r>
  <r>
    <n v="16.766666666666666"/>
    <d v="2015-12-15T00:00:00"/>
    <x v="0"/>
    <s v="KBC"/>
    <s v="Kachin"/>
    <s v="Myitkyina"/>
    <s v="Man Hkring Baptist Church"/>
    <m/>
    <m/>
    <m/>
    <n v="7"/>
    <n v="7"/>
    <m/>
    <n v="7"/>
    <m/>
    <n v="7"/>
    <n v="27"/>
    <m/>
    <m/>
    <m/>
    <n v="27"/>
    <n v="7"/>
    <m/>
    <m/>
    <n v="0"/>
    <n v="0"/>
    <n v="0"/>
    <n v="0"/>
    <n v="0"/>
    <n v="0"/>
    <n v="0"/>
    <n v="0"/>
    <n v="0"/>
    <n v="0"/>
    <n v="0"/>
    <n v="0"/>
    <n v="0"/>
    <n v="0"/>
    <n v="1"/>
    <n v="0"/>
    <n v="0"/>
    <n v="0"/>
    <s v="MMR001CMP008"/>
    <x v="0"/>
    <x v="0"/>
    <s v="P4"/>
    <n v="1.7188459177409454E-4"/>
    <s v="No"/>
  </r>
  <r>
    <n v="17.233333333333334"/>
    <d v="2015-12-01T00:00:00"/>
    <x v="1"/>
    <s v="Solidarities"/>
    <s v="Kachin"/>
    <s v="Momauk"/>
    <s v="Loi Je B.E.H.S"/>
    <m/>
    <m/>
    <m/>
    <m/>
    <m/>
    <m/>
    <m/>
    <m/>
    <m/>
    <m/>
    <m/>
    <m/>
    <m/>
    <m/>
    <n v="44"/>
    <m/>
    <m/>
    <n v="0"/>
    <n v="0"/>
    <n v="0"/>
    <n v="0"/>
    <n v="0"/>
    <n v="0"/>
    <n v="0"/>
    <n v="0"/>
    <n v="0"/>
    <n v="0"/>
    <n v="0"/>
    <n v="0"/>
    <n v="0"/>
    <n v="0"/>
    <n v="0"/>
    <n v="0"/>
    <n v="0"/>
    <n v="0"/>
    <s v=""/>
    <x v="1"/>
    <x v="2"/>
    <s v=""/>
    <s v=""/>
    <m/>
  </r>
  <r>
    <n v="17.133333333333333"/>
    <d v="2015-12-04T00:00:00"/>
    <x v="1"/>
    <s v="Solidarities"/>
    <s v="Kachin"/>
    <s v="Momauk"/>
    <s v="Edin"/>
    <m/>
    <m/>
    <m/>
    <m/>
    <m/>
    <m/>
    <m/>
    <m/>
    <m/>
    <m/>
    <m/>
    <m/>
    <m/>
    <m/>
    <n v="1"/>
    <m/>
    <m/>
    <n v="0"/>
    <n v="0"/>
    <n v="0"/>
    <n v="0"/>
    <n v="0"/>
    <n v="0"/>
    <n v="0"/>
    <n v="0"/>
    <n v="0"/>
    <n v="0"/>
    <n v="0"/>
    <n v="0"/>
    <n v="0"/>
    <n v="0"/>
    <n v="0"/>
    <n v="0"/>
    <n v="0"/>
    <n v="0"/>
    <s v=""/>
    <x v="1"/>
    <x v="2"/>
    <s v=""/>
    <s v=""/>
    <m/>
  </r>
  <r>
    <n v="16.766666666666666"/>
    <d v="2015-12-15T00:00:00"/>
    <x v="1"/>
    <s v="Solidarities"/>
    <s v="Kachin"/>
    <s v="Momauk"/>
    <s v="Nyaung Na Pin "/>
    <m/>
    <m/>
    <m/>
    <m/>
    <m/>
    <m/>
    <m/>
    <m/>
    <m/>
    <m/>
    <m/>
    <m/>
    <m/>
    <m/>
    <m/>
    <n v="5"/>
    <m/>
    <n v="0"/>
    <n v="0"/>
    <n v="0"/>
    <n v="0"/>
    <n v="0"/>
    <n v="0"/>
    <n v="0"/>
    <n v="0"/>
    <n v="0"/>
    <n v="0"/>
    <n v="0"/>
    <n v="0"/>
    <n v="0"/>
    <n v="0"/>
    <n v="0"/>
    <n v="0"/>
    <n v="0"/>
    <n v="0"/>
    <s v="MMR001CMP072"/>
    <x v="0"/>
    <x v="0"/>
    <s v="P3"/>
    <n v="0"/>
    <m/>
  </r>
  <r>
    <n v="16.766666666666666"/>
    <d v="2015-12-15T00:00:00"/>
    <x v="1"/>
    <s v="Solidarities"/>
    <s v="Kachin"/>
    <s v="Momauk"/>
    <s v="Seng Ja "/>
    <m/>
    <m/>
    <m/>
    <m/>
    <m/>
    <m/>
    <m/>
    <m/>
    <m/>
    <m/>
    <m/>
    <m/>
    <m/>
    <m/>
    <m/>
    <n v="4"/>
    <m/>
    <n v="0"/>
    <n v="0"/>
    <n v="0"/>
    <n v="0"/>
    <n v="0"/>
    <n v="0"/>
    <n v="0"/>
    <n v="0"/>
    <n v="0"/>
    <n v="0"/>
    <n v="0"/>
    <n v="0"/>
    <n v="0"/>
    <n v="0"/>
    <n v="0"/>
    <n v="0"/>
    <n v="0"/>
    <n v="0"/>
    <s v="MMR001CMP073"/>
    <x v="0"/>
    <x v="0"/>
    <s v="P3"/>
    <n v="0"/>
    <m/>
  </r>
  <r>
    <n v="16.7"/>
    <d v="2015-12-17T00:00:00"/>
    <x v="1"/>
    <s v="Solidarities"/>
    <s v="Kachin"/>
    <s v="Bhamo"/>
    <s v="AD-2000 Tharthana Compound"/>
    <m/>
    <m/>
    <m/>
    <m/>
    <m/>
    <m/>
    <m/>
    <m/>
    <m/>
    <m/>
    <m/>
    <m/>
    <m/>
    <m/>
    <m/>
    <n v="38"/>
    <m/>
    <n v="0"/>
    <n v="0"/>
    <n v="0"/>
    <n v="0"/>
    <n v="0"/>
    <n v="0"/>
    <n v="0"/>
    <n v="0"/>
    <n v="0"/>
    <n v="0"/>
    <n v="0"/>
    <n v="0"/>
    <n v="0"/>
    <n v="0"/>
    <n v="0"/>
    <n v="0"/>
    <n v="0"/>
    <n v="0"/>
    <s v="MMR001CMP050"/>
    <x v="0"/>
    <x v="0"/>
    <s v="P4"/>
    <n v="0"/>
    <m/>
  </r>
  <r>
    <n v="16.7"/>
    <d v="2015-12-17T00:00:00"/>
    <x v="1"/>
    <s v="Solidarities"/>
    <s v="Kachin"/>
    <s v="Bhamo"/>
    <s v="Robert Church"/>
    <m/>
    <m/>
    <m/>
    <m/>
    <m/>
    <m/>
    <m/>
    <m/>
    <m/>
    <m/>
    <m/>
    <m/>
    <m/>
    <m/>
    <m/>
    <n v="76"/>
    <m/>
    <n v="0"/>
    <n v="0"/>
    <n v="0"/>
    <n v="0"/>
    <n v="0"/>
    <n v="0"/>
    <n v="0"/>
    <n v="0"/>
    <n v="0"/>
    <n v="0"/>
    <n v="0"/>
    <n v="0"/>
    <n v="0"/>
    <n v="0"/>
    <n v="0"/>
    <n v="0"/>
    <n v="0"/>
    <n v="0"/>
    <s v="MMR001CMP047"/>
    <x v="0"/>
    <x v="0"/>
    <s v="P4"/>
    <n v="0"/>
    <m/>
  </r>
  <r>
    <n v="16.666666666666668"/>
    <d v="2015-12-18T00:00:00"/>
    <x v="1"/>
    <s v="Solidarities"/>
    <s v="Kachin"/>
    <s v="Bhamo"/>
    <s v="Phan Khar Kone"/>
    <m/>
    <m/>
    <m/>
    <m/>
    <m/>
    <m/>
    <m/>
    <m/>
    <m/>
    <m/>
    <m/>
    <m/>
    <m/>
    <m/>
    <m/>
    <n v="24"/>
    <m/>
    <n v="0"/>
    <n v="0"/>
    <n v="0"/>
    <n v="0"/>
    <n v="0"/>
    <n v="0"/>
    <n v="0"/>
    <n v="0"/>
    <n v="0"/>
    <n v="0"/>
    <n v="0"/>
    <n v="0"/>
    <n v="0"/>
    <n v="0"/>
    <n v="0"/>
    <n v="0"/>
    <n v="0"/>
    <n v="0"/>
    <s v="MMR001CMP193"/>
    <x v="0"/>
    <x v="0"/>
    <s v="P4"/>
    <n v="0"/>
    <m/>
  </r>
  <r>
    <n v="16.666666666666668"/>
    <d v="2015-12-18T00:00:00"/>
    <x v="1"/>
    <s v="Solidarities"/>
    <s v="Kachin"/>
    <s v="Bhamo"/>
    <s v="Ta Gun Taing Monastery (Shwe Kyi Na)"/>
    <m/>
    <m/>
    <m/>
    <m/>
    <m/>
    <m/>
    <m/>
    <m/>
    <m/>
    <m/>
    <m/>
    <m/>
    <m/>
    <m/>
    <m/>
    <n v="5"/>
    <m/>
    <n v="0"/>
    <n v="0"/>
    <n v="0"/>
    <n v="0"/>
    <n v="0"/>
    <n v="0"/>
    <n v="0"/>
    <n v="0"/>
    <n v="0"/>
    <n v="0"/>
    <n v="0"/>
    <n v="0"/>
    <n v="0"/>
    <n v="0"/>
    <n v="0"/>
    <n v="0"/>
    <n v="0"/>
    <n v="0"/>
    <s v="MMR001CMP055"/>
    <x v="0"/>
    <x v="0"/>
    <s v="P4"/>
    <n v="0"/>
    <m/>
  </r>
  <r>
    <n v="15.966666666666667"/>
    <d v="2016-01-08T00:00:00"/>
    <x v="0"/>
    <s v="KBC"/>
    <s v="Shan_North"/>
    <s v="Namtu"/>
    <s v="Nam Tu Baptist"/>
    <m/>
    <m/>
    <m/>
    <n v="35"/>
    <m/>
    <n v="35"/>
    <n v="18"/>
    <m/>
    <n v="18"/>
    <n v="82"/>
    <m/>
    <m/>
    <m/>
    <m/>
    <n v="18"/>
    <m/>
    <m/>
    <n v="0"/>
    <n v="0"/>
    <n v="0"/>
    <n v="0"/>
    <n v="0"/>
    <n v="0"/>
    <n v="0"/>
    <n v="0"/>
    <n v="0"/>
    <n v="0"/>
    <n v="0"/>
    <n v="0"/>
    <n v="0"/>
    <n v="0"/>
    <n v="0"/>
    <n v="0"/>
    <n v="0"/>
    <n v="0"/>
    <s v="MMR015CMP014"/>
    <x v="0"/>
    <x v="0"/>
    <s v="P3"/>
    <n v="4.3902439024390245E-4"/>
    <m/>
  </r>
  <r>
    <n v="15.5"/>
    <d v="2016-01-22T00:00:00"/>
    <x v="1"/>
    <s v="Solidarities"/>
    <s v="Kachin"/>
    <s v="Bhamo"/>
    <s v="Phan Khar Kone"/>
    <m/>
    <m/>
    <m/>
    <m/>
    <m/>
    <m/>
    <m/>
    <m/>
    <m/>
    <m/>
    <m/>
    <m/>
    <m/>
    <m/>
    <n v="4"/>
    <m/>
    <m/>
    <n v="0"/>
    <n v="0"/>
    <n v="0"/>
    <n v="0"/>
    <n v="0"/>
    <n v="0"/>
    <n v="0"/>
    <n v="0"/>
    <n v="0"/>
    <n v="0"/>
    <n v="0"/>
    <n v="0"/>
    <n v="0"/>
    <n v="0"/>
    <n v="0"/>
    <n v="0"/>
    <n v="0"/>
    <n v="0"/>
    <s v="MMR001CMP193"/>
    <x v="0"/>
    <x v="0"/>
    <s v="P4"/>
    <n v="0"/>
    <m/>
  </r>
  <r>
    <n v="15.366666666666667"/>
    <d v="2016-01-26T00:00:00"/>
    <x v="1"/>
    <s v="Solidarities"/>
    <s v="Kachin"/>
    <s v="Bhamo"/>
    <s v="Robert Church"/>
    <m/>
    <m/>
    <m/>
    <m/>
    <m/>
    <m/>
    <m/>
    <m/>
    <m/>
    <m/>
    <m/>
    <m/>
    <m/>
    <m/>
    <n v="5"/>
    <m/>
    <m/>
    <n v="0"/>
    <n v="0"/>
    <n v="0"/>
    <n v="0"/>
    <n v="0"/>
    <n v="0"/>
    <n v="0"/>
    <n v="0"/>
    <n v="0"/>
    <n v="0"/>
    <n v="0"/>
    <n v="0"/>
    <n v="0"/>
    <n v="0"/>
    <n v="0"/>
    <n v="0"/>
    <n v="0"/>
    <n v="0"/>
    <s v="MMR001CMP047"/>
    <x v="0"/>
    <x v="0"/>
    <s v="P4"/>
    <n v="0"/>
    <m/>
  </r>
  <r>
    <n v="15.266666666666667"/>
    <d v="2016-01-29T00:00:00"/>
    <x v="1"/>
    <s v="Solidarities"/>
    <s v="Kachin"/>
    <s v="Momauk"/>
    <s v="Loi Je Baptist Church"/>
    <m/>
    <m/>
    <m/>
    <m/>
    <m/>
    <m/>
    <m/>
    <m/>
    <m/>
    <m/>
    <m/>
    <m/>
    <m/>
    <m/>
    <n v="2"/>
    <m/>
    <m/>
    <n v="0"/>
    <n v="0"/>
    <n v="0"/>
    <n v="0"/>
    <n v="0"/>
    <n v="0"/>
    <n v="0"/>
    <n v="0"/>
    <n v="0"/>
    <n v="0"/>
    <n v="0"/>
    <n v="0"/>
    <n v="0"/>
    <n v="0"/>
    <n v="0"/>
    <n v="0"/>
    <n v="0"/>
    <n v="0"/>
    <s v="MMR001CMP071"/>
    <x v="0"/>
    <x v="0"/>
    <s v="P3"/>
    <n v="0"/>
    <m/>
  </r>
  <r>
    <n v="15.266666666666667"/>
    <d v="2016-01-29T00:00:00"/>
    <x v="1"/>
    <s v="Solidarities"/>
    <s v="Kachin"/>
    <s v="Momauk"/>
    <s v="Loi Je Lisu Camp"/>
    <m/>
    <m/>
    <m/>
    <m/>
    <m/>
    <m/>
    <m/>
    <m/>
    <m/>
    <m/>
    <m/>
    <m/>
    <m/>
    <m/>
    <n v="3"/>
    <m/>
    <m/>
    <n v="0"/>
    <n v="0"/>
    <n v="0"/>
    <n v="0"/>
    <n v="0"/>
    <n v="0"/>
    <n v="0"/>
    <n v="0"/>
    <n v="0"/>
    <n v="0"/>
    <n v="0"/>
    <n v="0"/>
    <n v="0"/>
    <n v="0"/>
    <n v="0"/>
    <n v="0"/>
    <n v="0"/>
    <n v="0"/>
    <s v="MMR001CMP070"/>
    <x v="0"/>
    <x v="0"/>
    <s v="P3"/>
    <n v="0"/>
    <m/>
  </r>
  <r>
    <n v="15.266666666666667"/>
    <d v="2016-01-29T00:00:00"/>
    <x v="1"/>
    <s v="Solidarities"/>
    <s v="Kachin"/>
    <s v="Momauk"/>
    <s v="Seng Ja "/>
    <m/>
    <m/>
    <m/>
    <m/>
    <m/>
    <m/>
    <m/>
    <m/>
    <m/>
    <m/>
    <m/>
    <m/>
    <m/>
    <m/>
    <n v="3"/>
    <m/>
    <m/>
    <n v="0"/>
    <n v="0"/>
    <n v="0"/>
    <n v="0"/>
    <n v="0"/>
    <n v="0"/>
    <n v="0"/>
    <n v="0"/>
    <n v="0"/>
    <n v="0"/>
    <n v="0"/>
    <n v="0"/>
    <n v="0"/>
    <n v="0"/>
    <n v="0"/>
    <n v="0"/>
    <n v="0"/>
    <n v="0"/>
    <s v="MMR001CMP073"/>
    <x v="0"/>
    <x v="0"/>
    <s v="P3"/>
    <n v="0"/>
    <m/>
  </r>
  <r>
    <n v="16.666666666666668"/>
    <d v="2015-12-18T00:00:00"/>
    <x v="1"/>
    <s v="Solidarities"/>
    <s v="Kachin"/>
    <s v="Momauk"/>
    <s v="Edin"/>
    <m/>
    <m/>
    <m/>
    <m/>
    <m/>
    <m/>
    <m/>
    <m/>
    <m/>
    <m/>
    <m/>
    <m/>
    <m/>
    <m/>
    <m/>
    <n v="13"/>
    <m/>
    <n v="0"/>
    <n v="0"/>
    <n v="0"/>
    <n v="0"/>
    <n v="0"/>
    <n v="0"/>
    <n v="0"/>
    <n v="0"/>
    <n v="0"/>
    <n v="0"/>
    <n v="0"/>
    <n v="0"/>
    <n v="0"/>
    <n v="0"/>
    <n v="0"/>
    <n v="0"/>
    <n v="0"/>
    <n v="0"/>
    <s v=""/>
    <x v="1"/>
    <x v="2"/>
    <s v=""/>
    <s v=""/>
    <m/>
  </r>
  <r>
    <n v="16.666666666666668"/>
    <d v="2015-12-18T00:00:00"/>
    <x v="1"/>
    <s v="Solidarities"/>
    <s v="Kachin"/>
    <s v="Momauk"/>
    <s v="Ni Thaw Ka Monestry"/>
    <m/>
    <m/>
    <m/>
    <m/>
    <m/>
    <m/>
    <m/>
    <m/>
    <m/>
    <m/>
    <m/>
    <m/>
    <m/>
    <m/>
    <m/>
    <n v="5"/>
    <m/>
    <n v="0"/>
    <n v="0"/>
    <n v="0"/>
    <n v="0"/>
    <n v="0"/>
    <n v="0"/>
    <n v="0"/>
    <n v="0"/>
    <n v="0"/>
    <n v="0"/>
    <n v="0"/>
    <n v="0"/>
    <n v="0"/>
    <n v="0"/>
    <n v="0"/>
    <n v="0"/>
    <n v="0"/>
    <n v="0"/>
    <s v="MMR001CMP059"/>
    <x v="0"/>
    <x v="1"/>
    <s v="P4"/>
    <n v="0"/>
    <m/>
  </r>
  <r>
    <n v="15.133333333333333"/>
    <d v="2016-02-02T00:00:00"/>
    <x v="1"/>
    <s v="Solidarities"/>
    <s v="Kachin"/>
    <s v="Bhamo"/>
    <s v="AD-2000 Tharthana Compound"/>
    <m/>
    <m/>
    <n v="310"/>
    <m/>
    <m/>
    <m/>
    <m/>
    <m/>
    <m/>
    <m/>
    <m/>
    <m/>
    <m/>
    <m/>
    <m/>
    <m/>
    <m/>
    <n v="0"/>
    <n v="0"/>
    <n v="0"/>
    <n v="0"/>
    <n v="0"/>
    <n v="0"/>
    <n v="0"/>
    <n v="0"/>
    <n v="0"/>
    <n v="0"/>
    <n v="0"/>
    <n v="0"/>
    <n v="0"/>
    <n v="0"/>
    <n v="0"/>
    <n v="0"/>
    <n v="0"/>
    <n v="0"/>
    <s v="MMR001CMP050"/>
    <x v="0"/>
    <x v="0"/>
    <s v="P4"/>
    <n v="0"/>
    <m/>
  </r>
  <r>
    <n v="15.133333333333333"/>
    <d v="2016-02-02T00:00:00"/>
    <x v="1"/>
    <s v="Solidarities"/>
    <s v="Kachin"/>
    <s v="Bhamo"/>
    <s v="Phan Khar Kone"/>
    <m/>
    <m/>
    <n v="204"/>
    <m/>
    <m/>
    <m/>
    <m/>
    <m/>
    <m/>
    <m/>
    <m/>
    <m/>
    <m/>
    <m/>
    <m/>
    <m/>
    <m/>
    <n v="0"/>
    <n v="0"/>
    <n v="0"/>
    <n v="0"/>
    <n v="0"/>
    <n v="0"/>
    <n v="0"/>
    <n v="0"/>
    <n v="0"/>
    <n v="0"/>
    <n v="0"/>
    <n v="0"/>
    <n v="0"/>
    <n v="0"/>
    <n v="0"/>
    <n v="0"/>
    <n v="0"/>
    <n v="0"/>
    <s v="MMR001CMP193"/>
    <x v="0"/>
    <x v="0"/>
    <s v="P4"/>
    <n v="0"/>
    <m/>
  </r>
  <r>
    <n v="16.166666666666668"/>
    <d v="2016-01-02T00:00:00"/>
    <x v="0"/>
    <s v="KBC"/>
    <s v="Shan_North"/>
    <s v="Namhkan"/>
    <m/>
    <m/>
    <m/>
    <m/>
    <m/>
    <m/>
    <m/>
    <m/>
    <m/>
    <m/>
    <m/>
    <m/>
    <m/>
    <m/>
    <m/>
    <m/>
    <m/>
    <n v="37"/>
    <n v="0"/>
    <n v="0"/>
    <n v="0"/>
    <n v="0"/>
    <n v="0"/>
    <n v="0"/>
    <n v="0"/>
    <n v="0"/>
    <n v="0"/>
    <n v="0"/>
    <n v="0"/>
    <n v="0"/>
    <n v="0"/>
    <n v="0"/>
    <n v="0"/>
    <n v="0"/>
    <n v="0"/>
    <n v="0"/>
    <s v=""/>
    <x v="1"/>
    <x v="2"/>
    <s v=""/>
    <s v=""/>
    <m/>
  </r>
  <r>
    <n v="15.066666666666666"/>
    <d v="2016-02-04T00:00:00"/>
    <x v="1"/>
    <s v="Solidarities"/>
    <s v="Kachin"/>
    <s v="Momauk"/>
    <s v="Loi Je Baptist Church"/>
    <m/>
    <m/>
    <n v="55"/>
    <m/>
    <m/>
    <m/>
    <m/>
    <m/>
    <m/>
    <m/>
    <m/>
    <m/>
    <m/>
    <m/>
    <m/>
    <m/>
    <m/>
    <n v="0"/>
    <n v="0"/>
    <n v="0"/>
    <n v="0"/>
    <n v="0"/>
    <n v="0"/>
    <n v="0"/>
    <n v="0"/>
    <n v="0"/>
    <n v="0"/>
    <n v="0"/>
    <n v="0"/>
    <n v="0"/>
    <n v="0"/>
    <n v="0"/>
    <n v="0"/>
    <n v="0"/>
    <n v="0"/>
    <s v="MMR001CMP071"/>
    <x v="0"/>
    <x v="0"/>
    <s v="P3"/>
    <n v="0"/>
    <m/>
  </r>
  <r>
    <n v="15.066666666666666"/>
    <d v="2016-02-04T00:00:00"/>
    <x v="1"/>
    <s v="Solidarities"/>
    <s v="Kachin"/>
    <s v="Momauk"/>
    <s v="Loi Je Baptist Church"/>
    <m/>
    <m/>
    <m/>
    <m/>
    <m/>
    <m/>
    <m/>
    <m/>
    <m/>
    <m/>
    <m/>
    <m/>
    <m/>
    <m/>
    <m/>
    <m/>
    <m/>
    <n v="0"/>
    <n v="0"/>
    <n v="0"/>
    <n v="0"/>
    <n v="0"/>
    <n v="0"/>
    <n v="0"/>
    <n v="0"/>
    <n v="0"/>
    <n v="0"/>
    <n v="0"/>
    <n v="0"/>
    <n v="0"/>
    <n v="0"/>
    <n v="0"/>
    <n v="0"/>
    <n v="0"/>
    <n v="0"/>
    <s v="MMR001CMP071"/>
    <x v="0"/>
    <x v="0"/>
    <s v="P3"/>
    <n v="0"/>
    <m/>
  </r>
  <r>
    <n v="15.066666666666666"/>
    <d v="2016-02-04T00:00:00"/>
    <x v="1"/>
    <s v="Solidarities"/>
    <s v="Kachin"/>
    <s v="Momauk"/>
    <s v="Loi Je Catholic Church"/>
    <m/>
    <m/>
    <n v="71"/>
    <m/>
    <m/>
    <m/>
    <m/>
    <m/>
    <m/>
    <m/>
    <m/>
    <m/>
    <m/>
    <m/>
    <m/>
    <m/>
    <m/>
    <n v="0"/>
    <n v="0"/>
    <n v="0"/>
    <n v="0"/>
    <n v="0"/>
    <n v="0"/>
    <n v="0"/>
    <n v="0"/>
    <n v="0"/>
    <n v="0"/>
    <n v="0"/>
    <n v="0"/>
    <n v="0"/>
    <n v="0"/>
    <n v="0"/>
    <n v="0"/>
    <n v="0"/>
    <n v="0"/>
    <s v="MMR001CMP069"/>
    <x v="0"/>
    <x v="0"/>
    <s v="P3"/>
    <n v="0"/>
    <m/>
  </r>
  <r>
    <n v="15.066666666666666"/>
    <d v="2016-02-04T00:00:00"/>
    <x v="1"/>
    <s v="Solidarities"/>
    <s v="Kachin"/>
    <s v="Bhamo"/>
    <s v="Ta Gun Taing Monastery (Shwe Kyi Na)"/>
    <m/>
    <m/>
    <n v="29"/>
    <m/>
    <m/>
    <m/>
    <m/>
    <m/>
    <m/>
    <m/>
    <m/>
    <m/>
    <m/>
    <m/>
    <m/>
    <m/>
    <m/>
    <n v="0"/>
    <n v="0"/>
    <n v="0"/>
    <n v="0"/>
    <n v="0"/>
    <n v="0"/>
    <n v="0"/>
    <n v="0"/>
    <n v="0"/>
    <n v="0"/>
    <n v="0"/>
    <n v="0"/>
    <n v="0"/>
    <n v="0"/>
    <n v="0"/>
    <n v="0"/>
    <n v="0"/>
    <n v="0"/>
    <s v="MMR001CMP055"/>
    <x v="0"/>
    <x v="0"/>
    <s v="P4"/>
    <n v="0"/>
    <m/>
  </r>
  <r>
    <n v="15.033333333333333"/>
    <d v="2016-02-05T00:00:00"/>
    <x v="1"/>
    <s v="Solidarities"/>
    <s v="Kachin"/>
    <s v="Momauk"/>
    <s v="Loi Je Lisu Camp"/>
    <m/>
    <m/>
    <n v="258"/>
    <m/>
    <m/>
    <m/>
    <m/>
    <m/>
    <m/>
    <m/>
    <m/>
    <m/>
    <m/>
    <m/>
    <m/>
    <m/>
    <m/>
    <n v="0"/>
    <n v="0"/>
    <n v="0"/>
    <n v="0"/>
    <n v="0"/>
    <n v="0"/>
    <n v="0"/>
    <n v="0"/>
    <n v="0"/>
    <n v="0"/>
    <n v="0"/>
    <n v="0"/>
    <n v="0"/>
    <n v="0"/>
    <n v="0"/>
    <n v="0"/>
    <n v="0"/>
    <n v="0"/>
    <s v="MMR001CMP070"/>
    <x v="0"/>
    <x v="0"/>
    <s v="P3"/>
    <n v="0"/>
    <m/>
  </r>
  <r>
    <n v="14.933333333333334"/>
    <d v="2016-02-08T00:00:00"/>
    <x v="1"/>
    <s v="Solidarities"/>
    <s v="Kachin"/>
    <s v="Momauk"/>
    <s v="Nyaung Na Pin "/>
    <m/>
    <m/>
    <n v="82"/>
    <m/>
    <m/>
    <m/>
    <m/>
    <m/>
    <m/>
    <m/>
    <m/>
    <m/>
    <m/>
    <m/>
    <m/>
    <m/>
    <m/>
    <n v="0"/>
    <n v="0"/>
    <n v="0"/>
    <n v="0"/>
    <n v="0"/>
    <n v="0"/>
    <n v="0"/>
    <n v="0"/>
    <n v="0"/>
    <n v="0"/>
    <n v="0"/>
    <n v="0"/>
    <n v="0"/>
    <n v="0"/>
    <n v="0"/>
    <n v="0"/>
    <n v="0"/>
    <n v="0"/>
    <s v="MMR001CMP072"/>
    <x v="0"/>
    <x v="0"/>
    <s v="P3"/>
    <n v="0"/>
    <m/>
  </r>
  <r>
    <n v="14.933333333333334"/>
    <d v="2016-02-08T00:00:00"/>
    <x v="1"/>
    <s v="Solidarities"/>
    <s v="Kachin"/>
    <s v="Bhamo"/>
    <s v="Robert Church"/>
    <m/>
    <m/>
    <n v="996"/>
    <m/>
    <m/>
    <m/>
    <m/>
    <m/>
    <m/>
    <m/>
    <m/>
    <m/>
    <m/>
    <m/>
    <m/>
    <m/>
    <m/>
    <n v="0"/>
    <n v="0"/>
    <n v="0"/>
    <n v="0"/>
    <n v="0"/>
    <n v="0"/>
    <n v="0"/>
    <n v="0"/>
    <n v="0"/>
    <n v="0"/>
    <n v="0"/>
    <n v="0"/>
    <n v="0"/>
    <n v="0"/>
    <n v="0"/>
    <n v="0"/>
    <n v="0"/>
    <n v="0"/>
    <s v="MMR001CMP047"/>
    <x v="0"/>
    <x v="0"/>
    <s v="P4"/>
    <n v="0"/>
    <m/>
  </r>
  <r>
    <n v="14.933333333333334"/>
    <d v="2016-02-08T00:00:00"/>
    <x v="1"/>
    <s v="Solidarities"/>
    <s v="Kachin"/>
    <s v="Momauk"/>
    <s v="Seng Ja "/>
    <m/>
    <m/>
    <n v="62"/>
    <m/>
    <m/>
    <m/>
    <m/>
    <m/>
    <m/>
    <m/>
    <m/>
    <m/>
    <m/>
    <m/>
    <m/>
    <m/>
    <m/>
    <n v="0"/>
    <n v="0"/>
    <n v="0"/>
    <n v="0"/>
    <n v="0"/>
    <n v="0"/>
    <n v="0"/>
    <n v="0"/>
    <n v="0"/>
    <n v="0"/>
    <n v="0"/>
    <n v="0"/>
    <n v="0"/>
    <n v="0"/>
    <n v="0"/>
    <n v="0"/>
    <n v="0"/>
    <n v="0"/>
    <s v="MMR001CMP073"/>
    <x v="0"/>
    <x v="0"/>
    <s v="P3"/>
    <n v="0"/>
    <m/>
  </r>
  <r>
    <n v="15.066666666666666"/>
    <d v="2016-02-04T00:00:00"/>
    <x v="1"/>
    <s v="Solidarities"/>
    <s v="Kachin"/>
    <s v="Momauk"/>
    <s v="Edin"/>
    <m/>
    <m/>
    <n v="96"/>
    <m/>
    <m/>
    <m/>
    <m/>
    <m/>
    <m/>
    <m/>
    <m/>
    <m/>
    <m/>
    <m/>
    <m/>
    <m/>
    <m/>
    <n v="0"/>
    <n v="0"/>
    <n v="0"/>
    <n v="0"/>
    <n v="0"/>
    <n v="0"/>
    <n v="0"/>
    <n v="0"/>
    <n v="0"/>
    <n v="0"/>
    <n v="0"/>
    <n v="0"/>
    <n v="0"/>
    <n v="0"/>
    <n v="0"/>
    <n v="0"/>
    <n v="0"/>
    <n v="0"/>
    <s v=""/>
    <x v="1"/>
    <x v="2"/>
    <s v=""/>
    <s v=""/>
    <m/>
  </r>
  <r>
    <n v="15.066666666666666"/>
    <d v="2016-02-04T00:00:00"/>
    <x v="1"/>
    <s v="Solidarities"/>
    <s v="Kachin"/>
    <s v="Momauk"/>
    <s v="Ni Thaw Ka Monestry"/>
    <m/>
    <m/>
    <n v="33"/>
    <m/>
    <m/>
    <m/>
    <m/>
    <m/>
    <m/>
    <m/>
    <m/>
    <m/>
    <m/>
    <m/>
    <m/>
    <m/>
    <m/>
    <n v="0"/>
    <n v="0"/>
    <n v="0"/>
    <n v="0"/>
    <n v="0"/>
    <n v="0"/>
    <n v="0"/>
    <n v="0"/>
    <n v="0"/>
    <n v="0"/>
    <n v="0"/>
    <n v="0"/>
    <n v="0"/>
    <n v="0"/>
    <n v="0"/>
    <n v="0"/>
    <n v="0"/>
    <n v="0"/>
    <s v="MMR001CMP059"/>
    <x v="0"/>
    <x v="1"/>
    <s v="P4"/>
    <n v="0"/>
    <m/>
  </r>
  <r>
    <n v="14.433333333333334"/>
    <d v="2016-02-23T00:00:00"/>
    <x v="1"/>
    <s v="KBC"/>
    <s v="Kachin"/>
    <s v="Momauk"/>
    <s v="Je Yang Hka "/>
    <m/>
    <m/>
    <n v="1807"/>
    <m/>
    <m/>
    <m/>
    <m/>
    <m/>
    <m/>
    <m/>
    <m/>
    <m/>
    <m/>
    <m/>
    <m/>
    <m/>
    <m/>
    <n v="0"/>
    <n v="0"/>
    <n v="0"/>
    <n v="0"/>
    <n v="0"/>
    <n v="0"/>
    <n v="0"/>
    <n v="0"/>
    <n v="0"/>
    <n v="0"/>
    <n v="0"/>
    <n v="0"/>
    <n v="0"/>
    <n v="0"/>
    <n v="0"/>
    <n v="0"/>
    <n v="0"/>
    <n v="0"/>
    <s v="MMR001CMP121"/>
    <x v="0"/>
    <x v="0"/>
    <s v="P2"/>
    <n v="0"/>
    <m/>
  </r>
  <r>
    <n v="14.4"/>
    <d v="2016-02-24T00:00:00"/>
    <x v="1"/>
    <s v="KBC"/>
    <s v="Kachin"/>
    <s v="Momauk"/>
    <s v="Je Yang Hka "/>
    <m/>
    <m/>
    <m/>
    <m/>
    <m/>
    <m/>
    <m/>
    <m/>
    <m/>
    <m/>
    <m/>
    <m/>
    <m/>
    <m/>
    <m/>
    <m/>
    <m/>
    <n v="0"/>
    <n v="0"/>
    <n v="0"/>
    <n v="0"/>
    <n v="0"/>
    <n v="0"/>
    <n v="0"/>
    <n v="0"/>
    <n v="0"/>
    <n v="0"/>
    <n v="0"/>
    <n v="0"/>
    <n v="0"/>
    <n v="0"/>
    <n v="0"/>
    <n v="0"/>
    <n v="0"/>
    <n v="0"/>
    <s v="MMR001CMP121"/>
    <x v="0"/>
    <x v="0"/>
    <s v="P2"/>
    <n v="0"/>
    <m/>
  </r>
  <r>
    <n v="14.366666666666667"/>
    <d v="2016-02-25T00:00:00"/>
    <x v="1"/>
    <s v="Solidarities"/>
    <s v="Kachin"/>
    <s v="Bhamo"/>
    <s v="Phan Khar Kone"/>
    <m/>
    <m/>
    <m/>
    <m/>
    <m/>
    <m/>
    <m/>
    <m/>
    <m/>
    <m/>
    <m/>
    <m/>
    <m/>
    <m/>
    <m/>
    <m/>
    <m/>
    <n v="0"/>
    <n v="0"/>
    <n v="0"/>
    <n v="0"/>
    <n v="0"/>
    <n v="0"/>
    <n v="0"/>
    <n v="0"/>
    <n v="0"/>
    <n v="0"/>
    <n v="0"/>
    <n v="0"/>
    <n v="0"/>
    <n v="0"/>
    <n v="0"/>
    <n v="0"/>
    <n v="0"/>
    <n v="0"/>
    <s v="MMR001CMP193"/>
    <x v="0"/>
    <x v="0"/>
    <s v="P4"/>
    <n v="0"/>
    <m/>
  </r>
  <r>
    <n v="14.366666666666667"/>
    <d v="2016-02-25T00:00:00"/>
    <x v="1"/>
    <s v="Solidarities"/>
    <s v="Kachin"/>
    <s v="Bhamo"/>
    <s v="Robert Church"/>
    <m/>
    <m/>
    <m/>
    <m/>
    <m/>
    <m/>
    <m/>
    <m/>
    <m/>
    <m/>
    <m/>
    <m/>
    <m/>
    <m/>
    <m/>
    <m/>
    <m/>
    <n v="0"/>
    <n v="0"/>
    <n v="0"/>
    <n v="0"/>
    <n v="0"/>
    <n v="0"/>
    <n v="0"/>
    <n v="0"/>
    <n v="0"/>
    <n v="0"/>
    <n v="0"/>
    <n v="0"/>
    <n v="0"/>
    <n v="0"/>
    <n v="0"/>
    <n v="0"/>
    <n v="0"/>
    <n v="0"/>
    <s v="MMR001CMP047"/>
    <x v="0"/>
    <x v="0"/>
    <s v="P4"/>
    <n v="0"/>
    <m/>
  </r>
  <r>
    <n v="14.333333333333334"/>
    <d v="2016-02-26T00:00:00"/>
    <x v="1"/>
    <s v="Solidarities"/>
    <s v="Kachin"/>
    <s v="Bhamo"/>
    <s v="AD-2000 Tharthana Compound"/>
    <m/>
    <m/>
    <m/>
    <m/>
    <m/>
    <m/>
    <m/>
    <m/>
    <m/>
    <m/>
    <m/>
    <m/>
    <m/>
    <m/>
    <m/>
    <m/>
    <m/>
    <n v="0"/>
    <n v="0"/>
    <n v="0"/>
    <n v="0"/>
    <n v="0"/>
    <n v="0"/>
    <n v="0"/>
    <n v="0"/>
    <n v="0"/>
    <n v="0"/>
    <n v="0"/>
    <n v="0"/>
    <n v="0"/>
    <n v="0"/>
    <n v="0"/>
    <n v="0"/>
    <n v="0"/>
    <n v="0"/>
    <s v="MMR001CMP050"/>
    <x v="0"/>
    <x v="0"/>
    <s v="P4"/>
    <n v="0"/>
    <m/>
  </r>
  <r>
    <n v="14.333333333333334"/>
    <d v="2016-02-26T00:00:00"/>
    <x v="1"/>
    <s v="Solidarities"/>
    <s v="Kachin"/>
    <s v="Bhamo"/>
    <s v="Ta Gun Taing Monastery (Shwe Kyi Na)"/>
    <m/>
    <m/>
    <m/>
    <m/>
    <m/>
    <m/>
    <m/>
    <m/>
    <m/>
    <m/>
    <m/>
    <m/>
    <m/>
    <m/>
    <m/>
    <m/>
    <m/>
    <n v="0"/>
    <n v="0"/>
    <n v="0"/>
    <n v="0"/>
    <n v="0"/>
    <n v="0"/>
    <n v="0"/>
    <n v="0"/>
    <n v="0"/>
    <n v="0"/>
    <n v="0"/>
    <n v="0"/>
    <n v="0"/>
    <n v="0"/>
    <n v="0"/>
    <n v="0"/>
    <n v="0"/>
    <n v="0"/>
    <s v="MMR001CMP055"/>
    <x v="0"/>
    <x v="0"/>
    <s v="P4"/>
    <n v="0"/>
    <m/>
  </r>
  <r>
    <n v="14.3"/>
    <d v="2016-02-27T00:00:00"/>
    <x v="0"/>
    <s v="KBC"/>
    <s v="Kachin"/>
    <s v="Waingmaw"/>
    <s v="Hpare Hkyer - BP6"/>
    <m/>
    <m/>
    <m/>
    <m/>
    <m/>
    <m/>
    <m/>
    <m/>
    <m/>
    <m/>
    <n v="380"/>
    <n v="380"/>
    <m/>
    <m/>
    <m/>
    <m/>
    <m/>
    <n v="0"/>
    <n v="0"/>
    <n v="0"/>
    <n v="0"/>
    <n v="0"/>
    <n v="0"/>
    <n v="0"/>
    <n v="0"/>
    <n v="0"/>
    <n v="0"/>
    <n v="0"/>
    <n v="0"/>
    <n v="0"/>
    <n v="0"/>
    <n v="1"/>
    <n v="0"/>
    <n v="0"/>
    <n v="0"/>
    <s v="MMR001CMP043"/>
    <x v="0"/>
    <x v="0"/>
    <s v="P1"/>
    <n v="0"/>
    <m/>
  </r>
  <r>
    <n v="14.3"/>
    <d v="2016-02-27T00:00:00"/>
    <x v="0"/>
    <s v="KBC"/>
    <s v="Kachin"/>
    <s v="Waingmaw"/>
    <s v="Pajau - Jan Mai"/>
    <m/>
    <m/>
    <m/>
    <m/>
    <m/>
    <m/>
    <m/>
    <m/>
    <m/>
    <m/>
    <n v="330"/>
    <n v="330"/>
    <m/>
    <n v="346"/>
    <m/>
    <m/>
    <m/>
    <n v="0"/>
    <n v="0"/>
    <n v="0"/>
    <n v="0"/>
    <n v="0"/>
    <n v="0"/>
    <n v="0"/>
    <n v="0"/>
    <n v="0"/>
    <n v="0"/>
    <n v="0"/>
    <n v="0"/>
    <n v="0"/>
    <n v="0"/>
    <n v="1"/>
    <n v="0"/>
    <n v="0"/>
    <n v="0"/>
    <s v="MMR001CMP120"/>
    <x v="0"/>
    <x v="0"/>
    <s v="P1"/>
    <n v="0"/>
    <m/>
  </r>
  <r>
    <n v="14.466666666666667"/>
    <d v="2016-02-22T00:00:00"/>
    <x v="0"/>
    <s v="KBC"/>
    <s v="Shan_North"/>
    <s v="Kutkai"/>
    <m/>
    <m/>
    <m/>
    <m/>
    <m/>
    <m/>
    <m/>
    <m/>
    <m/>
    <m/>
    <m/>
    <m/>
    <m/>
    <m/>
    <m/>
    <m/>
    <m/>
    <n v="71"/>
    <n v="0"/>
    <n v="0"/>
    <n v="0"/>
    <n v="0"/>
    <n v="0"/>
    <n v="0"/>
    <n v="0"/>
    <n v="0"/>
    <n v="0"/>
    <n v="0"/>
    <n v="0"/>
    <n v="0"/>
    <n v="0"/>
    <n v="0"/>
    <n v="0"/>
    <n v="0"/>
    <n v="0"/>
    <n v="0"/>
    <s v=""/>
    <x v="1"/>
    <x v="2"/>
    <s v=""/>
    <s v=""/>
    <m/>
  </r>
  <r>
    <n v="14.3"/>
    <d v="2016-02-27T00:00:00"/>
    <x v="0"/>
    <s v="KBC"/>
    <s v="Kachin"/>
    <s v="Waingmaw"/>
    <s v="Pajau - Jan Mai"/>
    <m/>
    <m/>
    <m/>
    <m/>
    <m/>
    <n v="670"/>
    <m/>
    <m/>
    <n v="345"/>
    <m/>
    <m/>
    <m/>
    <m/>
    <m/>
    <m/>
    <m/>
    <m/>
    <n v="0"/>
    <n v="0"/>
    <n v="0"/>
    <n v="0"/>
    <n v="0"/>
    <n v="0"/>
    <n v="0"/>
    <n v="0"/>
    <n v="0"/>
    <n v="0"/>
    <n v="0"/>
    <n v="0"/>
    <n v="0"/>
    <n v="0"/>
    <n v="0"/>
    <n v="0"/>
    <n v="0"/>
    <n v="0"/>
    <s v="MMR001CMP120"/>
    <x v="0"/>
    <x v="0"/>
    <s v="P1"/>
    <n v="0"/>
    <m/>
  </r>
  <r>
    <n v="14.266666666666667"/>
    <d v="2016-02-28T00:00:00"/>
    <x v="0"/>
    <s v="KBC"/>
    <s v="Kachin"/>
    <s v="Chipwi"/>
    <s v="Hpare Hkyer - BP6"/>
    <m/>
    <m/>
    <m/>
    <m/>
    <m/>
    <n v="345"/>
    <m/>
    <m/>
    <m/>
    <m/>
    <m/>
    <n v="765"/>
    <m/>
    <m/>
    <m/>
    <m/>
    <m/>
    <n v="0"/>
    <n v="0"/>
    <n v="0"/>
    <n v="0"/>
    <n v="0"/>
    <n v="0"/>
    <n v="0"/>
    <n v="0"/>
    <n v="0"/>
    <n v="0"/>
    <n v="0"/>
    <n v="0"/>
    <n v="0"/>
    <n v="0"/>
    <n v="1"/>
    <n v="0"/>
    <n v="0"/>
    <n v="0"/>
    <s v="MMR001CMP043"/>
    <x v="0"/>
    <x v="0"/>
    <s v="P1"/>
    <n v="0"/>
    <m/>
  </r>
  <r>
    <n v="13.7"/>
    <d v="2016-03-16T00:00:00"/>
    <x v="1"/>
    <s v="Solidarities"/>
    <s v="Kachin"/>
    <s v="Bhamo"/>
    <s v="Phan Khar Kone"/>
    <m/>
    <m/>
    <m/>
    <m/>
    <m/>
    <m/>
    <m/>
    <m/>
    <m/>
    <m/>
    <m/>
    <m/>
    <m/>
    <m/>
    <n v="4"/>
    <m/>
    <m/>
    <n v="0"/>
    <n v="0"/>
    <n v="0"/>
    <n v="0"/>
    <n v="0"/>
    <n v="0"/>
    <n v="0"/>
    <n v="0"/>
    <n v="0"/>
    <n v="0"/>
    <n v="0"/>
    <n v="0"/>
    <n v="0"/>
    <n v="0"/>
    <n v="0"/>
    <n v="0"/>
    <n v="0"/>
    <n v="0"/>
    <s v="MMR001CMP193"/>
    <x v="0"/>
    <x v="0"/>
    <s v="P4"/>
    <n v="0"/>
    <m/>
  </r>
  <r>
    <n v="13.666666666666666"/>
    <d v="2016-03-17T00:00:00"/>
    <x v="1"/>
    <s v="Solidarities"/>
    <s v="Kachin"/>
    <s v="Bhamo"/>
    <s v="Robert Church"/>
    <m/>
    <m/>
    <m/>
    <m/>
    <m/>
    <m/>
    <m/>
    <m/>
    <m/>
    <m/>
    <m/>
    <m/>
    <m/>
    <m/>
    <n v="1"/>
    <m/>
    <m/>
    <n v="0"/>
    <n v="0"/>
    <n v="0"/>
    <n v="0"/>
    <n v="0"/>
    <n v="0"/>
    <n v="0"/>
    <n v="0"/>
    <n v="0"/>
    <n v="0"/>
    <n v="0"/>
    <n v="0"/>
    <n v="0"/>
    <n v="0"/>
    <n v="0"/>
    <n v="0"/>
    <n v="0"/>
    <n v="0"/>
    <s v="MMR001CMP047"/>
    <x v="0"/>
    <x v="0"/>
    <s v="P4"/>
    <n v="0"/>
    <m/>
  </r>
  <r>
    <n v="13.2"/>
    <d v="2016-03-31T00:00:00"/>
    <x v="0"/>
    <s v="Shalom"/>
    <s v="Kachin"/>
    <s v="Bhamo"/>
    <s v="Mu-yin Baptist Church"/>
    <m/>
    <m/>
    <m/>
    <m/>
    <n v="4"/>
    <m/>
    <m/>
    <m/>
    <m/>
    <m/>
    <m/>
    <m/>
    <m/>
    <m/>
    <m/>
    <m/>
    <m/>
    <n v="0"/>
    <n v="0"/>
    <n v="0"/>
    <n v="0"/>
    <n v="0"/>
    <n v="0"/>
    <n v="0"/>
    <n v="0"/>
    <n v="0"/>
    <n v="0"/>
    <n v="0"/>
    <n v="0"/>
    <n v="0"/>
    <n v="0"/>
    <n v="0"/>
    <n v="0"/>
    <n v="0"/>
    <n v="0"/>
    <s v="MMR001CMP051"/>
    <x v="0"/>
    <x v="0"/>
    <s v="P4"/>
    <n v="0"/>
    <m/>
  </r>
  <r>
    <n v="12.933333333333334"/>
    <d v="2016-04-08T00:00:00"/>
    <x v="0"/>
    <s v="KBC"/>
    <s v="Kachin"/>
    <s v="Bhamo"/>
    <s v="Lisu Boarding-House"/>
    <m/>
    <m/>
    <m/>
    <m/>
    <n v="10"/>
    <m/>
    <m/>
    <m/>
    <m/>
    <m/>
    <m/>
    <m/>
    <m/>
    <m/>
    <m/>
    <m/>
    <m/>
    <n v="0"/>
    <n v="0"/>
    <n v="0"/>
    <n v="0"/>
    <n v="0"/>
    <n v="0"/>
    <n v="0"/>
    <n v="0"/>
    <n v="0"/>
    <n v="0"/>
    <n v="0"/>
    <n v="0"/>
    <n v="0"/>
    <n v="0"/>
    <n v="0"/>
    <n v="0"/>
    <n v="0"/>
    <n v="0"/>
    <s v="MMR001CMP049"/>
    <x v="0"/>
    <x v="0"/>
    <s v="P4"/>
    <n v="0"/>
    <m/>
  </r>
  <r>
    <n v="12.233333333333333"/>
    <d v="2016-04-29T00:00:00"/>
    <x v="1"/>
    <s v="Solidarities"/>
    <s v="Kachin"/>
    <s v="Bhamo"/>
    <s v="AD-2000 Tharthana Compound"/>
    <m/>
    <m/>
    <m/>
    <m/>
    <m/>
    <m/>
    <m/>
    <m/>
    <m/>
    <m/>
    <m/>
    <m/>
    <m/>
    <m/>
    <m/>
    <n v="74"/>
    <m/>
    <n v="0"/>
    <n v="0"/>
    <n v="0"/>
    <n v="0"/>
    <n v="0"/>
    <n v="0"/>
    <n v="0"/>
    <n v="0"/>
    <n v="0"/>
    <n v="0"/>
    <n v="0"/>
    <n v="0"/>
    <n v="0"/>
    <n v="0"/>
    <n v="0"/>
    <n v="0"/>
    <n v="0"/>
    <n v="0"/>
    <s v="MMR001CMP050"/>
    <x v="0"/>
    <x v="0"/>
    <s v="P4"/>
    <n v="0"/>
    <m/>
  </r>
  <r>
    <n v="12.233333333333333"/>
    <d v="2016-04-29T00:00:00"/>
    <x v="1"/>
    <s v="Solidarities"/>
    <s v="Kachin"/>
    <s v="Bhamo"/>
    <s v="Phan Khar Kone"/>
    <m/>
    <m/>
    <m/>
    <m/>
    <m/>
    <m/>
    <m/>
    <m/>
    <m/>
    <m/>
    <m/>
    <m/>
    <m/>
    <m/>
    <m/>
    <n v="48"/>
    <m/>
    <n v="0"/>
    <n v="0"/>
    <n v="0"/>
    <n v="0"/>
    <n v="0"/>
    <n v="0"/>
    <n v="0"/>
    <n v="0"/>
    <n v="0"/>
    <n v="0"/>
    <n v="0"/>
    <n v="0"/>
    <n v="0"/>
    <n v="0"/>
    <n v="0"/>
    <n v="0"/>
    <n v="0"/>
    <n v="0"/>
    <s v="MMR001CMP193"/>
    <x v="0"/>
    <x v="0"/>
    <s v="P4"/>
    <n v="0"/>
    <m/>
  </r>
  <r>
    <n v="12.233333333333333"/>
    <d v="2016-04-29T00:00:00"/>
    <x v="1"/>
    <s v="Solidarities"/>
    <s v="Kachin"/>
    <s v="Bhamo"/>
    <s v="Robert Church"/>
    <m/>
    <m/>
    <m/>
    <m/>
    <m/>
    <m/>
    <m/>
    <m/>
    <m/>
    <m/>
    <m/>
    <m/>
    <m/>
    <m/>
    <m/>
    <n v="152"/>
    <m/>
    <n v="0"/>
    <n v="0"/>
    <n v="0"/>
    <n v="0"/>
    <n v="0"/>
    <n v="0"/>
    <n v="0"/>
    <n v="0"/>
    <n v="0"/>
    <n v="0"/>
    <n v="0"/>
    <n v="0"/>
    <n v="0"/>
    <n v="0"/>
    <n v="0"/>
    <n v="0"/>
    <n v="0"/>
    <n v="0"/>
    <s v="MMR001CMP047"/>
    <x v="0"/>
    <x v="0"/>
    <s v="P4"/>
    <n v="0"/>
    <m/>
  </r>
  <r>
    <n v="12.233333333333333"/>
    <d v="2016-04-29T00:00:00"/>
    <x v="1"/>
    <s v="Solidarities"/>
    <s v="Kachin"/>
    <s v="Bhamo"/>
    <s v="Ta Gun Taing Monastery (Shwe Kyi Na)"/>
    <m/>
    <m/>
    <m/>
    <m/>
    <m/>
    <m/>
    <m/>
    <m/>
    <m/>
    <m/>
    <m/>
    <m/>
    <m/>
    <m/>
    <m/>
    <n v="10"/>
    <m/>
    <n v="0"/>
    <n v="0"/>
    <n v="0"/>
    <n v="0"/>
    <n v="0"/>
    <n v="0"/>
    <n v="0"/>
    <n v="0"/>
    <n v="0"/>
    <n v="0"/>
    <n v="0"/>
    <n v="0"/>
    <n v="0"/>
    <n v="0"/>
    <n v="0"/>
    <n v="0"/>
    <n v="0"/>
    <n v="0"/>
    <s v="MMR001CMP055"/>
    <x v="0"/>
    <x v="0"/>
    <s v="P4"/>
    <n v="0"/>
    <m/>
  </r>
  <r>
    <n v="14.233333333333333"/>
    <d v="2016-02-29T00:00:00"/>
    <x v="1"/>
    <s v="Solidarities"/>
    <s v="Kachin"/>
    <s v="Momauk"/>
    <s v="Edin"/>
    <m/>
    <m/>
    <m/>
    <m/>
    <m/>
    <m/>
    <m/>
    <m/>
    <m/>
    <m/>
    <m/>
    <m/>
    <m/>
    <m/>
    <m/>
    <m/>
    <m/>
    <n v="0"/>
    <n v="0"/>
    <n v="0"/>
    <n v="0"/>
    <n v="0"/>
    <n v="0"/>
    <n v="0"/>
    <n v="0"/>
    <n v="0"/>
    <n v="0"/>
    <n v="0"/>
    <n v="0"/>
    <n v="0"/>
    <n v="0"/>
    <n v="0"/>
    <n v="0"/>
    <n v="0"/>
    <n v="0"/>
    <s v=""/>
    <x v="1"/>
    <x v="2"/>
    <s v=""/>
    <s v=""/>
    <m/>
  </r>
  <r>
    <n v="14.233333333333333"/>
    <d v="2016-02-29T00:00:00"/>
    <x v="1"/>
    <s v="Solidarities"/>
    <s v="Kachin"/>
    <s v="Momauk"/>
    <s v="Ni Thaw Ka Monestry"/>
    <m/>
    <m/>
    <m/>
    <m/>
    <m/>
    <m/>
    <m/>
    <m/>
    <m/>
    <m/>
    <m/>
    <m/>
    <m/>
    <m/>
    <m/>
    <m/>
    <m/>
    <n v="0"/>
    <n v="0"/>
    <n v="0"/>
    <n v="0"/>
    <n v="0"/>
    <n v="0"/>
    <n v="0"/>
    <n v="0"/>
    <n v="0"/>
    <n v="0"/>
    <n v="0"/>
    <n v="0"/>
    <n v="0"/>
    <n v="0"/>
    <n v="0"/>
    <n v="0"/>
    <n v="0"/>
    <n v="0"/>
    <s v="MMR001CMP059"/>
    <x v="0"/>
    <x v="1"/>
    <s v="P4"/>
    <n v="0"/>
    <m/>
  </r>
  <r>
    <n v="13.966666666666667"/>
    <d v="2016-03-08T00:00:00"/>
    <x v="0"/>
    <s v="KMSS_LSO"/>
    <s v="Shan_North"/>
    <s v="Kutkai"/>
    <m/>
    <m/>
    <m/>
    <m/>
    <n v="600"/>
    <m/>
    <m/>
    <m/>
    <m/>
    <m/>
    <m/>
    <m/>
    <m/>
    <m/>
    <m/>
    <m/>
    <m/>
    <m/>
    <n v="0"/>
    <n v="0"/>
    <n v="0"/>
    <n v="0"/>
    <n v="0"/>
    <n v="0"/>
    <n v="0"/>
    <n v="0"/>
    <n v="0"/>
    <n v="0"/>
    <n v="0"/>
    <n v="0"/>
    <n v="0"/>
    <n v="0"/>
    <n v="0"/>
    <n v="0"/>
    <n v="0"/>
    <n v="0"/>
    <s v=""/>
    <x v="1"/>
    <x v="2"/>
    <s v=""/>
    <s v=""/>
    <m/>
  </r>
  <r>
    <n v="13.7"/>
    <d v="2016-03-16T00:00:00"/>
    <x v="1"/>
    <s v="Solidarities"/>
    <s v="Kachin"/>
    <s v="Momauk"/>
    <s v="Ni Thaw Ka Monestry"/>
    <m/>
    <m/>
    <m/>
    <m/>
    <m/>
    <m/>
    <m/>
    <m/>
    <m/>
    <m/>
    <m/>
    <m/>
    <m/>
    <m/>
    <n v="1"/>
    <m/>
    <m/>
    <n v="0"/>
    <n v="0"/>
    <n v="0"/>
    <n v="0"/>
    <n v="0"/>
    <n v="0"/>
    <n v="0"/>
    <n v="0"/>
    <n v="0"/>
    <n v="0"/>
    <n v="0"/>
    <n v="0"/>
    <n v="0"/>
    <n v="0"/>
    <n v="0"/>
    <n v="0"/>
    <n v="0"/>
    <n v="0"/>
    <s v="MMR001CMP059"/>
    <x v="0"/>
    <x v="1"/>
    <s v="P4"/>
    <n v="0"/>
    <m/>
  </r>
  <r>
    <n v="12.2"/>
    <d v="2016-04-30T00:00:00"/>
    <x v="1"/>
    <s v="Solidarities"/>
    <s v="Kachin"/>
    <s v="Momauk"/>
    <s v="Loi Je Baptist Church"/>
    <m/>
    <m/>
    <m/>
    <m/>
    <m/>
    <m/>
    <m/>
    <m/>
    <m/>
    <m/>
    <m/>
    <m/>
    <m/>
    <m/>
    <m/>
    <n v="3"/>
    <m/>
    <n v="0"/>
    <n v="0"/>
    <n v="0"/>
    <n v="0"/>
    <n v="0"/>
    <n v="0"/>
    <n v="0"/>
    <n v="0"/>
    <n v="0"/>
    <n v="0"/>
    <n v="0"/>
    <n v="0"/>
    <n v="0"/>
    <n v="0"/>
    <n v="0"/>
    <n v="0"/>
    <n v="0"/>
    <n v="0"/>
    <s v="MMR001CMP071"/>
    <x v="0"/>
    <x v="0"/>
    <s v="P3"/>
    <n v="0"/>
    <m/>
  </r>
  <r>
    <n v="12.2"/>
    <d v="2016-04-30T00:00:00"/>
    <x v="1"/>
    <s v="Solidarities"/>
    <s v="Kachin"/>
    <s v="Momauk"/>
    <s v="Loi Je Baptist Church"/>
    <m/>
    <m/>
    <m/>
    <m/>
    <m/>
    <m/>
    <m/>
    <m/>
    <m/>
    <m/>
    <m/>
    <m/>
    <m/>
    <m/>
    <m/>
    <m/>
    <m/>
    <n v="0"/>
    <n v="0"/>
    <n v="0"/>
    <n v="0"/>
    <n v="0"/>
    <n v="0"/>
    <n v="0"/>
    <n v="0"/>
    <n v="0"/>
    <n v="0"/>
    <n v="0"/>
    <n v="0"/>
    <n v="0"/>
    <n v="0"/>
    <n v="0"/>
    <n v="0"/>
    <n v="0"/>
    <n v="0"/>
    <s v="MMR001CMP071"/>
    <x v="0"/>
    <x v="0"/>
    <s v="P3"/>
    <n v="0"/>
    <m/>
  </r>
  <r>
    <n v="12.2"/>
    <d v="2016-04-30T00:00:00"/>
    <x v="1"/>
    <s v="Solidarities"/>
    <s v="Kachin"/>
    <s v="Momauk"/>
    <s v="Loi Je Catholic Church"/>
    <m/>
    <m/>
    <m/>
    <m/>
    <m/>
    <m/>
    <m/>
    <m/>
    <m/>
    <m/>
    <m/>
    <m/>
    <m/>
    <m/>
    <m/>
    <n v="6"/>
    <m/>
    <n v="0"/>
    <n v="0"/>
    <n v="0"/>
    <n v="0"/>
    <n v="0"/>
    <n v="0"/>
    <n v="0"/>
    <n v="0"/>
    <n v="0"/>
    <n v="0"/>
    <n v="0"/>
    <n v="0"/>
    <n v="0"/>
    <n v="0"/>
    <n v="0"/>
    <n v="0"/>
    <n v="0"/>
    <n v="0"/>
    <s v="MMR001CMP069"/>
    <x v="0"/>
    <x v="0"/>
    <s v="P3"/>
    <n v="0"/>
    <m/>
  </r>
  <r>
    <n v="12.2"/>
    <d v="2016-04-30T00:00:00"/>
    <x v="1"/>
    <s v="Solidarities"/>
    <s v="Kachin"/>
    <s v="Momauk"/>
    <s v="Loi Je Lisu Camp"/>
    <m/>
    <m/>
    <m/>
    <m/>
    <m/>
    <m/>
    <m/>
    <m/>
    <m/>
    <m/>
    <m/>
    <m/>
    <m/>
    <m/>
    <m/>
    <n v="14"/>
    <m/>
    <n v="0"/>
    <n v="0"/>
    <n v="0"/>
    <n v="0"/>
    <n v="0"/>
    <n v="0"/>
    <n v="0"/>
    <n v="0"/>
    <n v="0"/>
    <n v="0"/>
    <n v="0"/>
    <n v="0"/>
    <n v="0"/>
    <n v="0"/>
    <n v="0"/>
    <n v="0"/>
    <n v="0"/>
    <n v="0"/>
    <s v="MMR001CMP070"/>
    <x v="0"/>
    <x v="0"/>
    <s v="P3"/>
    <n v="0"/>
    <m/>
  </r>
  <r>
    <n v="12.833333333333334"/>
    <d v="2016-04-11T00:00:00"/>
    <x v="0"/>
    <s v="KBC"/>
    <s v="Shan_North"/>
    <s v="Namhkan"/>
    <s v="Mine Wee (Man Jan)"/>
    <m/>
    <m/>
    <m/>
    <n v="126"/>
    <m/>
    <n v="126"/>
    <n v="64"/>
    <m/>
    <m/>
    <n v="122"/>
    <m/>
    <m/>
    <m/>
    <m/>
    <n v="64"/>
    <m/>
    <m/>
    <n v="0"/>
    <n v="0"/>
    <n v="0"/>
    <n v="0"/>
    <n v="0"/>
    <n v="0"/>
    <n v="0"/>
    <n v="0"/>
    <n v="0"/>
    <n v="0"/>
    <n v="0"/>
    <n v="0"/>
    <n v="0"/>
    <n v="0"/>
    <n v="0"/>
    <n v="0"/>
    <n v="0"/>
    <n v="0"/>
    <s v=""/>
    <x v="1"/>
    <x v="2"/>
    <s v=""/>
    <s v=""/>
    <m/>
  </r>
  <r>
    <n v="12.233333333333333"/>
    <d v="2016-04-29T00:00:00"/>
    <x v="1"/>
    <s v="Solidarities"/>
    <s v="Kachin"/>
    <s v="Momauk"/>
    <s v="Edin"/>
    <m/>
    <m/>
    <m/>
    <m/>
    <m/>
    <m/>
    <m/>
    <m/>
    <m/>
    <m/>
    <m/>
    <m/>
    <m/>
    <m/>
    <m/>
    <n v="26"/>
    <m/>
    <n v="0"/>
    <n v="0"/>
    <n v="0"/>
    <n v="0"/>
    <n v="0"/>
    <n v="0"/>
    <n v="0"/>
    <n v="0"/>
    <n v="0"/>
    <n v="0"/>
    <n v="0"/>
    <n v="0"/>
    <n v="0"/>
    <n v="0"/>
    <n v="0"/>
    <n v="0"/>
    <n v="0"/>
    <n v="0"/>
    <s v=""/>
    <x v="1"/>
    <x v="2"/>
    <s v=""/>
    <s v=""/>
    <m/>
  </r>
  <r>
    <n v="12.233333333333333"/>
    <d v="2016-04-29T00:00:00"/>
    <x v="1"/>
    <s v="Solidarities"/>
    <s v="Kachin"/>
    <s v="Momauk"/>
    <s v="Ni Thaw Ka Monestry"/>
    <m/>
    <m/>
    <m/>
    <m/>
    <m/>
    <m/>
    <m/>
    <m/>
    <m/>
    <m/>
    <m/>
    <m/>
    <m/>
    <m/>
    <m/>
    <n v="10"/>
    <m/>
    <n v="0"/>
    <n v="0"/>
    <n v="0"/>
    <n v="0"/>
    <n v="0"/>
    <n v="0"/>
    <n v="0"/>
    <n v="0"/>
    <n v="0"/>
    <n v="0"/>
    <n v="0"/>
    <n v="0"/>
    <n v="0"/>
    <n v="0"/>
    <n v="0"/>
    <n v="0"/>
    <n v="0"/>
    <n v="0"/>
    <s v="MMR001CMP059"/>
    <x v="0"/>
    <x v="1"/>
    <s v="P4"/>
    <n v="0"/>
    <m/>
  </r>
  <r>
    <n v="12.2"/>
    <d v="2016-04-30T00:00:00"/>
    <x v="1"/>
    <s v="Solidarities"/>
    <s v="Kachin"/>
    <s v="Momauk"/>
    <s v="Nyaung Na Pin "/>
    <m/>
    <m/>
    <m/>
    <m/>
    <m/>
    <m/>
    <m/>
    <m/>
    <m/>
    <m/>
    <m/>
    <m/>
    <m/>
    <m/>
    <m/>
    <n v="5"/>
    <m/>
    <n v="0"/>
    <n v="0"/>
    <n v="0"/>
    <n v="0"/>
    <n v="0"/>
    <n v="0"/>
    <n v="0"/>
    <n v="0"/>
    <n v="0"/>
    <n v="0"/>
    <n v="0"/>
    <n v="0"/>
    <n v="0"/>
    <n v="0"/>
    <n v="0"/>
    <n v="0"/>
    <n v="0"/>
    <n v="0"/>
    <s v="MMR001CMP072"/>
    <x v="0"/>
    <x v="0"/>
    <s v="P3"/>
    <n v="0"/>
    <m/>
  </r>
  <r>
    <n v="12.2"/>
    <d v="2016-04-30T00:00:00"/>
    <x v="1"/>
    <s v="Solidarities"/>
    <s v="Kachin"/>
    <s v="Momauk"/>
    <s v="Seng Ja "/>
    <m/>
    <m/>
    <m/>
    <m/>
    <m/>
    <m/>
    <m/>
    <m/>
    <m/>
    <m/>
    <m/>
    <m/>
    <m/>
    <m/>
    <m/>
    <n v="4"/>
    <m/>
    <n v="0"/>
    <n v="0"/>
    <n v="0"/>
    <n v="0"/>
    <n v="0"/>
    <n v="0"/>
    <n v="0"/>
    <n v="0"/>
    <n v="0"/>
    <n v="0"/>
    <n v="0"/>
    <n v="0"/>
    <n v="0"/>
    <n v="0"/>
    <n v="0"/>
    <n v="0"/>
    <n v="0"/>
    <n v="0"/>
    <s v="MMR001CMP073"/>
    <x v="0"/>
    <x v="0"/>
    <s v="P3"/>
    <n v="0"/>
    <m/>
  </r>
  <r>
    <n v="12.033333333333333"/>
    <d v="2016-05-05T00:00:00"/>
    <x v="0"/>
    <s v="KMSS_Myitkyina"/>
    <s v="Kachin"/>
    <s v="Mogaung"/>
    <s v="Ma Hawng RC "/>
    <m/>
    <n v="7"/>
    <n v="7"/>
    <n v="13"/>
    <n v="7"/>
    <n v="13"/>
    <n v="7"/>
    <n v="7"/>
    <n v="7"/>
    <n v="13"/>
    <m/>
    <m/>
    <m/>
    <m/>
    <n v="7"/>
    <m/>
    <m/>
    <n v="0"/>
    <n v="0"/>
    <n v="0"/>
    <n v="0"/>
    <n v="0"/>
    <n v="0"/>
    <n v="0"/>
    <n v="0"/>
    <n v="0"/>
    <n v="0"/>
    <n v="0"/>
    <n v="0"/>
    <n v="0"/>
    <n v="0"/>
    <n v="0"/>
    <n v="0"/>
    <n v="0"/>
    <n v="0"/>
    <s v="MMR001CMP237"/>
    <x v="2"/>
    <x v="0"/>
    <n v="0"/>
    <n v="1.6617210682492583E-4"/>
    <m/>
  </r>
  <r>
    <n v="11.166666666666666"/>
    <d v="2016-05-31T00:00:00"/>
    <x v="1"/>
    <s v="Solidarities"/>
    <s v="Kachin"/>
    <s v="Mansi"/>
    <s v="Maing Khaung"/>
    <n v="25"/>
    <n v="25"/>
    <m/>
    <m/>
    <n v="25"/>
    <m/>
    <m/>
    <m/>
    <m/>
    <m/>
    <m/>
    <m/>
    <m/>
    <m/>
    <m/>
    <m/>
    <m/>
    <n v="25"/>
    <n v="25"/>
    <n v="0"/>
    <n v="0"/>
    <n v="25"/>
    <n v="0"/>
    <n v="0"/>
    <n v="0"/>
    <n v="0"/>
    <n v="0"/>
    <n v="0"/>
    <n v="0"/>
    <n v="0"/>
    <n v="0"/>
    <n v="0"/>
    <n v="0"/>
    <n v="0"/>
    <n v="0"/>
    <s v="MMR001CMP218"/>
    <x v="0"/>
    <x v="0"/>
    <s v="P4"/>
    <n v="0"/>
    <m/>
  </r>
  <r>
    <n v="10.766666666666667"/>
    <d v="2016-06-12T00:00:00"/>
    <x v="12"/>
    <s v="Relief International"/>
    <s v="Shan_North"/>
    <s v="Namtu"/>
    <s v="Namtu KBC 1"/>
    <m/>
    <m/>
    <m/>
    <m/>
    <n v="41"/>
    <m/>
    <m/>
    <m/>
    <m/>
    <m/>
    <m/>
    <m/>
    <m/>
    <m/>
    <m/>
    <m/>
    <m/>
    <n v="0"/>
    <n v="0"/>
    <n v="0"/>
    <n v="0"/>
    <n v="41"/>
    <n v="0"/>
    <n v="0"/>
    <n v="0"/>
    <n v="0"/>
    <n v="0"/>
    <n v="0"/>
    <n v="0"/>
    <n v="0"/>
    <n v="0"/>
    <n v="0"/>
    <n v="0"/>
    <n v="0"/>
    <n v="0"/>
    <s v="MMR015CMP230"/>
    <x v="0"/>
    <x v="1"/>
    <n v="0"/>
    <s v=""/>
    <m/>
  </r>
  <r>
    <n v="10.766666666666667"/>
    <d v="2016-06-12T00:00:00"/>
    <x v="12"/>
    <s v="Relief International"/>
    <s v="Shan_North"/>
    <s v="Namtu"/>
    <s v="Namtu RC"/>
    <m/>
    <m/>
    <m/>
    <m/>
    <n v="23"/>
    <m/>
    <m/>
    <m/>
    <m/>
    <m/>
    <m/>
    <m/>
    <m/>
    <m/>
    <m/>
    <m/>
    <m/>
    <n v="0"/>
    <n v="0"/>
    <n v="0"/>
    <n v="0"/>
    <n v="23"/>
    <n v="0"/>
    <n v="0"/>
    <n v="0"/>
    <n v="0"/>
    <n v="0"/>
    <n v="0"/>
    <n v="0"/>
    <n v="0"/>
    <n v="0"/>
    <n v="0"/>
    <n v="0"/>
    <n v="0"/>
    <n v="0"/>
    <s v="MMR015CMP229"/>
    <x v="0"/>
    <x v="0"/>
    <n v="0"/>
    <s v=""/>
    <m/>
  </r>
  <r>
    <n v="10.166666666666666"/>
    <d v="2016-06-30T00:00:00"/>
    <x v="1"/>
    <s v="Solidarities"/>
    <s v="Kachin"/>
    <s v="Bhamo"/>
    <s v="AD-2000 Tharthana Compound"/>
    <m/>
    <m/>
    <m/>
    <m/>
    <m/>
    <m/>
    <m/>
    <m/>
    <m/>
    <m/>
    <m/>
    <m/>
    <m/>
    <m/>
    <n v="2"/>
    <m/>
    <m/>
    <n v="0"/>
    <n v="0"/>
    <n v="0"/>
    <n v="0"/>
    <n v="0"/>
    <n v="0"/>
    <n v="0"/>
    <n v="0"/>
    <n v="0"/>
    <n v="0"/>
    <n v="0"/>
    <n v="0"/>
    <n v="0"/>
    <n v="0"/>
    <n v="0"/>
    <n v="2"/>
    <n v="0"/>
    <n v="0"/>
    <s v="MMR001CMP050"/>
    <x v="0"/>
    <x v="0"/>
    <s v="P4"/>
    <n v="0"/>
    <m/>
  </r>
  <r>
    <n v="10.166666666666666"/>
    <d v="2016-06-30T00:00:00"/>
    <x v="1"/>
    <s v="Solidarities"/>
    <s v="Kachin"/>
    <s v="Momauk"/>
    <s v="Loi Je Baptist Church"/>
    <m/>
    <m/>
    <m/>
    <m/>
    <m/>
    <m/>
    <m/>
    <m/>
    <m/>
    <m/>
    <m/>
    <m/>
    <m/>
    <m/>
    <n v="2"/>
    <m/>
    <m/>
    <n v="0"/>
    <n v="0"/>
    <n v="0"/>
    <n v="0"/>
    <n v="0"/>
    <n v="0"/>
    <n v="0"/>
    <n v="0"/>
    <n v="0"/>
    <n v="0"/>
    <n v="0"/>
    <n v="0"/>
    <n v="0"/>
    <n v="0"/>
    <n v="0"/>
    <n v="2"/>
    <n v="0"/>
    <n v="0"/>
    <s v="MMR001CMP071"/>
    <x v="0"/>
    <x v="0"/>
    <s v="P3"/>
    <n v="0"/>
    <m/>
  </r>
  <r>
    <n v="10.166666666666666"/>
    <d v="2016-06-30T00:00:00"/>
    <x v="1"/>
    <s v="Solidarities"/>
    <s v="Kachin"/>
    <s v="Momauk"/>
    <s v="Loi Je Lisu Camp"/>
    <m/>
    <m/>
    <m/>
    <m/>
    <m/>
    <m/>
    <m/>
    <m/>
    <m/>
    <m/>
    <m/>
    <m/>
    <m/>
    <m/>
    <n v="1"/>
    <m/>
    <m/>
    <n v="0"/>
    <n v="0"/>
    <n v="0"/>
    <n v="0"/>
    <n v="0"/>
    <n v="0"/>
    <n v="0"/>
    <n v="0"/>
    <n v="0"/>
    <n v="0"/>
    <n v="0"/>
    <n v="0"/>
    <n v="0"/>
    <n v="0"/>
    <n v="0"/>
    <n v="1"/>
    <n v="0"/>
    <n v="0"/>
    <s v="MMR001CMP070"/>
    <x v="0"/>
    <x v="0"/>
    <s v="P3"/>
    <n v="0"/>
    <m/>
  </r>
  <r>
    <n v="10.166666666666666"/>
    <d v="2016-06-30T00:00:00"/>
    <x v="1"/>
    <s v="Solidarities"/>
    <s v="Kachin"/>
    <s v="Momauk"/>
    <s v="Nyaung Na Pin "/>
    <m/>
    <m/>
    <m/>
    <m/>
    <m/>
    <m/>
    <m/>
    <m/>
    <m/>
    <m/>
    <m/>
    <m/>
    <m/>
    <m/>
    <n v="1"/>
    <m/>
    <m/>
    <n v="0"/>
    <n v="0"/>
    <n v="0"/>
    <n v="0"/>
    <n v="0"/>
    <n v="0"/>
    <n v="0"/>
    <n v="0"/>
    <n v="0"/>
    <n v="0"/>
    <n v="0"/>
    <n v="0"/>
    <n v="0"/>
    <n v="0"/>
    <n v="0"/>
    <n v="1"/>
    <n v="0"/>
    <n v="0"/>
    <s v="MMR001CMP072"/>
    <x v="0"/>
    <x v="0"/>
    <s v="P3"/>
    <n v="0"/>
    <m/>
  </r>
  <r>
    <n v="10.166666666666666"/>
    <d v="2016-06-30T00:00:00"/>
    <x v="1"/>
    <s v="Solidarities"/>
    <s v="Kachin"/>
    <s v="Bhamo"/>
    <s v="Phan Khar Kone"/>
    <m/>
    <m/>
    <m/>
    <m/>
    <m/>
    <m/>
    <m/>
    <m/>
    <m/>
    <m/>
    <m/>
    <m/>
    <m/>
    <m/>
    <n v="4"/>
    <m/>
    <m/>
    <n v="0"/>
    <n v="0"/>
    <n v="0"/>
    <n v="0"/>
    <n v="0"/>
    <n v="0"/>
    <n v="0"/>
    <n v="0"/>
    <n v="0"/>
    <n v="0"/>
    <n v="0"/>
    <n v="0"/>
    <n v="0"/>
    <n v="0"/>
    <n v="0"/>
    <n v="4"/>
    <n v="0"/>
    <n v="0"/>
    <s v="MMR001CMP193"/>
    <x v="0"/>
    <x v="0"/>
    <s v="P4"/>
    <n v="0"/>
    <m/>
  </r>
  <r>
    <n v="10.166666666666666"/>
    <d v="2016-06-30T00:00:00"/>
    <x v="1"/>
    <s v="Solidarities"/>
    <s v="Kachin"/>
    <s v="Momauk"/>
    <s v="Seng Ja "/>
    <m/>
    <m/>
    <m/>
    <m/>
    <m/>
    <m/>
    <m/>
    <m/>
    <m/>
    <m/>
    <m/>
    <m/>
    <m/>
    <m/>
    <n v="1"/>
    <m/>
    <m/>
    <n v="0"/>
    <n v="0"/>
    <n v="0"/>
    <n v="0"/>
    <n v="0"/>
    <n v="0"/>
    <n v="0"/>
    <n v="0"/>
    <n v="0"/>
    <n v="0"/>
    <n v="0"/>
    <n v="0"/>
    <n v="0"/>
    <n v="0"/>
    <n v="0"/>
    <n v="1"/>
    <n v="0"/>
    <n v="0"/>
    <s v="MMR001CMP073"/>
    <x v="0"/>
    <x v="0"/>
    <s v="P3"/>
    <n v="0"/>
    <m/>
  </r>
  <r>
    <n v="10.833333333333334"/>
    <d v="2016-06-10T00:00:00"/>
    <x v="0"/>
    <s v="UNHCR"/>
    <s v="Kachin"/>
    <s v="Sumprabum"/>
    <s v="Lisu Manau Park"/>
    <m/>
    <m/>
    <m/>
    <n v="25"/>
    <n v="8"/>
    <n v="66"/>
    <n v="34"/>
    <m/>
    <n v="6"/>
    <n v="104"/>
    <m/>
    <m/>
    <m/>
    <m/>
    <m/>
    <m/>
    <m/>
    <n v="0"/>
    <n v="0"/>
    <n v="0"/>
    <n v="25"/>
    <n v="8"/>
    <n v="66"/>
    <n v="34"/>
    <n v="0"/>
    <n v="6"/>
    <n v="260"/>
    <n v="0"/>
    <n v="0"/>
    <n v="0"/>
    <n v="0"/>
    <n v="0"/>
    <n v="0"/>
    <n v="0"/>
    <n v="0"/>
    <s v=""/>
    <x v="1"/>
    <x v="2"/>
    <s v=""/>
    <s v=""/>
    <s v="No"/>
  </r>
  <r>
    <n v="10.166666666666666"/>
    <d v="2016-06-30T00:00:00"/>
    <x v="1"/>
    <s v="Solidarities"/>
    <s v="Kachin"/>
    <s v="Bhamo"/>
    <s v="Ta Gun Taing Monastery (Shwe Kyi Na)"/>
    <m/>
    <m/>
    <m/>
    <m/>
    <m/>
    <m/>
    <m/>
    <m/>
    <m/>
    <m/>
    <m/>
    <m/>
    <m/>
    <m/>
    <n v="2"/>
    <m/>
    <m/>
    <n v="0"/>
    <n v="0"/>
    <n v="0"/>
    <n v="0"/>
    <n v="0"/>
    <n v="0"/>
    <n v="0"/>
    <n v="0"/>
    <n v="0"/>
    <n v="0"/>
    <n v="0"/>
    <n v="0"/>
    <n v="0"/>
    <n v="0"/>
    <n v="0"/>
    <n v="2"/>
    <n v="0"/>
    <n v="0"/>
    <s v="MMR001CMP055"/>
    <x v="0"/>
    <x v="0"/>
    <s v="P4"/>
    <n v="0"/>
    <m/>
  </r>
  <r>
    <n v="9.6333333333333329"/>
    <d v="2016-07-16T00:00:00"/>
    <x v="12"/>
    <s v="Relief International"/>
    <s v="Shan_North"/>
    <s v="Namtu"/>
    <s v="Nam Tu Baptist"/>
    <n v="40"/>
    <m/>
    <m/>
    <m/>
    <n v="40"/>
    <m/>
    <m/>
    <m/>
    <m/>
    <m/>
    <m/>
    <m/>
    <m/>
    <m/>
    <m/>
    <m/>
    <m/>
    <n v="40"/>
    <n v="0"/>
    <n v="0"/>
    <n v="0"/>
    <n v="40"/>
    <n v="0"/>
    <n v="0"/>
    <n v="0"/>
    <n v="0"/>
    <n v="0"/>
    <n v="0"/>
    <n v="0"/>
    <n v="0"/>
    <n v="0"/>
    <n v="0"/>
    <n v="0"/>
    <n v="0"/>
    <n v="0"/>
    <s v="MMR015CMP014"/>
    <x v="0"/>
    <x v="0"/>
    <s v="P3"/>
    <n v="0"/>
    <m/>
  </r>
  <r>
    <n v="8.9666666666666668"/>
    <d v="2016-08-05T00:00:00"/>
    <x v="0"/>
    <s v="KMSS_Myitkyina"/>
    <s v="Kachin"/>
    <s v="Hpakant"/>
    <s v="Mandung - RC"/>
    <m/>
    <n v="53"/>
    <n v="53"/>
    <n v="131"/>
    <n v="53"/>
    <n v="131"/>
    <n v="53"/>
    <m/>
    <n v="53"/>
    <n v="131"/>
    <m/>
    <m/>
    <m/>
    <m/>
    <n v="53"/>
    <m/>
    <m/>
    <n v="0"/>
    <n v="53"/>
    <n v="53"/>
    <n v="131"/>
    <n v="53"/>
    <n v="131"/>
    <n v="53"/>
    <n v="0"/>
    <n v="53"/>
    <n v="327.5"/>
    <n v="0"/>
    <n v="0"/>
    <n v="0"/>
    <n v="0"/>
    <n v="0"/>
    <n v="53"/>
    <n v="0"/>
    <n v="0"/>
    <s v="MMR015CMP209"/>
    <x v="0"/>
    <x v="0"/>
    <s v="P3"/>
    <n v="1.2917377528637581E-3"/>
    <m/>
  </r>
  <r>
    <n v="8.9666666666666668"/>
    <d v="2016-08-05T00:00:00"/>
    <x v="0"/>
    <s v="KBC"/>
    <s v="Kachin"/>
    <s v="Hpakant"/>
    <s v="Wara Zup KBC Church"/>
    <m/>
    <n v="23"/>
    <m/>
    <n v="38"/>
    <n v="23"/>
    <n v="38"/>
    <n v="23"/>
    <m/>
    <n v="23"/>
    <n v="55"/>
    <m/>
    <m/>
    <m/>
    <m/>
    <n v="23"/>
    <m/>
    <n v="9"/>
    <n v="0"/>
    <n v="23"/>
    <n v="0"/>
    <n v="38"/>
    <n v="23"/>
    <n v="38"/>
    <n v="23"/>
    <n v="0"/>
    <n v="23"/>
    <n v="137.5"/>
    <n v="0"/>
    <n v="0"/>
    <n v="0"/>
    <n v="0"/>
    <n v="0"/>
    <n v="23"/>
    <n v="0"/>
    <n v="9"/>
    <s v="MMR001CMP242"/>
    <x v="2"/>
    <x v="0"/>
    <n v="0"/>
    <n v="5.4283691291007793E-4"/>
    <m/>
  </r>
  <r>
    <n v="8.9333333333333336"/>
    <d v="2016-08-06T00:00:00"/>
    <x v="0"/>
    <s v="KMSS"/>
    <s v="Kachin"/>
    <s v="Hpakant"/>
    <s v="Muyin church (Aung Yar pre-school compound)"/>
    <m/>
    <n v="25"/>
    <n v="25"/>
    <n v="38"/>
    <n v="25"/>
    <n v="49"/>
    <n v="25"/>
    <m/>
    <n v="25"/>
    <n v="47"/>
    <m/>
    <m/>
    <m/>
    <m/>
    <n v="25"/>
    <m/>
    <m/>
    <m/>
    <m/>
    <m/>
    <m/>
    <m/>
    <m/>
    <m/>
    <m/>
    <m/>
    <m/>
    <m/>
    <m/>
    <m/>
    <m/>
    <m/>
    <m/>
    <n v="0"/>
    <n v="0"/>
    <s v="MMR001CMP247"/>
    <x v="2"/>
    <x v="0"/>
    <n v="0"/>
    <n v="5.8707495773060309E-4"/>
    <s v="No"/>
  </r>
  <r>
    <n v="8.9333333333333336"/>
    <d v="2016-08-06T00:00:00"/>
    <x v="0"/>
    <s v="KMSS"/>
    <s v="Kachin"/>
    <s v="Hpakant"/>
    <s v="Shar Du Zut RC church"/>
    <m/>
    <n v="7"/>
    <n v="7"/>
    <n v="7"/>
    <n v="7"/>
    <n v="9"/>
    <n v="7"/>
    <m/>
    <n v="7"/>
    <n v="11"/>
    <m/>
    <m/>
    <m/>
    <m/>
    <n v="7"/>
    <m/>
    <m/>
    <n v="0"/>
    <n v="7"/>
    <n v="7"/>
    <n v="7"/>
    <n v="7"/>
    <n v="9"/>
    <n v="7"/>
    <n v="0"/>
    <n v="7"/>
    <n v="27.5"/>
    <n v="0"/>
    <n v="0"/>
    <n v="0"/>
    <n v="0"/>
    <n v="0"/>
    <n v="7"/>
    <n v="0"/>
    <n v="0"/>
    <s v="MMR001CMP246"/>
    <x v="2"/>
    <x v="0"/>
    <n v="0"/>
    <n v="1.6438098816456886E-4"/>
    <s v="No"/>
  </r>
  <r>
    <n v="8.8000000000000007"/>
    <d v="2016-08-10T00:00:00"/>
    <x v="0"/>
    <s v="KBC"/>
    <s v="Kachin"/>
    <s v="Hpakant"/>
    <s v="Njang Dung Baptist Church "/>
    <m/>
    <n v="4"/>
    <n v="4"/>
    <n v="10"/>
    <n v="117"/>
    <n v="10"/>
    <n v="4"/>
    <m/>
    <n v="8"/>
    <n v="16"/>
    <m/>
    <m/>
    <m/>
    <m/>
    <n v="4"/>
    <m/>
    <m/>
    <m/>
    <m/>
    <m/>
    <m/>
    <m/>
    <m/>
    <m/>
    <m/>
    <m/>
    <m/>
    <m/>
    <m/>
    <m/>
    <m/>
    <m/>
    <m/>
    <n v="0"/>
    <n v="0"/>
    <s v="MMR001CMP002"/>
    <x v="0"/>
    <x v="0"/>
    <m/>
    <m/>
    <m/>
  </r>
  <r>
    <n v="8.7333333333333325"/>
    <d v="2016-08-12T00:00:00"/>
    <x v="12"/>
    <s v="Relief International"/>
    <s v="Shan_North"/>
    <s v="Hsipaw"/>
    <s v="Man Kaung/Naung Ti Kyar Village"/>
    <m/>
    <m/>
    <m/>
    <m/>
    <n v="38"/>
    <m/>
    <m/>
    <m/>
    <m/>
    <m/>
    <m/>
    <m/>
    <m/>
    <m/>
    <m/>
    <m/>
    <m/>
    <n v="0"/>
    <n v="0"/>
    <n v="0"/>
    <n v="0"/>
    <n v="38"/>
    <n v="0"/>
    <n v="0"/>
    <n v="0"/>
    <n v="0"/>
    <n v="0"/>
    <n v="0"/>
    <n v="0"/>
    <n v="0"/>
    <n v="0"/>
    <n v="0"/>
    <n v="0"/>
    <n v="0"/>
    <n v="0"/>
    <s v="MMR015CMP244"/>
    <x v="0"/>
    <x v="0"/>
    <n v="0"/>
    <s v=""/>
    <m/>
  </r>
  <r>
    <n v="8.5333333333333332"/>
    <d v="2016-08-18T00:00:00"/>
    <x v="13"/>
    <s v="KBC"/>
    <s v="Kachin"/>
    <s v="Myitkyina"/>
    <s v="Man Hkring Baptist Church"/>
    <m/>
    <m/>
    <m/>
    <m/>
    <n v="29"/>
    <m/>
    <m/>
    <m/>
    <m/>
    <m/>
    <m/>
    <m/>
    <m/>
    <m/>
    <m/>
    <m/>
    <m/>
    <n v="0"/>
    <n v="0"/>
    <n v="0"/>
    <n v="0"/>
    <n v="29"/>
    <n v="0"/>
    <n v="0"/>
    <n v="0"/>
    <n v="0"/>
    <n v="0"/>
    <n v="0"/>
    <n v="0"/>
    <n v="0"/>
    <n v="0"/>
    <n v="0"/>
    <n v="0"/>
    <n v="0"/>
    <n v="0"/>
    <s v="MMR001CMP008"/>
    <x v="0"/>
    <x v="0"/>
    <s v="P4"/>
    <n v="0"/>
    <m/>
  </r>
  <r>
    <n v="8.1"/>
    <d v="2016-08-31T00:00:00"/>
    <x v="1"/>
    <s v="Solidarities"/>
    <s v="Kachin"/>
    <s v="Bhamo"/>
    <s v="AD-2000 Tharthana Compound"/>
    <m/>
    <m/>
    <m/>
    <m/>
    <m/>
    <m/>
    <m/>
    <m/>
    <m/>
    <m/>
    <m/>
    <m/>
    <m/>
    <m/>
    <n v="1"/>
    <m/>
    <m/>
    <n v="0"/>
    <n v="0"/>
    <n v="0"/>
    <n v="0"/>
    <n v="0"/>
    <n v="0"/>
    <n v="0"/>
    <n v="0"/>
    <n v="0"/>
    <n v="0"/>
    <n v="0"/>
    <n v="0"/>
    <n v="0"/>
    <n v="0"/>
    <n v="0"/>
    <n v="1"/>
    <n v="0"/>
    <n v="0"/>
    <s v="MMR001CMP050"/>
    <x v="0"/>
    <x v="0"/>
    <s v="P4"/>
    <n v="0"/>
    <m/>
  </r>
  <r>
    <n v="9.6333333333333329"/>
    <d v="2016-07-16T00:00:00"/>
    <x v="12"/>
    <s v="Relief International"/>
    <s v="Shan_North"/>
    <s v="Namtu"/>
    <s v="Shwe Myint Thar Monastry "/>
    <n v="59"/>
    <m/>
    <m/>
    <m/>
    <n v="59"/>
    <m/>
    <m/>
    <m/>
    <m/>
    <m/>
    <m/>
    <m/>
    <m/>
    <m/>
    <m/>
    <m/>
    <m/>
    <n v="59"/>
    <n v="0"/>
    <n v="0"/>
    <n v="0"/>
    <n v="59"/>
    <n v="0"/>
    <n v="0"/>
    <n v="0"/>
    <n v="0"/>
    <n v="0"/>
    <n v="0"/>
    <n v="0"/>
    <n v="0"/>
    <n v="0"/>
    <n v="0"/>
    <n v="0"/>
    <n v="0"/>
    <n v="0"/>
    <s v="MMR015CMP228"/>
    <x v="0"/>
    <x v="1"/>
    <n v="0"/>
    <s v=""/>
    <m/>
  </r>
  <r>
    <n v="8.1"/>
    <d v="2016-08-31T00:00:00"/>
    <x v="1"/>
    <s v="Solidarities"/>
    <s v="Kachin"/>
    <s v="Bhamo"/>
    <s v="Robert Church"/>
    <m/>
    <m/>
    <m/>
    <m/>
    <m/>
    <m/>
    <m/>
    <m/>
    <m/>
    <m/>
    <m/>
    <m/>
    <m/>
    <m/>
    <n v="1"/>
    <m/>
    <m/>
    <n v="0"/>
    <n v="0"/>
    <n v="0"/>
    <n v="0"/>
    <n v="0"/>
    <n v="0"/>
    <n v="0"/>
    <n v="0"/>
    <n v="0"/>
    <n v="0"/>
    <n v="0"/>
    <n v="0"/>
    <n v="0"/>
    <n v="0"/>
    <n v="0"/>
    <n v="1"/>
    <n v="0"/>
    <n v="0"/>
    <s v="MMR001CMP047"/>
    <x v="0"/>
    <x v="0"/>
    <s v="P4"/>
    <n v="0"/>
    <m/>
  </r>
  <r>
    <n v="8.1"/>
    <d v="2016-08-31T00:00:00"/>
    <x v="1"/>
    <s v="Solidarities"/>
    <s v="Kachin"/>
    <s v="Hpakant"/>
    <s v="Shar Du Zut KBC church "/>
    <n v="165"/>
    <n v="139"/>
    <m/>
    <m/>
    <m/>
    <m/>
    <m/>
    <m/>
    <m/>
    <m/>
    <m/>
    <m/>
    <m/>
    <m/>
    <n v="8"/>
    <m/>
    <m/>
    <n v="165"/>
    <n v="139"/>
    <n v="0"/>
    <n v="0"/>
    <n v="0"/>
    <n v="0"/>
    <n v="0"/>
    <n v="0"/>
    <n v="0"/>
    <n v="0"/>
    <n v="0"/>
    <n v="0"/>
    <n v="0"/>
    <n v="0"/>
    <n v="0"/>
    <n v="8"/>
    <n v="0"/>
    <n v="0"/>
    <s v="MMR001CMP244"/>
    <x v="2"/>
    <x v="0"/>
    <n v="0"/>
    <n v="0"/>
    <m/>
  </r>
  <r>
    <n v="8.9333333333333336"/>
    <d v="2016-08-06T00:00:00"/>
    <x v="0"/>
    <s v="KMSS"/>
    <s v="Kachin"/>
    <s v="Hpakant"/>
    <s v="A Lo Taw Pyae monastery"/>
    <m/>
    <n v="21"/>
    <n v="21"/>
    <n v="27"/>
    <n v="21"/>
    <n v="30"/>
    <n v="21"/>
    <m/>
    <n v="21"/>
    <n v="33"/>
    <m/>
    <m/>
    <m/>
    <m/>
    <n v="21"/>
    <m/>
    <m/>
    <n v="0"/>
    <n v="21"/>
    <n v="21"/>
    <n v="27"/>
    <n v="21"/>
    <n v="30"/>
    <n v="21"/>
    <n v="0"/>
    <n v="21"/>
    <n v="82.5"/>
    <n v="0"/>
    <n v="0"/>
    <n v="0"/>
    <n v="0"/>
    <n v="0"/>
    <n v="21"/>
    <n v="0"/>
    <n v="0"/>
    <s v="MMR001CMP243"/>
    <x v="2"/>
    <x v="1"/>
    <n v="0"/>
    <n v="4.931429644937066E-4"/>
    <m/>
  </r>
  <r>
    <n v="8.9333333333333336"/>
    <d v="2016-08-06T00:00:00"/>
    <x v="0"/>
    <s v="KMSS_Myitkyina"/>
    <s v="Kachin"/>
    <s v="Hpakant"/>
    <s v="A Lo Taw Pyae monastery"/>
    <m/>
    <n v="21"/>
    <n v="21"/>
    <n v="27"/>
    <n v="21"/>
    <n v="30"/>
    <n v="21"/>
    <m/>
    <n v="21"/>
    <n v="33"/>
    <m/>
    <m/>
    <m/>
    <m/>
    <n v="21"/>
    <m/>
    <m/>
    <m/>
    <m/>
    <m/>
    <m/>
    <m/>
    <m/>
    <m/>
    <m/>
    <m/>
    <m/>
    <m/>
    <m/>
    <m/>
    <m/>
    <m/>
    <m/>
    <m/>
    <m/>
    <m/>
    <x v="1"/>
    <x v="1"/>
    <m/>
    <m/>
    <m/>
  </r>
  <r>
    <n v="7.7"/>
    <d v="2016-09-12T00:00:00"/>
    <x v="12"/>
    <s v="Relief International"/>
    <s v="Shan_North"/>
    <s v="Namtu"/>
    <s v="Namtu KBC 2"/>
    <m/>
    <m/>
    <m/>
    <m/>
    <n v="18"/>
    <m/>
    <m/>
    <m/>
    <m/>
    <m/>
    <m/>
    <m/>
    <m/>
    <m/>
    <m/>
    <m/>
    <m/>
    <n v="0"/>
    <n v="0"/>
    <n v="0"/>
    <n v="0"/>
    <n v="18"/>
    <n v="0"/>
    <n v="0"/>
    <n v="0"/>
    <n v="0"/>
    <n v="0"/>
    <n v="0"/>
    <n v="0"/>
    <n v="0"/>
    <n v="0"/>
    <n v="0"/>
    <n v="0"/>
    <n v="0"/>
    <n v="0"/>
    <s v="MMR015CMP231"/>
    <x v="0"/>
    <x v="1"/>
    <n v="0"/>
    <s v=""/>
    <m/>
  </r>
  <r>
    <n v="7.1"/>
    <d v="2016-09-30T00:00:00"/>
    <x v="1"/>
    <s v="Solidarities"/>
    <s v="Kachin"/>
    <s v="Momauk"/>
    <s v="Momauk Baptist Church"/>
    <m/>
    <m/>
    <m/>
    <m/>
    <m/>
    <m/>
    <m/>
    <m/>
    <m/>
    <m/>
    <m/>
    <m/>
    <m/>
    <m/>
    <n v="1"/>
    <m/>
    <m/>
    <n v="0"/>
    <n v="0"/>
    <n v="0"/>
    <n v="0"/>
    <n v="0"/>
    <n v="0"/>
    <n v="0"/>
    <n v="0"/>
    <n v="0"/>
    <n v="0"/>
    <n v="0"/>
    <n v="0"/>
    <n v="0"/>
    <n v="0"/>
    <n v="0"/>
    <n v="1"/>
    <n v="0"/>
    <n v="0"/>
    <s v="MMR001CMP056"/>
    <x v="0"/>
    <x v="0"/>
    <s v="P4"/>
    <n v="0"/>
    <m/>
  </r>
  <r>
    <n v="7.1"/>
    <d v="2016-09-30T00:00:00"/>
    <x v="12"/>
    <s v="Relief International"/>
    <s v="Shan_North"/>
    <s v="Namtu"/>
    <s v="Nam Tu Baptist"/>
    <n v="11"/>
    <m/>
    <m/>
    <m/>
    <n v="11"/>
    <m/>
    <m/>
    <m/>
    <m/>
    <m/>
    <m/>
    <m/>
    <m/>
    <m/>
    <m/>
    <m/>
    <m/>
    <n v="11"/>
    <n v="0"/>
    <n v="0"/>
    <n v="0"/>
    <n v="11"/>
    <n v="0"/>
    <n v="0"/>
    <n v="0"/>
    <n v="0"/>
    <n v="0"/>
    <n v="0"/>
    <n v="0"/>
    <n v="0"/>
    <n v="0"/>
    <n v="0"/>
    <n v="0"/>
    <n v="0"/>
    <n v="0"/>
    <s v="MMR015CMP014"/>
    <x v="0"/>
    <x v="0"/>
    <s v="P3"/>
    <n v="0"/>
    <m/>
  </r>
  <r>
    <n v="7.1"/>
    <d v="2016-09-30T00:00:00"/>
    <x v="1"/>
    <s v="Solidarities"/>
    <s v="Kachin"/>
    <s v="Bhamo"/>
    <s v="Phan Khar Kone"/>
    <m/>
    <m/>
    <m/>
    <m/>
    <m/>
    <m/>
    <m/>
    <m/>
    <m/>
    <m/>
    <m/>
    <m/>
    <m/>
    <m/>
    <n v="1"/>
    <m/>
    <m/>
    <n v="0"/>
    <n v="0"/>
    <n v="0"/>
    <n v="0"/>
    <n v="0"/>
    <n v="0"/>
    <n v="0"/>
    <n v="0"/>
    <n v="0"/>
    <n v="0"/>
    <n v="0"/>
    <n v="0"/>
    <n v="0"/>
    <n v="0"/>
    <n v="0"/>
    <n v="1"/>
    <n v="0"/>
    <n v="0"/>
    <s v="MMR001CMP193"/>
    <x v="0"/>
    <x v="0"/>
    <s v="P4"/>
    <n v="0"/>
    <m/>
  </r>
  <r>
    <n v="6.0666666666666664"/>
    <d v="2016-10-31T00:00:00"/>
    <x v="1"/>
    <s v="Solidarities"/>
    <s v="Kachin"/>
    <s v="Momauk"/>
    <s v="Loi Je Catholic Church"/>
    <m/>
    <m/>
    <m/>
    <m/>
    <m/>
    <m/>
    <m/>
    <m/>
    <m/>
    <m/>
    <m/>
    <m/>
    <m/>
    <m/>
    <n v="1"/>
    <m/>
    <m/>
    <n v="0"/>
    <n v="0"/>
    <n v="0"/>
    <n v="0"/>
    <n v="0"/>
    <n v="0"/>
    <n v="0"/>
    <n v="0"/>
    <n v="0"/>
    <n v="0"/>
    <n v="0"/>
    <n v="0"/>
    <n v="0"/>
    <n v="0"/>
    <n v="0"/>
    <n v="1"/>
    <n v="0"/>
    <n v="0"/>
    <s v="MMR001CMP069"/>
    <x v="0"/>
    <x v="0"/>
    <s v="P3"/>
    <n v="0"/>
    <m/>
  </r>
  <r>
    <n v="6.0666666666666664"/>
    <d v="2016-10-31T00:00:00"/>
    <x v="1"/>
    <s v="Solidarities"/>
    <s v="Kachin"/>
    <s v="Momauk"/>
    <s v="Seng Ja "/>
    <m/>
    <m/>
    <m/>
    <m/>
    <m/>
    <m/>
    <m/>
    <m/>
    <m/>
    <m/>
    <m/>
    <m/>
    <m/>
    <m/>
    <n v="2"/>
    <m/>
    <m/>
    <n v="0"/>
    <n v="0"/>
    <n v="0"/>
    <n v="0"/>
    <n v="0"/>
    <n v="0"/>
    <n v="0"/>
    <n v="0"/>
    <n v="0"/>
    <n v="0"/>
    <n v="0"/>
    <n v="0"/>
    <n v="0"/>
    <n v="0"/>
    <n v="0"/>
    <n v="2"/>
    <n v="0"/>
    <n v="0"/>
    <s v="MMR001CMP073"/>
    <x v="0"/>
    <x v="0"/>
    <s v="P3"/>
    <n v="0"/>
    <m/>
  </r>
  <r>
    <n v="5.1333333333333337"/>
    <d v="2016-11-28T00:00:00"/>
    <x v="0"/>
    <s v="KBC"/>
    <s v="Shan_North"/>
    <s v="Muse"/>
    <s v="Muse Baptist Church"/>
    <m/>
    <m/>
    <m/>
    <n v="76"/>
    <n v="38"/>
    <n v="76"/>
    <m/>
    <m/>
    <n v="38"/>
    <n v="114"/>
    <m/>
    <m/>
    <m/>
    <m/>
    <m/>
    <m/>
    <m/>
    <n v="0"/>
    <n v="0"/>
    <n v="0"/>
    <n v="76"/>
    <n v="38"/>
    <n v="76"/>
    <n v="0"/>
    <n v="0"/>
    <n v="38"/>
    <n v="285"/>
    <n v="0"/>
    <n v="0"/>
    <n v="0"/>
    <n v="0"/>
    <n v="0"/>
    <n v="0"/>
    <n v="0"/>
    <n v="0"/>
    <s v="MMR015CMP213"/>
    <x v="2"/>
    <x v="0"/>
    <s v="P4"/>
    <n v="0"/>
    <m/>
  </r>
  <r>
    <n v="5.0666666666666664"/>
    <d v="2016-11-30T00:00:00"/>
    <x v="1"/>
    <s v="Solidarities"/>
    <s v="Kachin"/>
    <s v="Bhamo"/>
    <s v="Phan Khar Kone"/>
    <m/>
    <m/>
    <m/>
    <m/>
    <m/>
    <m/>
    <m/>
    <m/>
    <m/>
    <m/>
    <m/>
    <m/>
    <m/>
    <m/>
    <n v="2"/>
    <m/>
    <m/>
    <n v="0"/>
    <n v="0"/>
    <n v="0"/>
    <n v="0"/>
    <n v="0"/>
    <n v="0"/>
    <n v="0"/>
    <n v="0"/>
    <n v="0"/>
    <n v="0"/>
    <n v="0"/>
    <n v="0"/>
    <n v="0"/>
    <n v="0"/>
    <n v="0"/>
    <n v="2"/>
    <n v="0"/>
    <n v="0"/>
    <s v="MMR001CMP193"/>
    <x v="0"/>
    <x v="0"/>
    <s v="P4"/>
    <n v="0"/>
    <m/>
  </r>
  <r>
    <n v="5.0666666666666664"/>
    <d v="2016-11-30T00:00:00"/>
    <x v="1"/>
    <s v="Solidarities"/>
    <s v="Kachin"/>
    <s v="Bhamo"/>
    <s v="Robert Church"/>
    <m/>
    <m/>
    <m/>
    <m/>
    <m/>
    <m/>
    <m/>
    <m/>
    <m/>
    <m/>
    <m/>
    <m/>
    <m/>
    <m/>
    <n v="5"/>
    <m/>
    <m/>
    <n v="0"/>
    <n v="0"/>
    <n v="0"/>
    <n v="0"/>
    <n v="0"/>
    <n v="0"/>
    <n v="0"/>
    <n v="0"/>
    <n v="0"/>
    <n v="0"/>
    <n v="0"/>
    <n v="0"/>
    <n v="0"/>
    <n v="0"/>
    <n v="0"/>
    <n v="5"/>
    <n v="0"/>
    <n v="0"/>
    <s v="MMR001CMP047"/>
    <x v="0"/>
    <x v="0"/>
    <s v="P4"/>
    <n v="0"/>
    <m/>
  </r>
  <r>
    <n v="3.9666666666666668"/>
    <d v="2017-01-02T00:00:00"/>
    <x v="0"/>
    <s v="KBC"/>
    <s v="Kachin"/>
    <s v="Waingmaw"/>
    <s v="Maina KBC (Bawng Ring)"/>
    <m/>
    <m/>
    <m/>
    <m/>
    <m/>
    <m/>
    <m/>
    <m/>
    <m/>
    <m/>
    <m/>
    <m/>
    <m/>
    <m/>
    <m/>
    <m/>
    <n v="17"/>
    <n v="0"/>
    <n v="0"/>
    <n v="0"/>
    <n v="0"/>
    <n v="0"/>
    <n v="0"/>
    <n v="0"/>
    <n v="0"/>
    <n v="0"/>
    <n v="0"/>
    <n v="0"/>
    <n v="0"/>
    <n v="0"/>
    <n v="0"/>
    <n v="0"/>
    <n v="0"/>
    <n v="0"/>
    <n v="17"/>
    <s v="MMR001CMP040"/>
    <x v="3"/>
    <x v="0"/>
    <s v="P4"/>
    <n v="0"/>
    <m/>
  </r>
  <r>
    <n v="3.7"/>
    <d v="2017-01-10T00:00:00"/>
    <x v="0"/>
    <s v="KMSS_Myitkyina"/>
    <s v="Kachin"/>
    <s v="Myitkyina"/>
    <s v="Jan Mai Kawng Catholic Church"/>
    <m/>
    <n v="1"/>
    <n v="1"/>
    <n v="4"/>
    <n v="1"/>
    <n v="4"/>
    <n v="1"/>
    <m/>
    <n v="1"/>
    <n v="4"/>
    <m/>
    <m/>
    <m/>
    <m/>
    <n v="1"/>
    <m/>
    <m/>
    <m/>
    <m/>
    <m/>
    <m/>
    <m/>
    <m/>
    <m/>
    <m/>
    <m/>
    <m/>
    <m/>
    <m/>
    <m/>
    <m/>
    <m/>
    <m/>
    <m/>
    <m/>
    <s v="MMR001CMP019"/>
    <x v="4"/>
    <x v="0"/>
    <s v="P4"/>
    <n v="2.4554941682013504E-5"/>
    <m/>
  </r>
  <r>
    <n v="3.7"/>
    <d v="2017-01-10T00:00:00"/>
    <x v="0"/>
    <s v="KMSS_Myitkyina"/>
    <s v="Kachin"/>
    <s v="Waingmaw"/>
    <s v="Maina Catholic Church (St. Joseph)"/>
    <m/>
    <n v="6"/>
    <n v="6"/>
    <n v="10"/>
    <n v="6"/>
    <n v="18"/>
    <n v="6"/>
    <m/>
    <n v="6"/>
    <n v="17"/>
    <m/>
    <m/>
    <m/>
    <m/>
    <n v="6"/>
    <m/>
    <m/>
    <m/>
    <m/>
    <m/>
    <m/>
    <m/>
    <m/>
    <m/>
    <m/>
    <m/>
    <m/>
    <m/>
    <m/>
    <m/>
    <m/>
    <m/>
    <m/>
    <m/>
    <m/>
    <s v="MMR001CMP029"/>
    <x v="4"/>
    <x v="0"/>
    <s v="P4"/>
    <n v="1.4483657606334185E-4"/>
    <m/>
  </r>
  <r>
    <n v="7.1"/>
    <d v="2016-09-30T00:00:00"/>
    <x v="12"/>
    <s v="Relief International"/>
    <s v="Shan_North"/>
    <s v="Namtu"/>
    <s v="Shwe Myint Thar Monastry "/>
    <n v="11"/>
    <m/>
    <m/>
    <m/>
    <n v="11"/>
    <m/>
    <m/>
    <m/>
    <m/>
    <m/>
    <m/>
    <m/>
    <m/>
    <m/>
    <m/>
    <m/>
    <m/>
    <n v="11"/>
    <n v="0"/>
    <n v="0"/>
    <n v="0"/>
    <n v="11"/>
    <n v="0"/>
    <n v="0"/>
    <n v="0"/>
    <n v="0"/>
    <n v="0"/>
    <n v="0"/>
    <n v="0"/>
    <n v="0"/>
    <n v="0"/>
    <n v="0"/>
    <n v="0"/>
    <n v="0"/>
    <n v="0"/>
    <s v="MMR015CMP228"/>
    <x v="0"/>
    <x v="1"/>
    <n v="0"/>
    <s v=""/>
    <m/>
  </r>
  <r>
    <n v="3.5333333333333332"/>
    <d v="2017-01-15T00:00:00"/>
    <x v="1"/>
    <s v="Solidarities"/>
    <s v="Kachin"/>
    <s v="Mansi"/>
    <s v="Maing Khaung"/>
    <n v="15"/>
    <m/>
    <n v="135"/>
    <m/>
    <m/>
    <m/>
    <m/>
    <m/>
    <n v="15"/>
    <m/>
    <m/>
    <m/>
    <m/>
    <m/>
    <n v="15"/>
    <m/>
    <m/>
    <n v="15"/>
    <n v="0"/>
    <n v="135"/>
    <n v="0"/>
    <n v="0"/>
    <n v="0"/>
    <n v="0"/>
    <n v="0"/>
    <n v="15"/>
    <n v="0"/>
    <n v="0"/>
    <n v="0"/>
    <n v="0"/>
    <n v="0"/>
    <n v="0"/>
    <n v="15"/>
    <n v="0"/>
    <n v="0"/>
    <s v="MMR001CMP218"/>
    <x v="3"/>
    <x v="0"/>
    <s v="P4"/>
    <n v="0"/>
    <m/>
  </r>
  <r>
    <n v="3.4333333333333331"/>
    <d v="2017-01-18T00:00:00"/>
    <x v="1"/>
    <s v="Solidarities"/>
    <s v="Kachin"/>
    <s v="Momauk"/>
    <s v="Hpun Lum Yang "/>
    <n v="73"/>
    <n v="73"/>
    <n v="657"/>
    <n v="146"/>
    <m/>
    <n v="146"/>
    <m/>
    <m/>
    <n v="73"/>
    <n v="146"/>
    <m/>
    <m/>
    <m/>
    <m/>
    <n v="73"/>
    <m/>
    <m/>
    <n v="73"/>
    <n v="73"/>
    <n v="657"/>
    <n v="146"/>
    <n v="0"/>
    <n v="146"/>
    <n v="0"/>
    <n v="0"/>
    <n v="73"/>
    <n v="365"/>
    <n v="0"/>
    <n v="0"/>
    <n v="0"/>
    <n v="0"/>
    <n v="0"/>
    <n v="73"/>
    <n v="0"/>
    <n v="0"/>
    <s v="MMR001CMP122"/>
    <x v="3"/>
    <x v="0"/>
    <s v="P2"/>
    <n v="0"/>
    <m/>
  </r>
  <r>
    <n v="3.4333333333333331"/>
    <d v="2017-01-18T00:00:00"/>
    <x v="1"/>
    <s v="Solidarities"/>
    <s v="Kachin"/>
    <s v="Waingmaw"/>
    <s v="Woi Chyai "/>
    <n v="10"/>
    <n v="10"/>
    <n v="90"/>
    <n v="20"/>
    <m/>
    <n v="20"/>
    <m/>
    <m/>
    <n v="10"/>
    <n v="20"/>
    <m/>
    <m/>
    <m/>
    <m/>
    <n v="10"/>
    <m/>
    <m/>
    <n v="10"/>
    <n v="10"/>
    <n v="90"/>
    <n v="20"/>
    <n v="0"/>
    <n v="20"/>
    <n v="0"/>
    <n v="0"/>
    <n v="10"/>
    <n v="50"/>
    <n v="0"/>
    <n v="0"/>
    <n v="0"/>
    <n v="0"/>
    <n v="0"/>
    <n v="10"/>
    <n v="0"/>
    <n v="0"/>
    <s v="MMR001CMP116"/>
    <x v="3"/>
    <x v="0"/>
    <s v="P4"/>
    <n v="0"/>
    <m/>
  </r>
  <r>
    <n v="3.4"/>
    <d v="2017-01-19T00:00:00"/>
    <x v="0"/>
    <s v="KMSS_Myitkyina"/>
    <s v="Kachin"/>
    <s v="Waingmaw"/>
    <s v="Maina Catholic Church (St. Joseph)"/>
    <m/>
    <n v="9"/>
    <n v="9"/>
    <n v="35"/>
    <n v="9"/>
    <n v="35"/>
    <n v="9"/>
    <m/>
    <n v="9"/>
    <n v="35"/>
    <m/>
    <m/>
    <m/>
    <m/>
    <n v="9"/>
    <m/>
    <n v="9"/>
    <n v="0"/>
    <n v="9"/>
    <n v="9"/>
    <n v="35"/>
    <n v="9"/>
    <n v="35"/>
    <n v="9"/>
    <n v="0"/>
    <n v="9"/>
    <n v="87.5"/>
    <n v="0"/>
    <n v="0"/>
    <n v="0"/>
    <n v="0"/>
    <n v="0"/>
    <n v="9"/>
    <n v="0"/>
    <n v="9"/>
    <s v="MMR001CMP029"/>
    <x v="0"/>
    <x v="0"/>
    <s v="P4"/>
    <n v="2.172548640950128E-4"/>
    <m/>
  </r>
  <r>
    <n v="3.3666666666666667"/>
    <d v="2017-01-20T00:00:00"/>
    <x v="0"/>
    <s v="Shalom"/>
    <s v="Kachin"/>
    <s v="Waingmaw"/>
    <s v="Maina AG Church"/>
    <m/>
    <n v="5"/>
    <n v="5"/>
    <n v="21"/>
    <n v="5"/>
    <n v="21"/>
    <n v="5"/>
    <m/>
    <n v="5"/>
    <n v="21"/>
    <m/>
    <m/>
    <m/>
    <m/>
    <n v="5"/>
    <m/>
    <m/>
    <n v="0"/>
    <n v="5"/>
    <n v="5"/>
    <n v="21"/>
    <n v="5"/>
    <n v="21"/>
    <n v="5"/>
    <n v="0"/>
    <n v="5"/>
    <n v="52.5"/>
    <n v="0"/>
    <n v="0"/>
    <n v="0"/>
    <n v="0"/>
    <n v="0"/>
    <n v="5"/>
    <n v="0"/>
    <n v="0"/>
    <s v="MMR001CMP031"/>
    <x v="3"/>
    <x v="0"/>
    <s v="P4"/>
    <n v="1.2060980316480124E-4"/>
    <m/>
  </r>
  <r>
    <n v="3.3666666666666667"/>
    <d v="2017-01-20T00:00:00"/>
    <x v="0"/>
    <s v="Shalom"/>
    <s v="Kachin"/>
    <s v="Waingmaw"/>
    <s v="Qtr. 4 Monestry (Thargaya Thayett Taw)"/>
    <m/>
    <n v="6"/>
    <n v="6"/>
    <n v="13"/>
    <n v="6"/>
    <n v="13"/>
    <n v="6"/>
    <m/>
    <n v="6"/>
    <n v="13"/>
    <m/>
    <m/>
    <m/>
    <m/>
    <n v="6"/>
    <m/>
    <m/>
    <n v="0"/>
    <n v="6"/>
    <n v="6"/>
    <n v="13"/>
    <n v="6"/>
    <n v="13"/>
    <n v="6"/>
    <n v="0"/>
    <n v="6"/>
    <n v="32.5"/>
    <n v="0"/>
    <n v="0"/>
    <n v="0"/>
    <n v="0"/>
    <n v="0"/>
    <n v="6"/>
    <n v="0"/>
    <n v="0"/>
    <s v="MMR001CMP026"/>
    <x v="3"/>
    <x v="0"/>
    <s v="P4"/>
    <n v="1.4655593551538836E-4"/>
    <m/>
  </r>
  <r>
    <n v="3.3666666666666667"/>
    <d v="2017-01-20T00:00:00"/>
    <x v="0"/>
    <s v="Shalom"/>
    <s v="Kachin"/>
    <s v="Waingmaw"/>
    <s v="Qtr. 2 Lhaovo Baptist Church"/>
    <m/>
    <n v="9"/>
    <n v="9"/>
    <n v="19"/>
    <n v="9"/>
    <n v="19"/>
    <n v="9"/>
    <m/>
    <n v="9"/>
    <n v="19"/>
    <m/>
    <m/>
    <m/>
    <m/>
    <n v="9"/>
    <m/>
    <n v="10"/>
    <n v="0"/>
    <n v="9"/>
    <n v="9"/>
    <n v="19"/>
    <n v="9"/>
    <n v="19"/>
    <n v="9"/>
    <n v="0"/>
    <n v="9"/>
    <n v="47.5"/>
    <n v="0"/>
    <n v="0"/>
    <n v="0"/>
    <n v="0"/>
    <n v="0"/>
    <n v="9"/>
    <n v="0"/>
    <n v="10"/>
    <s v="MMR001CMP032"/>
    <x v="3"/>
    <x v="0"/>
    <s v="P4"/>
    <n v="2.2099447513812155E-4"/>
    <m/>
  </r>
  <r>
    <n v="3.3666666666666667"/>
    <d v="2017-01-20T00:00:00"/>
    <x v="0"/>
    <s v="Shalom"/>
    <s v="Kachin"/>
    <s v="Waingmaw"/>
    <s v="Waingmaw AG Church"/>
    <m/>
    <n v="6"/>
    <n v="6"/>
    <n v="17"/>
    <n v="6"/>
    <n v="17"/>
    <n v="6"/>
    <m/>
    <n v="6"/>
    <n v="17"/>
    <m/>
    <m/>
    <m/>
    <m/>
    <n v="6"/>
    <m/>
    <m/>
    <n v="0"/>
    <n v="6"/>
    <n v="6"/>
    <n v="17"/>
    <n v="6"/>
    <n v="17"/>
    <n v="6"/>
    <n v="0"/>
    <n v="6"/>
    <n v="42.5"/>
    <n v="0"/>
    <n v="0"/>
    <n v="0"/>
    <n v="0"/>
    <n v="0"/>
    <n v="6"/>
    <n v="0"/>
    <n v="0"/>
    <s v="MMR001CMP038"/>
    <x v="3"/>
    <x v="0"/>
    <s v="P4"/>
    <n v="1.4688601645123384E-4"/>
    <m/>
  </r>
  <r>
    <n v="3.3666666666666667"/>
    <d v="2017-01-20T00:00:00"/>
    <x v="0"/>
    <s v="Shalom"/>
    <s v="Kachin"/>
    <s v="Waingmaw"/>
    <s v="Thargaya Lisu Baptist Church"/>
    <m/>
    <n v="1"/>
    <n v="1"/>
    <n v="4"/>
    <n v="1"/>
    <n v="4"/>
    <n v="1"/>
    <m/>
    <n v="1"/>
    <n v="4"/>
    <m/>
    <m/>
    <m/>
    <m/>
    <n v="1"/>
    <m/>
    <m/>
    <n v="0"/>
    <n v="1"/>
    <n v="1"/>
    <n v="4"/>
    <n v="1"/>
    <n v="4"/>
    <n v="1"/>
    <n v="0"/>
    <n v="1"/>
    <n v="10"/>
    <n v="0"/>
    <n v="0"/>
    <n v="0"/>
    <n v="0"/>
    <n v="0"/>
    <n v="1"/>
    <n v="0"/>
    <n v="0"/>
    <s v="MMR001CMP037"/>
    <x v="3"/>
    <x v="0"/>
    <s v="P4"/>
    <n v="2.4481002741872306E-5"/>
    <m/>
  </r>
  <r>
    <n v="3.2666666666666666"/>
    <d v="2017-01-23T00:00:00"/>
    <x v="1"/>
    <s v="Solidarities"/>
    <s v="Kachin"/>
    <s v="Waingmaw"/>
    <s v="Je Yang Hka "/>
    <n v="38"/>
    <n v="38"/>
    <n v="342"/>
    <n v="76"/>
    <m/>
    <n v="76"/>
    <m/>
    <m/>
    <n v="38"/>
    <n v="76"/>
    <m/>
    <m/>
    <m/>
    <m/>
    <n v="38"/>
    <m/>
    <m/>
    <n v="38"/>
    <n v="38"/>
    <n v="342"/>
    <n v="76"/>
    <n v="0"/>
    <n v="76"/>
    <n v="0"/>
    <n v="0"/>
    <n v="38"/>
    <n v="190"/>
    <n v="0"/>
    <n v="0"/>
    <n v="0"/>
    <n v="0"/>
    <n v="0"/>
    <n v="38"/>
    <n v="0"/>
    <n v="0"/>
    <s v="MMR001CMP121"/>
    <x v="3"/>
    <x v="0"/>
    <s v="P2"/>
    <n v="0"/>
    <m/>
  </r>
  <r>
    <n v="3.1666666666666665"/>
    <d v="2017-01-26T00:00:00"/>
    <x v="0"/>
    <s v="KBC"/>
    <s v="Kachin"/>
    <s v="Waingmaw"/>
    <s v="Maina KBC (Bawng Ring)"/>
    <m/>
    <n v="6"/>
    <n v="6"/>
    <n v="18"/>
    <n v="6"/>
    <n v="24"/>
    <n v="6"/>
    <m/>
    <n v="6"/>
    <n v="24"/>
    <m/>
    <m/>
    <m/>
    <m/>
    <n v="6"/>
    <m/>
    <n v="6"/>
    <n v="0"/>
    <n v="6"/>
    <n v="6"/>
    <n v="18"/>
    <n v="6"/>
    <n v="24"/>
    <n v="6"/>
    <n v="0"/>
    <n v="6"/>
    <n v="60"/>
    <n v="0"/>
    <n v="0"/>
    <n v="0"/>
    <n v="0"/>
    <n v="0"/>
    <n v="6"/>
    <n v="0"/>
    <n v="6"/>
    <s v="MMR001CMP040"/>
    <x v="3"/>
    <x v="0"/>
    <s v="P4"/>
    <n v="1.4612405932636809E-4"/>
    <m/>
  </r>
  <r>
    <n v="3.3666666666666667"/>
    <d v="2017-01-20T00:00:00"/>
    <x v="0"/>
    <s v="KBC"/>
    <s v="Kachin"/>
    <s v="Mansi"/>
    <s v="Man Kawng Baptist Church"/>
    <m/>
    <n v="11"/>
    <n v="11"/>
    <n v="32"/>
    <n v="11"/>
    <n v="32"/>
    <n v="11"/>
    <m/>
    <n v="11"/>
    <n v="52"/>
    <m/>
    <m/>
    <m/>
    <m/>
    <n v="11"/>
    <m/>
    <n v="11"/>
    <n v="0"/>
    <n v="11"/>
    <n v="11"/>
    <n v="32"/>
    <n v="11"/>
    <n v="32"/>
    <n v="11"/>
    <n v="0"/>
    <n v="11"/>
    <n v="130"/>
    <n v="0"/>
    <n v="0"/>
    <n v="0"/>
    <n v="0"/>
    <n v="0"/>
    <n v="11"/>
    <n v="0"/>
    <n v="11"/>
    <s v="MMR001CMP212"/>
    <x v="3"/>
    <x v="1"/>
    <s v=""/>
    <s v=""/>
    <m/>
  </r>
  <r>
    <n v="3.2666666666666666"/>
    <d v="2017-01-23T00:00:00"/>
    <x v="0"/>
    <s v="KMSS_Bhamo"/>
    <s v="Kachin"/>
    <s v="Mansi"/>
    <s v="Man Kawng Catholic Church"/>
    <m/>
    <n v="24"/>
    <n v="25"/>
    <n v="45"/>
    <n v="25"/>
    <n v="45"/>
    <n v="25"/>
    <m/>
    <n v="25"/>
    <n v="83"/>
    <m/>
    <m/>
    <m/>
    <m/>
    <n v="25"/>
    <m/>
    <m/>
    <n v="0"/>
    <n v="24"/>
    <n v="25"/>
    <n v="45"/>
    <n v="25"/>
    <n v="45"/>
    <n v="25"/>
    <n v="0"/>
    <n v="25"/>
    <n v="207.5"/>
    <n v="0"/>
    <n v="0"/>
    <n v="0"/>
    <n v="0"/>
    <n v="0"/>
    <n v="25"/>
    <n v="0"/>
    <n v="0"/>
    <s v="MMR001CMP213"/>
    <x v="0"/>
    <x v="1"/>
    <s v=""/>
    <s v=""/>
    <m/>
  </r>
  <r>
    <n v="3.2666666666666666"/>
    <d v="2017-01-23T00:00:00"/>
    <x v="0"/>
    <s v="KMSS_Bhamo"/>
    <s v="Kachin"/>
    <s v="Mansi"/>
    <s v="Man Kawng Catholic Church"/>
    <m/>
    <n v="24"/>
    <n v="25"/>
    <n v="45"/>
    <n v="25"/>
    <n v="45"/>
    <n v="25"/>
    <m/>
    <n v="25"/>
    <n v="83"/>
    <m/>
    <m/>
    <m/>
    <m/>
    <m/>
    <m/>
    <m/>
    <n v="0"/>
    <n v="24"/>
    <n v="25"/>
    <n v="45"/>
    <n v="25"/>
    <n v="45"/>
    <n v="25"/>
    <n v="0"/>
    <n v="25"/>
    <n v="207.5"/>
    <n v="0"/>
    <n v="0"/>
    <n v="0"/>
    <n v="0"/>
    <n v="0"/>
    <n v="0"/>
    <n v="0"/>
    <n v="0"/>
    <s v="MMR001CMP213"/>
    <x v="0"/>
    <x v="1"/>
    <s v=""/>
    <s v=""/>
    <m/>
  </r>
  <r>
    <n v="3.1"/>
    <d v="2017-01-28T00:00:00"/>
    <x v="0"/>
    <s v="KMSS_Myitkyina"/>
    <s v="Kachin"/>
    <s v="Waingmaw"/>
    <s v="Maina Catholic Church (St. Joseph)"/>
    <m/>
    <m/>
    <m/>
    <m/>
    <m/>
    <m/>
    <m/>
    <m/>
    <m/>
    <m/>
    <m/>
    <m/>
    <m/>
    <m/>
    <m/>
    <m/>
    <n v="10"/>
    <n v="0"/>
    <n v="0"/>
    <n v="0"/>
    <n v="0"/>
    <n v="0"/>
    <n v="0"/>
    <n v="0"/>
    <n v="0"/>
    <n v="0"/>
    <n v="0"/>
    <n v="0"/>
    <n v="0"/>
    <n v="0"/>
    <n v="0"/>
    <n v="0"/>
    <n v="0"/>
    <n v="0"/>
    <n v="10"/>
    <s v="MMR001CMP029"/>
    <x v="3"/>
    <x v="0"/>
    <s v="P4"/>
    <n v="0"/>
    <m/>
  </r>
  <r>
    <n v="3"/>
    <d v="2017-01-31T00:00:00"/>
    <x v="0"/>
    <s v="KMSS_Myitkyina"/>
    <s v="Kachin"/>
    <s v="Myitkyina"/>
    <s v="Pa Dauk Myaing(Pa La Na)"/>
    <m/>
    <n v="1"/>
    <n v="1"/>
    <n v="3"/>
    <n v="1"/>
    <n v="3"/>
    <n v="1"/>
    <m/>
    <n v="1"/>
    <n v="3"/>
    <m/>
    <m/>
    <m/>
    <m/>
    <n v="1"/>
    <m/>
    <m/>
    <n v="0"/>
    <n v="1"/>
    <n v="1"/>
    <n v="3"/>
    <n v="1"/>
    <n v="3"/>
    <n v="1"/>
    <n v="0"/>
    <n v="1"/>
    <n v="7.5"/>
    <n v="0"/>
    <n v="0"/>
    <n v="0"/>
    <n v="0"/>
    <n v="0"/>
    <n v="1"/>
    <n v="0"/>
    <n v="0"/>
    <s v="MMR001CMP162"/>
    <x v="0"/>
    <x v="0"/>
    <s v="P4"/>
    <n v="2.4245950926195326E-5"/>
    <m/>
  </r>
  <r>
    <n v="3"/>
    <d v="2017-01-31T00:00:00"/>
    <x v="0"/>
    <s v="KMSS_Myitkyina"/>
    <s v="Kachin"/>
    <s v="Waingmaw"/>
    <s v="Maina Catholic Church (St. Joseph)"/>
    <m/>
    <n v="22"/>
    <n v="22"/>
    <n v="76"/>
    <n v="22"/>
    <n v="76"/>
    <n v="22"/>
    <m/>
    <n v="22"/>
    <n v="76"/>
    <m/>
    <m/>
    <m/>
    <m/>
    <n v="22"/>
    <m/>
    <m/>
    <n v="0"/>
    <n v="22"/>
    <n v="22"/>
    <n v="76"/>
    <n v="22"/>
    <n v="76"/>
    <n v="22"/>
    <n v="0"/>
    <n v="22"/>
    <n v="190"/>
    <n v="0"/>
    <n v="0"/>
    <n v="0"/>
    <n v="0"/>
    <n v="0"/>
    <n v="22"/>
    <n v="0"/>
    <n v="0"/>
    <s v="MMR001CMP029"/>
    <x v="0"/>
    <x v="0"/>
    <s v="P4"/>
    <n v="5.3106744556558679E-4"/>
    <m/>
  </r>
  <r>
    <n v="2.9666666666666668"/>
    <d v="2017-02-01T00:00:00"/>
    <x v="0"/>
    <s v="KBC"/>
    <s v="Kachin"/>
    <s v="Shwegu"/>
    <s v="Shwe Gu Baptist Church"/>
    <m/>
    <m/>
    <n v="50"/>
    <m/>
    <m/>
    <m/>
    <m/>
    <m/>
    <m/>
    <m/>
    <m/>
    <m/>
    <m/>
    <m/>
    <m/>
    <m/>
    <m/>
    <n v="0"/>
    <n v="0"/>
    <n v="50"/>
    <n v="0"/>
    <n v="0"/>
    <n v="0"/>
    <n v="0"/>
    <n v="0"/>
    <n v="0"/>
    <n v="0"/>
    <n v="0"/>
    <n v="0"/>
    <n v="0"/>
    <n v="0"/>
    <n v="0"/>
    <n v="0"/>
    <n v="0"/>
    <n v="0"/>
    <s v="MMR001CMP067"/>
    <x v="0"/>
    <x v="0"/>
    <s v="P4"/>
    <n v="0"/>
    <m/>
  </r>
  <r>
    <n v="2.9333333333333331"/>
    <d v="2017-02-02T00:00:00"/>
    <x v="0"/>
    <s v="KMSS_Bhamo"/>
    <s v="Kachin"/>
    <s v="Mansi"/>
    <s v="Maing Khaung Catholic Church"/>
    <m/>
    <n v="25"/>
    <n v="25"/>
    <n v="25"/>
    <n v="25"/>
    <n v="45"/>
    <n v="25"/>
    <m/>
    <n v="25"/>
    <n v="83"/>
    <m/>
    <m/>
    <m/>
    <m/>
    <n v="25"/>
    <m/>
    <m/>
    <n v="0"/>
    <n v="25"/>
    <n v="25"/>
    <n v="25"/>
    <n v="25"/>
    <n v="45"/>
    <n v="25"/>
    <n v="0"/>
    <n v="25"/>
    <n v="207.5"/>
    <n v="0"/>
    <n v="0"/>
    <n v="0"/>
    <n v="0"/>
    <n v="0"/>
    <n v="25"/>
    <n v="0"/>
    <n v="0"/>
    <s v="MMR001CMP223"/>
    <x v="0"/>
    <x v="0"/>
    <s v="P4"/>
    <n v="6.0171368056224125E-4"/>
    <m/>
  </r>
  <r>
    <n v="2.7"/>
    <d v="2017-02-09T00:00:00"/>
    <x v="0"/>
    <s v="KBC"/>
    <s v="Kachin"/>
    <s v="Waingmaw"/>
    <s v="Maina KBC (Bawng Ring)"/>
    <m/>
    <n v="17"/>
    <n v="17"/>
    <n v="114"/>
    <n v="17"/>
    <n v="174"/>
    <n v="17"/>
    <m/>
    <n v="17"/>
    <n v="188"/>
    <m/>
    <m/>
    <m/>
    <m/>
    <n v="17"/>
    <m/>
    <n v="49"/>
    <n v="0"/>
    <n v="17"/>
    <n v="17"/>
    <n v="114"/>
    <n v="17"/>
    <n v="174"/>
    <n v="17"/>
    <n v="0"/>
    <n v="17"/>
    <n v="470"/>
    <n v="0"/>
    <n v="0"/>
    <n v="0"/>
    <n v="0"/>
    <n v="0"/>
    <n v="17"/>
    <n v="0"/>
    <n v="49"/>
    <s v="MMR001CMP040"/>
    <x v="0"/>
    <x v="0"/>
    <s v="P4"/>
    <n v="4.1401816809137626E-4"/>
    <m/>
  </r>
  <r>
    <n v="2.6666666666666665"/>
    <d v="2017-02-10T00:00:00"/>
    <x v="0"/>
    <s v="KBC"/>
    <s v="Kachin"/>
    <s v="Myitkyina"/>
    <s v="Shatapru Thida Aye Baptist Church"/>
    <m/>
    <n v="4"/>
    <n v="4"/>
    <n v="10"/>
    <n v="4"/>
    <n v="14"/>
    <n v="4"/>
    <m/>
    <n v="4"/>
    <n v="14"/>
    <m/>
    <m/>
    <m/>
    <m/>
    <n v="4"/>
    <m/>
    <m/>
    <n v="0"/>
    <n v="4"/>
    <n v="4"/>
    <n v="10"/>
    <n v="4"/>
    <n v="14"/>
    <n v="4"/>
    <n v="0"/>
    <n v="4"/>
    <n v="35"/>
    <n v="0"/>
    <n v="0"/>
    <n v="0"/>
    <n v="0"/>
    <n v="0"/>
    <n v="4"/>
    <n v="0"/>
    <n v="0"/>
    <s v="MMR001CMP007"/>
    <x v="0"/>
    <x v="0"/>
    <s v="P4"/>
    <n v="9.7777995062211254E-5"/>
    <m/>
  </r>
  <r>
    <n v="2.6666666666666665"/>
    <d v="2017-02-10T00:00:00"/>
    <x v="0"/>
    <s v="KBC"/>
    <s v="Kachin"/>
    <s v="Myitkyina"/>
    <s v="Njang Dung Baptist Church "/>
    <m/>
    <n v="4"/>
    <n v="4"/>
    <n v="8"/>
    <n v="4"/>
    <n v="11"/>
    <n v="4"/>
    <m/>
    <n v="4"/>
    <n v="11"/>
    <m/>
    <m/>
    <m/>
    <m/>
    <n v="4"/>
    <m/>
    <m/>
    <n v="0"/>
    <n v="4"/>
    <n v="4"/>
    <n v="8"/>
    <n v="4"/>
    <n v="11"/>
    <n v="4"/>
    <n v="0"/>
    <n v="4"/>
    <n v="27.5"/>
    <n v="0"/>
    <n v="0"/>
    <n v="0"/>
    <n v="0"/>
    <n v="0"/>
    <n v="4"/>
    <n v="0"/>
    <n v="0"/>
    <s v="MMR001CMP002"/>
    <x v="0"/>
    <x v="0"/>
    <s v="P4"/>
    <n v="9.8292173485686198E-5"/>
    <m/>
  </r>
  <r>
    <n v="2.6666666666666665"/>
    <d v="2017-02-10T00:00:00"/>
    <x v="0"/>
    <s v="KBC"/>
    <s v="Kachin"/>
    <s v="Myitkyina"/>
    <s v="Tat Kone Galile Baptist Church"/>
    <m/>
    <n v="1"/>
    <n v="1"/>
    <n v="2"/>
    <n v="1"/>
    <n v="3"/>
    <n v="1"/>
    <m/>
    <n v="1"/>
    <n v="3"/>
    <m/>
    <m/>
    <m/>
    <m/>
    <n v="1"/>
    <m/>
    <m/>
    <n v="0"/>
    <n v="1"/>
    <n v="1"/>
    <n v="2"/>
    <n v="1"/>
    <n v="3"/>
    <n v="1"/>
    <n v="0"/>
    <n v="1"/>
    <n v="7.5"/>
    <n v="0"/>
    <n v="0"/>
    <n v="0"/>
    <n v="0"/>
    <n v="0"/>
    <n v="1"/>
    <n v="0"/>
    <n v="0"/>
    <s v="MMR001CMP003"/>
    <x v="0"/>
    <x v="0"/>
    <s v="P4"/>
    <n v="2.4554941682013504E-5"/>
    <m/>
  </r>
  <r>
    <n v="2.6666666666666665"/>
    <d v="2017-02-10T00:00:00"/>
    <x v="0"/>
    <s v="KBC"/>
    <s v="Kachin"/>
    <s v="Myitkyina"/>
    <s v="Tat Kone San Pya Baptist Church"/>
    <m/>
    <n v="1"/>
    <n v="1"/>
    <n v="3"/>
    <n v="1"/>
    <n v="4"/>
    <n v="1"/>
    <m/>
    <n v="1"/>
    <n v="4"/>
    <m/>
    <m/>
    <m/>
    <m/>
    <n v="1"/>
    <m/>
    <m/>
    <n v="0"/>
    <n v="1"/>
    <n v="1"/>
    <n v="3"/>
    <n v="1"/>
    <n v="4"/>
    <n v="1"/>
    <n v="0"/>
    <n v="1"/>
    <n v="10"/>
    <n v="0"/>
    <n v="0"/>
    <n v="0"/>
    <n v="0"/>
    <n v="0"/>
    <n v="1"/>
    <n v="0"/>
    <n v="0"/>
    <s v="MMR001CMP005"/>
    <x v="0"/>
    <x v="0"/>
    <s v="P4"/>
    <n v="2.4499595756670014E-5"/>
    <m/>
  </r>
  <r>
    <n v="2.6666666666666665"/>
    <d v="2017-02-10T00:00:00"/>
    <x v="0"/>
    <s v="Shalom"/>
    <s v="Kachin"/>
    <s v="Bhamo"/>
    <s v="Mu-yin Baptist Church"/>
    <m/>
    <m/>
    <m/>
    <m/>
    <n v="8"/>
    <m/>
    <m/>
    <m/>
    <m/>
    <m/>
    <m/>
    <m/>
    <m/>
    <m/>
    <m/>
    <m/>
    <m/>
    <n v="0"/>
    <n v="0"/>
    <n v="0"/>
    <n v="0"/>
    <n v="8"/>
    <n v="0"/>
    <n v="0"/>
    <n v="0"/>
    <n v="0"/>
    <n v="0"/>
    <n v="0"/>
    <n v="0"/>
    <n v="0"/>
    <n v="0"/>
    <n v="0"/>
    <n v="0"/>
    <n v="0"/>
    <n v="0"/>
    <s v="MMR001CMP051"/>
    <x v="0"/>
    <x v="0"/>
    <s v="P4"/>
    <n v="0"/>
    <m/>
  </r>
  <r>
    <n v="2.5666666666666669"/>
    <d v="2017-02-13T00:00:00"/>
    <x v="0"/>
    <s v="KBC"/>
    <s v="Kachin"/>
    <s v="Myitkyina"/>
    <s v="Le Kone Bethlehem Church"/>
    <m/>
    <n v="3"/>
    <n v="3"/>
    <n v="5"/>
    <n v="3"/>
    <n v="8"/>
    <n v="3"/>
    <m/>
    <n v="3"/>
    <n v="8"/>
    <m/>
    <m/>
    <m/>
    <m/>
    <n v="3"/>
    <m/>
    <m/>
    <n v="0"/>
    <n v="3"/>
    <n v="3"/>
    <n v="5"/>
    <n v="3"/>
    <n v="8"/>
    <n v="3"/>
    <n v="0"/>
    <n v="3"/>
    <n v="20"/>
    <n v="0"/>
    <n v="0"/>
    <n v="0"/>
    <n v="0"/>
    <n v="0"/>
    <n v="3"/>
    <n v="0"/>
    <n v="0"/>
    <s v="MMR001CMP015"/>
    <x v="0"/>
    <x v="0"/>
    <s v="P4"/>
    <n v="7.3886166046843827E-5"/>
    <m/>
  </r>
  <r>
    <n v="2.5666666666666669"/>
    <d v="2017-02-13T00:00:00"/>
    <x v="0"/>
    <s v="KBC"/>
    <s v="Kachin"/>
    <s v="Myitkyina"/>
    <s v="Jan Mai Kawng Baptist Church"/>
    <m/>
    <n v="1"/>
    <n v="1"/>
    <n v="2"/>
    <n v="1"/>
    <n v="3"/>
    <n v="1"/>
    <m/>
    <n v="1"/>
    <n v="3"/>
    <m/>
    <m/>
    <m/>
    <m/>
    <n v="1"/>
    <m/>
    <m/>
    <n v="0"/>
    <n v="1"/>
    <n v="1"/>
    <n v="2"/>
    <n v="1"/>
    <n v="3"/>
    <n v="1"/>
    <n v="0"/>
    <n v="1"/>
    <n v="7.5"/>
    <n v="0"/>
    <n v="0"/>
    <n v="0"/>
    <n v="0"/>
    <n v="0"/>
    <n v="1"/>
    <n v="0"/>
    <n v="0"/>
    <s v="MMR001CMP018"/>
    <x v="0"/>
    <x v="0"/>
    <s v="P4"/>
    <n v="2.4554941682013504E-5"/>
    <m/>
  </r>
  <r>
    <n v="2.5666666666666669"/>
    <d v="2017-02-13T00:00:00"/>
    <x v="0"/>
    <s v="KBC"/>
    <s v="Kachin"/>
    <s v="Myitkyina"/>
    <s v="Kyun Pin Thar Baptist Church"/>
    <m/>
    <n v="3"/>
    <n v="3"/>
    <n v="9"/>
    <n v="3"/>
    <n v="17"/>
    <n v="3"/>
    <m/>
    <n v="3"/>
    <n v="17"/>
    <m/>
    <m/>
    <m/>
    <m/>
    <n v="3"/>
    <m/>
    <m/>
    <n v="0"/>
    <n v="3"/>
    <n v="3"/>
    <n v="9"/>
    <n v="3"/>
    <n v="17"/>
    <n v="3"/>
    <n v="0"/>
    <n v="3"/>
    <n v="42.5"/>
    <n v="0"/>
    <n v="0"/>
    <n v="0"/>
    <n v="0"/>
    <n v="0"/>
    <n v="3"/>
    <n v="0"/>
    <n v="0"/>
    <s v="MMR001CMP013"/>
    <x v="0"/>
    <x v="0"/>
    <s v="P4"/>
    <n v="7.333349629665843E-5"/>
    <m/>
  </r>
  <r>
    <n v="2.5666666666666669"/>
    <d v="2017-02-13T00:00:00"/>
    <x v="0"/>
    <s v="KBC"/>
    <s v="Kachin"/>
    <s v="Myitkyina"/>
    <s v="Man Hkring Baptist Church"/>
    <m/>
    <n v="1"/>
    <n v="1"/>
    <n v="2"/>
    <n v="1"/>
    <n v="3"/>
    <n v="1"/>
    <m/>
    <n v="1"/>
    <n v="3"/>
    <m/>
    <m/>
    <m/>
    <m/>
    <n v="1"/>
    <m/>
    <m/>
    <n v="0"/>
    <n v="1"/>
    <n v="1"/>
    <n v="2"/>
    <n v="1"/>
    <n v="3"/>
    <n v="1"/>
    <n v="0"/>
    <n v="1"/>
    <n v="7.5"/>
    <n v="0"/>
    <n v="0"/>
    <n v="0"/>
    <n v="0"/>
    <n v="0"/>
    <n v="1"/>
    <n v="0"/>
    <n v="0"/>
    <s v="MMR001CMP008"/>
    <x v="0"/>
    <x v="0"/>
    <s v="P4"/>
    <n v="2.4554941682013504E-5"/>
    <m/>
  </r>
  <r>
    <n v="2.5666666666666669"/>
    <d v="2017-02-13T00:00:00"/>
    <x v="0"/>
    <s v="KBC"/>
    <s v="Kachin"/>
    <s v="Myitkyina"/>
    <s v="Maliyang Baptist Church"/>
    <m/>
    <n v="1"/>
    <n v="1"/>
    <n v="2"/>
    <n v="1"/>
    <n v="3"/>
    <n v="1"/>
    <m/>
    <n v="1"/>
    <n v="3"/>
    <m/>
    <m/>
    <m/>
    <m/>
    <n v="1"/>
    <m/>
    <m/>
    <n v="0"/>
    <n v="1"/>
    <n v="1"/>
    <n v="2"/>
    <n v="1"/>
    <n v="3"/>
    <n v="1"/>
    <n v="0"/>
    <n v="1"/>
    <n v="7.5"/>
    <n v="0"/>
    <n v="0"/>
    <n v="0"/>
    <n v="0"/>
    <n v="0"/>
    <n v="1"/>
    <n v="0"/>
    <n v="0"/>
    <s v="MMR001CMP016"/>
    <x v="0"/>
    <x v="0"/>
    <s v="P4"/>
    <n v="2.4536264599077437E-5"/>
    <m/>
  </r>
  <r>
    <n v="2.5333333333333332"/>
    <d v="2017-02-14T00:00:00"/>
    <x v="0"/>
    <s v="KBC"/>
    <s v="Kachin"/>
    <s v="Mansi"/>
    <s v="Maing Khaung"/>
    <m/>
    <n v="4"/>
    <n v="4"/>
    <n v="7"/>
    <n v="4"/>
    <n v="7"/>
    <n v="4"/>
    <m/>
    <n v="4"/>
    <n v="14"/>
    <m/>
    <m/>
    <m/>
    <m/>
    <n v="4"/>
    <m/>
    <m/>
    <n v="0"/>
    <n v="4"/>
    <n v="4"/>
    <n v="7"/>
    <n v="4"/>
    <n v="7"/>
    <n v="4"/>
    <n v="0"/>
    <n v="4"/>
    <n v="35"/>
    <n v="0"/>
    <n v="0"/>
    <n v="0"/>
    <n v="0"/>
    <n v="0"/>
    <n v="4"/>
    <n v="0"/>
    <n v="0"/>
    <s v="MMR001CMP218"/>
    <x v="0"/>
    <x v="0"/>
    <s v="P4"/>
    <n v="9.6274188889958599E-5"/>
    <m/>
  </r>
  <r>
    <n v="2.5333333333333332"/>
    <d v="2017-02-14T00:00:00"/>
    <x v="1"/>
    <s v="Solidarities"/>
    <s v="Kachin"/>
    <s v="Mansi"/>
    <s v="Maing Khaung"/>
    <n v="2"/>
    <m/>
    <n v="18"/>
    <m/>
    <m/>
    <m/>
    <m/>
    <m/>
    <n v="2"/>
    <m/>
    <m/>
    <m/>
    <m/>
    <m/>
    <n v="2"/>
    <m/>
    <m/>
    <n v="2"/>
    <n v="0"/>
    <n v="18"/>
    <n v="0"/>
    <n v="0"/>
    <n v="0"/>
    <n v="0"/>
    <n v="0"/>
    <n v="2"/>
    <n v="0"/>
    <n v="0"/>
    <n v="0"/>
    <n v="0"/>
    <n v="0"/>
    <n v="0"/>
    <n v="2"/>
    <n v="0"/>
    <n v="0"/>
    <s v="MMR001CMP218"/>
    <x v="3"/>
    <x v="0"/>
    <s v="P4"/>
    <n v="0"/>
    <m/>
  </r>
  <r>
    <n v="2.5333333333333332"/>
    <d v="2017-02-14T00:00:00"/>
    <x v="0"/>
    <s v="KMSS_Bhamo"/>
    <s v="Kachin"/>
    <s v="Mansi"/>
    <s v="Maing Khaung Catholic Church"/>
    <m/>
    <n v="1"/>
    <n v="1"/>
    <n v="2"/>
    <n v="1"/>
    <n v="2"/>
    <n v="1"/>
    <m/>
    <n v="1"/>
    <n v="3"/>
    <m/>
    <m/>
    <m/>
    <m/>
    <n v="1"/>
    <m/>
    <m/>
    <n v="0"/>
    <n v="1"/>
    <n v="1"/>
    <n v="2"/>
    <n v="1"/>
    <n v="2"/>
    <n v="1"/>
    <n v="0"/>
    <n v="1"/>
    <n v="7.5"/>
    <n v="0"/>
    <n v="0"/>
    <n v="0"/>
    <n v="0"/>
    <n v="0"/>
    <n v="1"/>
    <n v="0"/>
    <n v="0"/>
    <s v="MMR001CMP223"/>
    <x v="0"/>
    <x v="0"/>
    <s v="P4"/>
    <n v="2.406854722248965E-5"/>
    <m/>
  </r>
  <r>
    <n v="2.4666666666666668"/>
    <d v="2017-02-16T00:00:00"/>
    <x v="0"/>
    <s v="KBC"/>
    <s v="Kachin"/>
    <s v="Hpakant"/>
    <s v="Shar Du Zut KBC church "/>
    <m/>
    <m/>
    <m/>
    <m/>
    <m/>
    <m/>
    <m/>
    <m/>
    <m/>
    <m/>
    <n v="62"/>
    <n v="33"/>
    <m/>
    <m/>
    <m/>
    <m/>
    <m/>
    <n v="0"/>
    <n v="0"/>
    <n v="0"/>
    <n v="0"/>
    <n v="0"/>
    <n v="0"/>
    <n v="0"/>
    <n v="0"/>
    <n v="0"/>
    <n v="0"/>
    <n v="62"/>
    <n v="33"/>
    <n v="0"/>
    <n v="0"/>
    <n v="1"/>
    <n v="0"/>
    <n v="0"/>
    <n v="0"/>
    <s v="MMR001CMP244"/>
    <x v="2"/>
    <x v="0"/>
    <n v="0"/>
    <n v="0"/>
    <m/>
  </r>
  <r>
    <n v="2.0333333333333332"/>
    <d v="2017-03-01T00:00:00"/>
    <x v="1"/>
    <s v="Solidarities"/>
    <s v="Kachin"/>
    <s v="Waingmaw"/>
    <s v="Hka Shi"/>
    <n v="55"/>
    <m/>
    <n v="495"/>
    <m/>
    <m/>
    <m/>
    <m/>
    <m/>
    <n v="55"/>
    <m/>
    <m/>
    <m/>
    <m/>
    <m/>
    <n v="55"/>
    <m/>
    <m/>
    <n v="55"/>
    <n v="0"/>
    <n v="495"/>
    <n v="0"/>
    <n v="0"/>
    <n v="0"/>
    <n v="0"/>
    <n v="0"/>
    <n v="55"/>
    <n v="0"/>
    <n v="0"/>
    <n v="0"/>
    <n v="0"/>
    <n v="0"/>
    <n v="0"/>
    <n v="55"/>
    <n v="0"/>
    <n v="0"/>
    <s v="MMR001CMP248"/>
    <x v="3"/>
    <x v="0"/>
    <n v="0"/>
    <s v=""/>
    <m/>
  </r>
  <r>
    <n v="1.6"/>
    <d v="2017-03-14T00:00:00"/>
    <x v="1"/>
    <s v="Solidarities"/>
    <s v="Kachin"/>
    <s v="Momauk"/>
    <s v="Hpun Lum Yang "/>
    <m/>
    <n v="8"/>
    <m/>
    <n v="16"/>
    <m/>
    <n v="16"/>
    <m/>
    <m/>
    <m/>
    <n v="16"/>
    <m/>
    <m/>
    <m/>
    <m/>
    <m/>
    <m/>
    <m/>
    <n v="0"/>
    <n v="8"/>
    <n v="0"/>
    <n v="16"/>
    <n v="0"/>
    <n v="16"/>
    <n v="0"/>
    <n v="0"/>
    <n v="0"/>
    <n v="40"/>
    <n v="0"/>
    <n v="0"/>
    <n v="0"/>
    <n v="0"/>
    <n v="0"/>
    <n v="0"/>
    <n v="0"/>
    <n v="0"/>
    <s v="MMR001CMP122"/>
    <x v="3"/>
    <x v="0"/>
    <s v="P2"/>
    <n v="0"/>
    <m/>
  </r>
  <r>
    <n v="1.6"/>
    <d v="2017-03-14T00:00:00"/>
    <x v="1"/>
    <s v="Solidarities"/>
    <s v="Kachin"/>
    <s v="Waingmaw"/>
    <s v="Je Yang Hka "/>
    <m/>
    <n v="6"/>
    <m/>
    <n v="12"/>
    <m/>
    <n v="12"/>
    <m/>
    <m/>
    <m/>
    <n v="12"/>
    <m/>
    <m/>
    <m/>
    <m/>
    <m/>
    <m/>
    <m/>
    <n v="0"/>
    <n v="6"/>
    <n v="0"/>
    <n v="12"/>
    <n v="0"/>
    <n v="12"/>
    <n v="0"/>
    <n v="0"/>
    <n v="0"/>
    <n v="30"/>
    <n v="0"/>
    <n v="0"/>
    <n v="0"/>
    <n v="0"/>
    <n v="0"/>
    <n v="0"/>
    <n v="0"/>
    <n v="0"/>
    <s v="MMR001CMP121"/>
    <x v="3"/>
    <x v="0"/>
    <s v="P2"/>
    <n v="0"/>
    <m/>
  </r>
  <r>
    <n v="1.5666666666666667"/>
    <d v="2017-03-15T00:00:00"/>
    <x v="0"/>
    <s v="Shalom"/>
    <s v="Kachin"/>
    <s v="Chipwi"/>
    <s v="Chipwi KBC camp"/>
    <m/>
    <m/>
    <m/>
    <m/>
    <m/>
    <m/>
    <m/>
    <m/>
    <m/>
    <m/>
    <n v="79"/>
    <n v="152"/>
    <m/>
    <m/>
    <m/>
    <m/>
    <m/>
    <n v="0"/>
    <n v="0"/>
    <n v="0"/>
    <n v="0"/>
    <n v="0"/>
    <n v="0"/>
    <n v="0"/>
    <n v="0"/>
    <n v="0"/>
    <n v="0"/>
    <n v="79"/>
    <n v="152"/>
    <n v="0"/>
    <n v="0"/>
    <n v="1"/>
    <n v="0"/>
    <n v="0"/>
    <n v="0"/>
    <s v="MMR001CMP042"/>
    <x v="3"/>
    <x v="0"/>
    <s v="P1"/>
    <n v="0"/>
    <m/>
  </r>
  <r>
    <n v="1.5666666666666667"/>
    <d v="2017-03-15T00:00:00"/>
    <x v="1"/>
    <s v="Solidarities"/>
    <s v="Kachin"/>
    <s v="Waingmaw"/>
    <s v="Woi Chyai "/>
    <m/>
    <n v="6"/>
    <m/>
    <n v="12"/>
    <m/>
    <n v="12"/>
    <m/>
    <m/>
    <m/>
    <n v="12"/>
    <m/>
    <m/>
    <m/>
    <m/>
    <m/>
    <m/>
    <m/>
    <n v="0"/>
    <n v="6"/>
    <n v="0"/>
    <n v="12"/>
    <n v="0"/>
    <n v="12"/>
    <n v="0"/>
    <n v="0"/>
    <n v="0"/>
    <n v="30"/>
    <n v="0"/>
    <n v="0"/>
    <n v="0"/>
    <n v="0"/>
    <n v="0"/>
    <n v="0"/>
    <n v="0"/>
    <n v="0"/>
    <s v="MMR001CMP116"/>
    <x v="3"/>
    <x v="0"/>
    <s v="P4"/>
    <n v="0"/>
    <m/>
  </r>
  <r>
    <n v="1.5333333333333334"/>
    <d v="2017-03-16T00:00:00"/>
    <x v="0"/>
    <s v="Shalom"/>
    <s v="Kachin"/>
    <s v="Chipwi"/>
    <s v="Lhaovao Baptist Church (LBC)"/>
    <m/>
    <m/>
    <m/>
    <m/>
    <m/>
    <m/>
    <m/>
    <m/>
    <m/>
    <m/>
    <n v="97"/>
    <n v="203"/>
    <m/>
    <m/>
    <m/>
    <m/>
    <m/>
    <n v="0"/>
    <n v="0"/>
    <n v="0"/>
    <n v="0"/>
    <n v="0"/>
    <n v="0"/>
    <n v="0"/>
    <n v="0"/>
    <n v="0"/>
    <n v="0"/>
    <n v="97"/>
    <n v="203"/>
    <n v="0"/>
    <n v="0"/>
    <n v="1"/>
    <n v="0"/>
    <n v="0"/>
    <n v="0"/>
    <s v="MMR001CMP195"/>
    <x v="3"/>
    <x v="0"/>
    <s v="P1"/>
    <n v="0"/>
    <m/>
  </r>
  <r>
    <n v="1.4333333333333333"/>
    <d v="2017-03-19T00:00:00"/>
    <x v="0"/>
    <s v="KBC"/>
    <s v="Kachin"/>
    <s v="Sumprabum"/>
    <s v="Ndup Yang"/>
    <m/>
    <m/>
    <m/>
    <m/>
    <m/>
    <n v="292"/>
    <m/>
    <m/>
    <m/>
    <m/>
    <m/>
    <m/>
    <m/>
    <m/>
    <m/>
    <m/>
    <m/>
    <n v="0"/>
    <n v="0"/>
    <n v="0"/>
    <n v="0"/>
    <n v="0"/>
    <n v="292"/>
    <n v="0"/>
    <n v="0"/>
    <n v="0"/>
    <n v="0"/>
    <n v="0"/>
    <n v="0"/>
    <n v="0"/>
    <n v="0"/>
    <n v="0"/>
    <n v="0"/>
    <n v="0"/>
    <n v="0"/>
    <s v="MMR001CMP238"/>
    <x v="2"/>
    <x v="0"/>
    <n v="0"/>
    <n v="0"/>
    <m/>
  </r>
  <r>
    <n v="1.4"/>
    <d v="2017-03-20T00:00:00"/>
    <x v="0"/>
    <s v="KBC"/>
    <s v="Kachin"/>
    <s v="Sumprabum"/>
    <s v="Salang Yang"/>
    <m/>
    <m/>
    <m/>
    <m/>
    <m/>
    <n v="134"/>
    <m/>
    <m/>
    <m/>
    <m/>
    <m/>
    <m/>
    <m/>
    <m/>
    <m/>
    <m/>
    <m/>
    <n v="0"/>
    <n v="0"/>
    <n v="0"/>
    <n v="0"/>
    <n v="0"/>
    <n v="134"/>
    <n v="0"/>
    <n v="0"/>
    <n v="0"/>
    <n v="0"/>
    <n v="0"/>
    <n v="0"/>
    <n v="0"/>
    <n v="0"/>
    <n v="0"/>
    <n v="0"/>
    <n v="0"/>
    <n v="0"/>
    <s v="MMR001CMP239"/>
    <x v="2"/>
    <x v="0"/>
    <n v="0"/>
    <n v="0"/>
    <m/>
  </r>
  <r>
    <n v="1.1000000000000001"/>
    <d v="2017-03-29T00:00:00"/>
    <x v="0"/>
    <s v="Shalom"/>
    <s v="Kachin"/>
    <s v="Waingmaw"/>
    <s v="Nawng Hee Village"/>
    <m/>
    <n v="5"/>
    <n v="5"/>
    <n v="10"/>
    <n v="5"/>
    <n v="10"/>
    <n v="5"/>
    <m/>
    <n v="5"/>
    <n v="28"/>
    <m/>
    <m/>
    <m/>
    <m/>
    <n v="5"/>
    <m/>
    <m/>
    <n v="0"/>
    <n v="5"/>
    <n v="5"/>
    <n v="10"/>
    <n v="5"/>
    <n v="10"/>
    <n v="5"/>
    <n v="0"/>
    <n v="5"/>
    <n v="70"/>
    <n v="0"/>
    <n v="0"/>
    <n v="0"/>
    <n v="0"/>
    <n v="0"/>
    <n v="5"/>
    <n v="0"/>
    <n v="0"/>
    <s v="MMR001CMP033"/>
    <x v="3"/>
    <x v="0"/>
    <s v="P4"/>
    <n v="1.2186205215695832E-4"/>
    <m/>
  </r>
  <r>
    <n v="1.0333333333333334"/>
    <d v="2017-03-31T00:00:00"/>
    <x v="14"/>
    <s v="NRC"/>
    <s v="Shan_North"/>
    <s v="Kutkai"/>
    <s v="Kutkai downtown (RC Church)"/>
    <m/>
    <m/>
    <m/>
    <m/>
    <m/>
    <m/>
    <m/>
    <m/>
    <m/>
    <m/>
    <n v="540"/>
    <m/>
    <m/>
    <n v="135"/>
    <m/>
    <m/>
    <m/>
    <n v="0"/>
    <n v="0"/>
    <n v="0"/>
    <n v="0"/>
    <n v="0"/>
    <n v="0"/>
    <n v="0"/>
    <n v="0"/>
    <n v="0"/>
    <n v="0"/>
    <n v="540"/>
    <n v="0"/>
    <n v="0"/>
    <n v="135"/>
    <n v="1"/>
    <n v="0"/>
    <n v="0"/>
    <n v="0"/>
    <s v="MMR015CMP017"/>
    <x v="3"/>
    <x v="0"/>
    <s v="P3"/>
    <n v="0"/>
    <m/>
  </r>
  <r>
    <n v="0.9"/>
    <d v="2017-04-04T00:00:00"/>
    <x v="14"/>
    <s v="NRC"/>
    <s v="Kachin"/>
    <s v="Mansi"/>
    <s v="Maing Khaung Catholic Church"/>
    <m/>
    <m/>
    <m/>
    <m/>
    <m/>
    <m/>
    <m/>
    <m/>
    <m/>
    <m/>
    <n v="144"/>
    <m/>
    <m/>
    <n v="36"/>
    <m/>
    <m/>
    <m/>
    <m/>
    <n v="0"/>
    <n v="0"/>
    <n v="0"/>
    <n v="0"/>
    <n v="0"/>
    <n v="0"/>
    <n v="0"/>
    <n v="0"/>
    <n v="0"/>
    <n v="144"/>
    <n v="0"/>
    <n v="0"/>
    <n v="36"/>
    <n v="1"/>
    <n v="0"/>
    <n v="0"/>
    <n v="0"/>
    <s v="MMR001CMP223"/>
    <x v="3"/>
    <x v="0"/>
    <s v="P4"/>
    <n v="0"/>
    <m/>
  </r>
  <r>
    <n v="2.0333333333333332"/>
    <d v="2017-03-01T00:00:00"/>
    <x v="1"/>
    <s v="Solidarities"/>
    <s v="Kachin"/>
    <s v="Waingmaw"/>
    <s v="Sadung"/>
    <n v="91"/>
    <n v="92"/>
    <n v="546"/>
    <n v="184"/>
    <n v="170"/>
    <n v="184"/>
    <m/>
    <m/>
    <n v="91"/>
    <n v="184"/>
    <m/>
    <m/>
    <m/>
    <m/>
    <n v="91"/>
    <n v="85"/>
    <m/>
    <n v="91"/>
    <n v="92"/>
    <n v="546"/>
    <n v="184"/>
    <n v="170"/>
    <n v="184"/>
    <n v="0"/>
    <n v="0"/>
    <n v="91"/>
    <n v="460"/>
    <n v="0"/>
    <n v="0"/>
    <n v="0"/>
    <n v="0"/>
    <n v="0"/>
    <n v="91"/>
    <n v="85"/>
    <n v="0"/>
    <s v=""/>
    <x v="1"/>
    <x v="2"/>
    <s v=""/>
    <s v=""/>
    <m/>
  </r>
  <r>
    <n v="0.6"/>
    <d v="2017-04-13T00:00:00"/>
    <x v="0"/>
    <s v="Shalom"/>
    <s v="Kachin"/>
    <s v="Waingmaw"/>
    <s v="Qtr. 2 Lhaovo Baptist Church"/>
    <m/>
    <n v="17"/>
    <n v="17"/>
    <n v="58"/>
    <n v="17"/>
    <n v="58"/>
    <n v="17"/>
    <m/>
    <n v="17"/>
    <n v="76"/>
    <m/>
    <m/>
    <m/>
    <m/>
    <n v="17"/>
    <m/>
    <n v="15"/>
    <n v="0"/>
    <n v="17"/>
    <n v="17"/>
    <n v="58"/>
    <n v="17"/>
    <n v="58"/>
    <n v="17"/>
    <n v="0"/>
    <n v="17"/>
    <n v="190"/>
    <n v="0"/>
    <n v="0"/>
    <n v="0"/>
    <n v="0"/>
    <n v="0"/>
    <n v="17"/>
    <n v="0"/>
    <n v="15"/>
    <s v="MMR001CMP032"/>
    <x v="3"/>
    <x v="0"/>
    <s v="P4"/>
    <n v="4.174340085942296E-4"/>
    <m/>
  </r>
  <r>
    <n v="0.13333333333333333"/>
    <d v="2017-04-27T00:00:00"/>
    <x v="1"/>
    <s v="Solidarities"/>
    <s v="Kachin"/>
    <s v="Waingmaw"/>
    <s v="Qtr. 2 Lhaovo Baptist Church"/>
    <n v="10"/>
    <m/>
    <n v="90"/>
    <m/>
    <m/>
    <m/>
    <m/>
    <m/>
    <n v="10"/>
    <m/>
    <m/>
    <m/>
    <m/>
    <m/>
    <n v="10"/>
    <m/>
    <m/>
    <m/>
    <n v="0"/>
    <n v="90"/>
    <n v="0"/>
    <n v="0"/>
    <n v="0"/>
    <n v="0"/>
    <n v="0"/>
    <n v="10"/>
    <n v="0"/>
    <n v="0"/>
    <n v="0"/>
    <n v="0"/>
    <n v="0"/>
    <n v="0"/>
    <n v="10"/>
    <n v="0"/>
    <n v="0"/>
    <s v="MMR001CMP032"/>
    <x v="3"/>
    <x v="0"/>
    <s v="P4"/>
    <n v="0"/>
    <m/>
  </r>
  <r>
    <n v="-0.23333333333333334"/>
    <d v="2017-05-08T00:00:00"/>
    <x v="0"/>
    <s v="KBC"/>
    <s v="Kachin"/>
    <s v="Waingmaw"/>
    <s v="Shing Jai"/>
    <m/>
    <m/>
    <m/>
    <m/>
    <m/>
    <n v="358"/>
    <m/>
    <m/>
    <m/>
    <m/>
    <m/>
    <m/>
    <m/>
    <m/>
    <m/>
    <m/>
    <m/>
    <n v="0"/>
    <n v="0"/>
    <n v="0"/>
    <n v="0"/>
    <n v="0"/>
    <n v="358"/>
    <n v="0"/>
    <n v="0"/>
    <n v="0"/>
    <n v="0"/>
    <n v="0"/>
    <n v="0"/>
    <n v="0"/>
    <n v="0"/>
    <n v="0"/>
    <n v="0"/>
    <n v="0"/>
    <n v="0"/>
    <s v="MMR001CMP041"/>
    <x v="3"/>
    <x v="0"/>
    <s v="P1"/>
    <n v="0"/>
    <m/>
  </r>
  <r>
    <n v="-0.8"/>
    <d v="2017-05-25T00:00:00"/>
    <x v="14"/>
    <s v="NRC"/>
    <s v="Shan_North"/>
    <s v="Hseni"/>
    <s v="Nam Sa Larp"/>
    <m/>
    <m/>
    <m/>
    <n v="57"/>
    <m/>
    <m/>
    <n v="57"/>
    <m/>
    <m/>
    <n v="57"/>
    <m/>
    <m/>
    <m/>
    <m/>
    <m/>
    <m/>
    <m/>
    <n v="0"/>
    <n v="0"/>
    <n v="0"/>
    <n v="57"/>
    <n v="0"/>
    <n v="0"/>
    <n v="57"/>
    <n v="0"/>
    <n v="0"/>
    <n v="142.5"/>
    <n v="0"/>
    <n v="0"/>
    <n v="0"/>
    <n v="0"/>
    <n v="0"/>
    <n v="0"/>
    <n v="0"/>
    <n v="0"/>
    <s v="MMR015CMP218"/>
    <x v="2"/>
    <x v="0"/>
    <n v="0"/>
    <n v="1.3559805880673707E-3"/>
    <m/>
  </r>
  <r>
    <n v="-0.83333333333333337"/>
    <d v="2017-05-26T00:00:00"/>
    <x v="14"/>
    <s v="NRC"/>
    <s v="Shan_North"/>
    <s v="Kutkai"/>
    <s v="Kutkai downtown (KBC Church-2)"/>
    <m/>
    <m/>
    <m/>
    <n v="46"/>
    <n v="12"/>
    <n v="92"/>
    <n v="46"/>
    <m/>
    <m/>
    <n v="46"/>
    <m/>
    <m/>
    <m/>
    <m/>
    <m/>
    <m/>
    <m/>
    <n v="0"/>
    <n v="0"/>
    <n v="0"/>
    <n v="46"/>
    <n v="12"/>
    <n v="92"/>
    <n v="46"/>
    <n v="0"/>
    <n v="0"/>
    <n v="115"/>
    <n v="0"/>
    <n v="0"/>
    <n v="0"/>
    <n v="0"/>
    <n v="0"/>
    <n v="0"/>
    <n v="0"/>
    <n v="0"/>
    <s v="MMR015CMP245"/>
    <x v="2"/>
    <x v="0"/>
    <n v="0"/>
    <n v="1.0766782136504072E-3"/>
    <m/>
  </r>
  <r>
    <n v="-0.3"/>
    <d v="2017-05-10T00:00:00"/>
    <x v="14"/>
    <s v="NRC"/>
    <s v="Kachin"/>
    <s v="Bhamo"/>
    <s v="Pang Hkawng Yang"/>
    <m/>
    <m/>
    <m/>
    <n v="54"/>
    <n v="6"/>
    <n v="108"/>
    <n v="54"/>
    <m/>
    <m/>
    <n v="54"/>
    <m/>
    <m/>
    <m/>
    <m/>
    <m/>
    <m/>
    <m/>
    <n v="0"/>
    <n v="0"/>
    <n v="0"/>
    <n v="54"/>
    <n v="6"/>
    <n v="108"/>
    <n v="54"/>
    <n v="0"/>
    <n v="0"/>
    <n v="135"/>
    <n v="0"/>
    <n v="0"/>
    <n v="0"/>
    <n v="0"/>
    <n v="0"/>
    <n v="0"/>
    <n v="0"/>
    <n v="0"/>
    <s v=""/>
    <x v="1"/>
    <x v="2"/>
    <s v=""/>
    <s v=""/>
    <m/>
  </r>
  <r>
    <n v="-0.8666666666666667"/>
    <d v="2017-05-27T00:00:00"/>
    <x v="14"/>
    <s v="NRC"/>
    <s v="Shan_North"/>
    <s v="Kutkai"/>
    <s v="Man Loi"/>
    <m/>
    <m/>
    <m/>
    <n v="24"/>
    <n v="9"/>
    <n v="48"/>
    <n v="24"/>
    <m/>
    <m/>
    <n v="24"/>
    <m/>
    <m/>
    <m/>
    <m/>
    <m/>
    <m/>
    <m/>
    <n v="0"/>
    <n v="0"/>
    <n v="0"/>
    <n v="24"/>
    <n v="9"/>
    <n v="48"/>
    <n v="24"/>
    <n v="0"/>
    <n v="0"/>
    <n v="60"/>
    <n v="0"/>
    <n v="0"/>
    <n v="0"/>
    <n v="0"/>
    <n v="0"/>
    <n v="0"/>
    <n v="0"/>
    <n v="0"/>
    <s v="MMR015CMP246"/>
    <x v="0"/>
    <x v="0"/>
    <n v="0"/>
    <s v=""/>
    <m/>
  </r>
  <r>
    <n v="-0.9"/>
    <d v="2017-05-28T00:00:00"/>
    <x v="14"/>
    <s v="NRC"/>
    <s v="Shan_North"/>
    <s v="Kutkai"/>
    <s v="Mai Yu Lay Ta'ang"/>
    <m/>
    <m/>
    <m/>
    <n v="143"/>
    <n v="62"/>
    <n v="286"/>
    <n v="143"/>
    <m/>
    <m/>
    <n v="143"/>
    <m/>
    <m/>
    <m/>
    <m/>
    <m/>
    <m/>
    <m/>
    <n v="0"/>
    <n v="0"/>
    <n v="0"/>
    <n v="143"/>
    <n v="62"/>
    <n v="286"/>
    <n v="143"/>
    <n v="0"/>
    <n v="0"/>
    <n v="357.5"/>
    <n v="0"/>
    <n v="0"/>
    <n v="0"/>
    <n v="0"/>
    <n v="0"/>
    <n v="0"/>
    <n v="0"/>
    <n v="0"/>
    <s v="MMR015CMP220"/>
    <x v="2"/>
    <x v="0"/>
    <n v="0"/>
    <n v="3.3698597855543774E-3"/>
    <m/>
  </r>
  <r>
    <n v="-0.96666666666666667"/>
    <d v="2017-05-30T00:00:00"/>
    <x v="14"/>
    <s v="NRC"/>
    <s v="Shan_North"/>
    <s v="Namtu"/>
    <s v="Nam Tu Baptist"/>
    <m/>
    <m/>
    <m/>
    <n v="46"/>
    <n v="9"/>
    <n v="46"/>
    <n v="46"/>
    <m/>
    <m/>
    <n v="46"/>
    <m/>
    <m/>
    <m/>
    <m/>
    <m/>
    <m/>
    <m/>
    <n v="0"/>
    <n v="0"/>
    <n v="0"/>
    <n v="46"/>
    <n v="9"/>
    <n v="46"/>
    <n v="46"/>
    <n v="0"/>
    <n v="0"/>
    <n v="115"/>
    <n v="0"/>
    <n v="0"/>
    <n v="0"/>
    <n v="0"/>
    <n v="0"/>
    <n v="0"/>
    <n v="0"/>
    <n v="0"/>
    <s v="MMR015CMP014"/>
    <x v="0"/>
    <x v="0"/>
    <s v="P3"/>
    <n v="1.121951219512195E-3"/>
    <m/>
  </r>
  <r>
    <n v="-0.96666666666666667"/>
    <d v="2017-05-30T00:00:00"/>
    <x v="14"/>
    <s v="NRC"/>
    <s v="Shan_North"/>
    <s v="Namtu"/>
    <s v="Lisu Church Namtu"/>
    <m/>
    <m/>
    <m/>
    <n v="25"/>
    <n v="5"/>
    <n v="25"/>
    <n v="25"/>
    <m/>
    <m/>
    <n v="25"/>
    <m/>
    <m/>
    <m/>
    <m/>
    <m/>
    <m/>
    <m/>
    <n v="0"/>
    <n v="0"/>
    <n v="0"/>
    <n v="25"/>
    <n v="5"/>
    <n v="25"/>
    <n v="25"/>
    <n v="0"/>
    <n v="0"/>
    <n v="62.5"/>
    <n v="0"/>
    <n v="0"/>
    <n v="0"/>
    <n v="0"/>
    <n v="0"/>
    <n v="0"/>
    <n v="0"/>
    <n v="0"/>
    <s v="MMR015CMP232"/>
    <x v="0"/>
    <x v="0"/>
    <n v="0"/>
    <s v=""/>
    <m/>
  </r>
  <r>
    <n v="-0.96666666666666667"/>
    <d v="2017-05-30T00:00:00"/>
    <x v="14"/>
    <s v="NRC"/>
    <s v="Shan_North"/>
    <s v="Namtu"/>
    <s v="Pan Ta Pyae"/>
    <m/>
    <m/>
    <m/>
    <n v="16"/>
    <n v="3"/>
    <n v="16"/>
    <n v="16"/>
    <m/>
    <m/>
    <n v="16"/>
    <m/>
    <m/>
    <m/>
    <m/>
    <m/>
    <m/>
    <m/>
    <n v="0"/>
    <n v="0"/>
    <n v="0"/>
    <n v="16"/>
    <n v="3"/>
    <n v="16"/>
    <n v="16"/>
    <n v="0"/>
    <n v="0"/>
    <n v="40"/>
    <n v="0"/>
    <n v="0"/>
    <n v="0"/>
    <n v="0"/>
    <n v="0"/>
    <n v="0"/>
    <n v="0"/>
    <n v="0"/>
    <s v="MMR015CMP221"/>
    <x v="2"/>
    <x v="0"/>
    <n v="0"/>
    <n v="3.7762567854614113E-4"/>
    <m/>
  </r>
  <r>
    <n v="-0.96666666666666667"/>
    <d v="2017-05-30T00:00:00"/>
    <x v="14"/>
    <s v="NRC"/>
    <s v="Shan_North"/>
    <s v="Namtu"/>
    <s v="Kyu Sot"/>
    <m/>
    <m/>
    <m/>
    <n v="60"/>
    <m/>
    <n v="60"/>
    <n v="60"/>
    <m/>
    <m/>
    <n v="60"/>
    <m/>
    <m/>
    <m/>
    <m/>
    <m/>
    <m/>
    <m/>
    <n v="0"/>
    <n v="0"/>
    <n v="0"/>
    <n v="60"/>
    <n v="0"/>
    <n v="60"/>
    <n v="60"/>
    <n v="0"/>
    <n v="0"/>
    <n v="150"/>
    <n v="0"/>
    <n v="0"/>
    <n v="0"/>
    <n v="0"/>
    <n v="0"/>
    <n v="0"/>
    <n v="0"/>
    <n v="0"/>
    <s v="MMR015CMP248"/>
    <x v="2"/>
    <x v="0"/>
    <n v="0"/>
    <n v="1.402491760360908E-3"/>
    <m/>
  </r>
</pivotCacheRecords>
</file>

<file path=xl/pivotCache/pivotCacheRecords2.xml><?xml version="1.0" encoding="utf-8"?>
<pivotCacheRecords xmlns="http://schemas.openxmlformats.org/spreadsheetml/2006/main" xmlns:r="http://schemas.openxmlformats.org/officeDocument/2006/relationships" count="381">
  <r>
    <d v="2017-07-03T00:00:00"/>
    <x v="0"/>
    <s v="KMSS_MKN"/>
    <x v="0"/>
    <x v="0"/>
    <x v="0"/>
    <n v="1"/>
    <m/>
    <m/>
    <n v="5"/>
    <m/>
    <n v="5"/>
    <m/>
    <m/>
    <m/>
    <n v="5"/>
    <n v="5"/>
    <m/>
    <m/>
    <x v="0"/>
    <x v="0"/>
    <n v="1.7730496453900711E-2"/>
    <s v="NO"/>
    <s v="3/July/2017: Updated DRC Shelters"/>
  </r>
  <r>
    <d v="2017-07-03T00:00:00"/>
    <x v="1"/>
    <s v="KMSS_MKN"/>
    <x v="0"/>
    <x v="0"/>
    <x v="1"/>
    <n v="1"/>
    <m/>
    <m/>
    <n v="4"/>
    <m/>
    <n v="4"/>
    <m/>
    <m/>
    <m/>
    <n v="4"/>
    <n v="4"/>
    <m/>
    <m/>
    <x v="1"/>
    <x v="0"/>
    <n v="0.13333333333333333"/>
    <s v="NO"/>
    <s v="3/Jul/2017: Updated MHF shelters"/>
  </r>
  <r>
    <d v="2017-07-03T00:00:00"/>
    <x v="1"/>
    <s v="KMSS_MKN"/>
    <x v="0"/>
    <x v="1"/>
    <x v="2"/>
    <n v="1"/>
    <m/>
    <m/>
    <n v="4"/>
    <m/>
    <n v="4"/>
    <m/>
    <m/>
    <m/>
    <n v="4"/>
    <n v="4"/>
    <m/>
    <m/>
    <x v="2"/>
    <x v="0"/>
    <n v="8.1632653061224483E-2"/>
    <s v="NO"/>
    <s v="3/July/2017: Updated MHF Shelters"/>
  </r>
  <r>
    <d v="2017-07-03T00:00:00"/>
    <x v="1"/>
    <s v="KMSS_MKN"/>
    <x v="0"/>
    <x v="0"/>
    <x v="3"/>
    <n v="1"/>
    <m/>
    <m/>
    <n v="87"/>
    <m/>
    <n v="87"/>
    <m/>
    <m/>
    <m/>
    <n v="87"/>
    <n v="87"/>
    <m/>
    <m/>
    <x v="3"/>
    <x v="0"/>
    <n v="0.1746987951807229"/>
    <s v="NO"/>
    <s v="3/July/2017: Updated MHF Shelters"/>
  </r>
  <r>
    <d v="2017-07-03T00:00:00"/>
    <x v="2"/>
    <s v="KBC"/>
    <x v="0"/>
    <x v="2"/>
    <x v="4"/>
    <n v="1"/>
    <m/>
    <m/>
    <n v="16"/>
    <n v="16"/>
    <m/>
    <m/>
    <m/>
    <m/>
    <n v="16"/>
    <n v="16"/>
    <m/>
    <m/>
    <x v="4"/>
    <x v="0"/>
    <n v="0.53333333333333333"/>
    <s v="NO"/>
    <s v="3/Jul/2017: Updated constructed shelter. Data source: KBC (CAR_March)_x000a_2/June/2017: Updated under costruction shelter. Data source: KBC (CAR_April). _x000a_4/May/2017:Update data shelter. Data source: KBC (CAR_March)"/>
  </r>
  <r>
    <d v="2017-07-03T00:00:00"/>
    <x v="2"/>
    <s v="KBC"/>
    <x v="1"/>
    <x v="3"/>
    <x v="5"/>
    <n v="1"/>
    <m/>
    <m/>
    <n v="30"/>
    <n v="30"/>
    <m/>
    <m/>
    <m/>
    <m/>
    <n v="30"/>
    <n v="30"/>
    <m/>
    <m/>
    <x v="5"/>
    <x v="0"/>
    <n v="0.8571428571428571"/>
    <s v="NO"/>
    <s v="3/Jul/2017: Updated constructed shelter_x000a_2/June/2017: Updated under costruction shelter. Data source: KBC (CAR_April). The same with CAR_March._x000a_4/May/2017:Update data shelter. Data source: KBC (CAR_March)"/>
  </r>
  <r>
    <d v="2017-07-03T00:00:00"/>
    <x v="2"/>
    <s v="KBC"/>
    <x v="0"/>
    <x v="1"/>
    <x v="6"/>
    <n v="1"/>
    <m/>
    <m/>
    <n v="6"/>
    <n v="6"/>
    <m/>
    <m/>
    <m/>
    <m/>
    <n v="0"/>
    <n v="0"/>
    <m/>
    <m/>
    <x v="6"/>
    <x v="0"/>
    <n v="0"/>
    <s v="YES"/>
    <s v="3/Jul/2017: Updated shelter unit"/>
  </r>
  <r>
    <d v="2017-06-02T00:00:00"/>
    <x v="2"/>
    <s v="KBC"/>
    <x v="0"/>
    <x v="1"/>
    <x v="6"/>
    <n v="1"/>
    <m/>
    <m/>
    <n v="6"/>
    <m/>
    <n v="6"/>
    <m/>
    <m/>
    <m/>
    <n v="0"/>
    <n v="0"/>
    <m/>
    <m/>
    <x v="6"/>
    <x v="0"/>
    <n v="0"/>
    <s v="YES"/>
    <s v="2/June/2017: Updated under costruction shelter. Data source: KBC (CAR_April)_x000a_4/May/2017:Update data shelter. Data source: KBC (CAR_March)"/>
  </r>
  <r>
    <d v="2017-06-02T00:00:00"/>
    <x v="2"/>
    <s v="KBC"/>
    <x v="0"/>
    <x v="1"/>
    <x v="7"/>
    <n v="1"/>
    <m/>
    <m/>
    <n v="25"/>
    <m/>
    <n v="25"/>
    <m/>
    <m/>
    <m/>
    <n v="25"/>
    <n v="25"/>
    <m/>
    <m/>
    <x v="7"/>
    <x v="0"/>
    <n v="0.38461538461538464"/>
    <s v="NO"/>
    <s v="2/June/2017: Updated under costruction shelter. Data source: KBC (CAR_April)_x000a_4/May/2017:Updated planned shelter. Data source: KBC (CAR_March)"/>
  </r>
  <r>
    <d v="2017-06-02T00:00:00"/>
    <x v="2"/>
    <s v="KMSS"/>
    <x v="0"/>
    <x v="0"/>
    <x v="0"/>
    <n v="1"/>
    <n v="19"/>
    <n v="19"/>
    <n v="40"/>
    <m/>
    <n v="40"/>
    <m/>
    <m/>
    <m/>
    <n v="40"/>
    <n v="40"/>
    <m/>
    <m/>
    <x v="0"/>
    <x v="0"/>
    <n v="0.14184397163120568"/>
    <s v="NO"/>
    <s v="2/June/2017: Updated tent and under construction shelters data. Data source: KMSS_Myitkyina"/>
  </r>
  <r>
    <d v="2017-06-02T00:00:00"/>
    <x v="3"/>
    <s v="KBC"/>
    <x v="0"/>
    <x v="4"/>
    <x v="8"/>
    <n v="1"/>
    <m/>
    <m/>
    <n v="20"/>
    <m/>
    <n v="20"/>
    <m/>
    <m/>
    <m/>
    <n v="0"/>
    <n v="0"/>
    <m/>
    <m/>
    <x v="8"/>
    <x v="0"/>
    <n v="0"/>
    <s v="YES"/>
    <s v="2/June/2017: Updated under costruction shelter. Data source: KBC (CAR_April). The same with CAR_March._x000a_4/May/2017:Update data shelter. Data source: KBC (CAR_March)"/>
  </r>
  <r>
    <d v="2017-06-02T00:00:00"/>
    <x v="3"/>
    <s v="KBC"/>
    <x v="0"/>
    <x v="5"/>
    <x v="9"/>
    <n v="1"/>
    <m/>
    <m/>
    <n v="140"/>
    <m/>
    <n v="140"/>
    <m/>
    <m/>
    <m/>
    <n v="0"/>
    <n v="0"/>
    <m/>
    <m/>
    <x v="9"/>
    <x v="0"/>
    <n v="0"/>
    <s v="YES"/>
    <s v="2/June/2017: Updated under costruction shelter. Data source: KBC (CAR_April). The same with (CAR_March)_x000a_4/May/2017:Update data shelter. Data source: KBC (CAR_March)"/>
  </r>
  <r>
    <d v="2017-04-28T00:00:00"/>
    <x v="2"/>
    <s v="Shalom"/>
    <x v="0"/>
    <x v="2"/>
    <x v="10"/>
    <n v="1"/>
    <m/>
    <m/>
    <m/>
    <m/>
    <m/>
    <m/>
    <m/>
    <m/>
    <n v="0"/>
    <n v="0"/>
    <n v="10"/>
    <n v="10"/>
    <x v="10"/>
    <x v="0"/>
    <n v="0"/>
    <s v="NO"/>
    <m/>
  </r>
  <r>
    <d v="2017-04-28T00:00:00"/>
    <x v="2"/>
    <s v="KBC"/>
    <x v="0"/>
    <x v="2"/>
    <x v="11"/>
    <n v="1"/>
    <m/>
    <m/>
    <n v="27"/>
    <n v="27"/>
    <m/>
    <m/>
    <m/>
    <m/>
    <n v="0"/>
    <n v="0"/>
    <m/>
    <m/>
    <x v="11"/>
    <x v="1"/>
    <s v=""/>
    <s v="NO"/>
    <m/>
  </r>
  <r>
    <d v="2017-04-28T00:00:00"/>
    <x v="2"/>
    <s v="Shalom"/>
    <x v="0"/>
    <x v="0"/>
    <x v="12"/>
    <n v="1"/>
    <m/>
    <m/>
    <n v="13"/>
    <n v="13"/>
    <m/>
    <m/>
    <m/>
    <m/>
    <n v="0"/>
    <n v="0"/>
    <m/>
    <m/>
    <x v="12"/>
    <x v="0"/>
    <n v="0"/>
    <s v="YES"/>
    <m/>
  </r>
  <r>
    <d v="2017-02-24T00:00:00"/>
    <x v="2"/>
    <s v="KBC"/>
    <x v="0"/>
    <x v="2"/>
    <x v="13"/>
    <n v="1"/>
    <m/>
    <m/>
    <n v="41"/>
    <m/>
    <m/>
    <m/>
    <m/>
    <m/>
    <n v="0"/>
    <n v="0"/>
    <m/>
    <m/>
    <x v="13"/>
    <x v="0"/>
    <n v="0"/>
    <s v="NO"/>
    <m/>
  </r>
  <r>
    <d v="2017-02-14T00:00:00"/>
    <x v="2"/>
    <s v="KMSS_Lashio"/>
    <x v="1"/>
    <x v="6"/>
    <x v="14"/>
    <n v="1"/>
    <m/>
    <m/>
    <m/>
    <m/>
    <m/>
    <m/>
    <m/>
    <m/>
    <n v="0"/>
    <n v="0"/>
    <n v="30"/>
    <n v="30"/>
    <x v="14"/>
    <x v="0"/>
    <n v="0"/>
    <m/>
    <m/>
  </r>
  <r>
    <d v="2017-02-14T00:00:00"/>
    <x v="2"/>
    <s v="KMSS_Bhamo"/>
    <x v="0"/>
    <x v="5"/>
    <x v="15"/>
    <n v="1"/>
    <m/>
    <m/>
    <n v="42"/>
    <m/>
    <m/>
    <m/>
    <m/>
    <m/>
    <n v="0"/>
    <n v="0"/>
    <m/>
    <m/>
    <x v="15"/>
    <x v="0"/>
    <n v="0"/>
    <s v="YES"/>
    <m/>
  </r>
  <r>
    <d v="2017-02-14T00:00:00"/>
    <x v="2"/>
    <s v="KMSS_Bhamo"/>
    <x v="0"/>
    <x v="7"/>
    <x v="16"/>
    <n v="1"/>
    <m/>
    <m/>
    <n v="50"/>
    <m/>
    <m/>
    <m/>
    <m/>
    <m/>
    <n v="0"/>
    <n v="0"/>
    <m/>
    <m/>
    <x v="16"/>
    <x v="0"/>
    <n v="0"/>
    <s v="YES"/>
    <m/>
  </r>
  <r>
    <d v="2017-01-10T00:00:00"/>
    <x v="2"/>
    <s v="KMSS_MKN"/>
    <x v="0"/>
    <x v="8"/>
    <x v="17"/>
    <n v="1"/>
    <m/>
    <m/>
    <m/>
    <m/>
    <m/>
    <m/>
    <m/>
    <m/>
    <n v="0"/>
    <n v="0"/>
    <n v="31"/>
    <m/>
    <x v="17"/>
    <x v="0"/>
    <n v="0"/>
    <s v="NO"/>
    <m/>
  </r>
  <r>
    <d v="2017-01-10T00:00:00"/>
    <x v="2"/>
    <s v="KMSS_MKN"/>
    <x v="0"/>
    <x v="1"/>
    <x v="18"/>
    <n v="1"/>
    <m/>
    <m/>
    <m/>
    <m/>
    <m/>
    <m/>
    <m/>
    <m/>
    <n v="0"/>
    <n v="0"/>
    <n v="30"/>
    <m/>
    <x v="18"/>
    <x v="0"/>
    <n v="0"/>
    <s v="NO"/>
    <m/>
  </r>
  <r>
    <d v="2017-01-10T00:00:00"/>
    <x v="2"/>
    <s v="KMSS_MKN"/>
    <x v="0"/>
    <x v="8"/>
    <x v="19"/>
    <n v="1"/>
    <m/>
    <m/>
    <m/>
    <m/>
    <m/>
    <m/>
    <m/>
    <m/>
    <n v="0"/>
    <n v="0"/>
    <n v="10"/>
    <m/>
    <x v="19"/>
    <x v="0"/>
    <n v="0"/>
    <s v="NO"/>
    <m/>
  </r>
  <r>
    <d v="2017-01-10T00:00:00"/>
    <x v="2"/>
    <s v="KMSS_MKN"/>
    <x v="0"/>
    <x v="0"/>
    <x v="20"/>
    <n v="1"/>
    <m/>
    <m/>
    <n v="130"/>
    <n v="70"/>
    <m/>
    <m/>
    <m/>
    <m/>
    <n v="0"/>
    <n v="0"/>
    <m/>
    <m/>
    <x v="20"/>
    <x v="0"/>
    <n v="0"/>
    <s v="YES"/>
    <m/>
  </r>
  <r>
    <d v="2017-01-10T00:00:00"/>
    <x v="3"/>
    <s v="Shalom"/>
    <x v="0"/>
    <x v="1"/>
    <x v="21"/>
    <n v="1"/>
    <m/>
    <m/>
    <m/>
    <m/>
    <m/>
    <m/>
    <m/>
    <m/>
    <n v="0"/>
    <n v="0"/>
    <n v="10"/>
    <m/>
    <x v="21"/>
    <x v="0"/>
    <n v="0"/>
    <s v="NO"/>
    <m/>
  </r>
  <r>
    <d v="2017-01-10T00:00:00"/>
    <x v="3"/>
    <s v="Shalom"/>
    <x v="0"/>
    <x v="2"/>
    <x v="22"/>
    <n v="1"/>
    <m/>
    <m/>
    <m/>
    <m/>
    <m/>
    <m/>
    <m/>
    <m/>
    <n v="0"/>
    <n v="0"/>
    <n v="20"/>
    <m/>
    <x v="22"/>
    <x v="0"/>
    <n v="0"/>
    <s v="YES"/>
    <m/>
  </r>
  <r>
    <d v="2017-01-10T00:00:00"/>
    <x v="3"/>
    <s v="Shalom"/>
    <x v="0"/>
    <x v="2"/>
    <x v="23"/>
    <n v="1"/>
    <m/>
    <m/>
    <m/>
    <m/>
    <m/>
    <m/>
    <m/>
    <m/>
    <n v="0"/>
    <n v="0"/>
    <n v="5"/>
    <m/>
    <x v="23"/>
    <x v="0"/>
    <n v="0"/>
    <s v="YES"/>
    <m/>
  </r>
  <r>
    <d v="2017-01-10T00:00:00"/>
    <x v="3"/>
    <s v="Shalom"/>
    <x v="0"/>
    <x v="2"/>
    <x v="24"/>
    <n v="1"/>
    <m/>
    <m/>
    <m/>
    <m/>
    <m/>
    <m/>
    <m/>
    <m/>
    <n v="0"/>
    <n v="0"/>
    <n v="20"/>
    <m/>
    <x v="24"/>
    <x v="0"/>
    <n v="0"/>
    <s v="YES"/>
    <m/>
  </r>
  <r>
    <d v="2017-01-10T00:00:00"/>
    <x v="3"/>
    <s v="Shalom"/>
    <x v="0"/>
    <x v="0"/>
    <x v="25"/>
    <n v="1"/>
    <m/>
    <m/>
    <n v="10"/>
    <m/>
    <m/>
    <m/>
    <m/>
    <m/>
    <n v="0"/>
    <n v="0"/>
    <n v="20"/>
    <m/>
    <x v="25"/>
    <x v="0"/>
    <n v="0"/>
    <s v="YES"/>
    <m/>
  </r>
  <r>
    <d v="2017-01-10T00:00:00"/>
    <x v="3"/>
    <s v="Shalom"/>
    <x v="0"/>
    <x v="8"/>
    <x v="26"/>
    <n v="1"/>
    <m/>
    <m/>
    <n v="20"/>
    <n v="10"/>
    <m/>
    <m/>
    <m/>
    <m/>
    <n v="0"/>
    <n v="0"/>
    <n v="20"/>
    <m/>
    <x v="26"/>
    <x v="0"/>
    <n v="0"/>
    <s v="YES"/>
    <s v="2/June/2017: Updated Shelter built. Data source: Shalom"/>
  </r>
  <r>
    <d v="2017-01-10T00:00:00"/>
    <x v="3"/>
    <s v="Shalom"/>
    <x v="0"/>
    <x v="8"/>
    <x v="27"/>
    <n v="1"/>
    <m/>
    <m/>
    <n v="5"/>
    <m/>
    <m/>
    <m/>
    <m/>
    <m/>
    <n v="0"/>
    <n v="0"/>
    <n v="30"/>
    <m/>
    <x v="27"/>
    <x v="0"/>
    <n v="0"/>
    <s v="YES"/>
    <m/>
  </r>
  <r>
    <d v="2017-01-10T00:00:00"/>
    <x v="3"/>
    <s v="Shalom"/>
    <x v="0"/>
    <x v="2"/>
    <x v="10"/>
    <n v="1"/>
    <m/>
    <m/>
    <n v="4"/>
    <m/>
    <m/>
    <m/>
    <m/>
    <m/>
    <n v="0"/>
    <n v="0"/>
    <m/>
    <m/>
    <x v="10"/>
    <x v="0"/>
    <n v="0"/>
    <s v="NO"/>
    <m/>
  </r>
  <r>
    <d v="2017-01-10T00:00:00"/>
    <x v="3"/>
    <s v="Shalom"/>
    <x v="0"/>
    <x v="2"/>
    <x v="28"/>
    <n v="1"/>
    <m/>
    <m/>
    <n v="5"/>
    <m/>
    <m/>
    <m/>
    <m/>
    <m/>
    <n v="0"/>
    <n v="0"/>
    <m/>
    <m/>
    <x v="28"/>
    <x v="0"/>
    <n v="0"/>
    <s v="NO"/>
    <m/>
  </r>
  <r>
    <d v="2017-01-10T00:00:00"/>
    <x v="3"/>
    <s v="Shalom"/>
    <x v="0"/>
    <x v="5"/>
    <x v="29"/>
    <n v="1"/>
    <m/>
    <m/>
    <n v="5"/>
    <m/>
    <m/>
    <m/>
    <m/>
    <m/>
    <n v="0"/>
    <n v="0"/>
    <m/>
    <m/>
    <x v="29"/>
    <x v="0"/>
    <n v="0"/>
    <s v="YES"/>
    <m/>
  </r>
  <r>
    <d v="2016-10-21T00:00:00"/>
    <x v="2"/>
    <s v="KMSS_Bhamo"/>
    <x v="0"/>
    <x v="4"/>
    <x v="30"/>
    <n v="1"/>
    <m/>
    <m/>
    <m/>
    <m/>
    <m/>
    <m/>
    <m/>
    <m/>
    <n v="0"/>
    <n v="0"/>
    <n v="30"/>
    <m/>
    <x v="30"/>
    <x v="0"/>
    <n v="0"/>
    <s v="NO"/>
    <m/>
  </r>
  <r>
    <d v="2016-10-21T00:00:00"/>
    <x v="2"/>
    <s v="Shalom"/>
    <x v="0"/>
    <x v="8"/>
    <x v="26"/>
    <m/>
    <m/>
    <m/>
    <m/>
    <m/>
    <m/>
    <m/>
    <m/>
    <m/>
    <n v="0"/>
    <n v="0"/>
    <n v="30"/>
    <m/>
    <x v="26"/>
    <x v="0"/>
    <n v="0"/>
    <s v="NO"/>
    <m/>
  </r>
  <r>
    <d v="2016-10-21T00:00:00"/>
    <x v="2"/>
    <s v="Shalom"/>
    <x v="0"/>
    <x v="1"/>
    <x v="31"/>
    <m/>
    <m/>
    <m/>
    <m/>
    <m/>
    <m/>
    <m/>
    <m/>
    <m/>
    <n v="0"/>
    <n v="0"/>
    <n v="10"/>
    <m/>
    <x v="31"/>
    <x v="0"/>
    <n v="0"/>
    <s v="NO"/>
    <m/>
  </r>
  <r>
    <d v="2016-10-21T00:00:00"/>
    <x v="2"/>
    <s v="Shalom"/>
    <x v="0"/>
    <x v="8"/>
    <x v="27"/>
    <n v="1"/>
    <m/>
    <m/>
    <m/>
    <m/>
    <m/>
    <m/>
    <m/>
    <m/>
    <n v="0"/>
    <n v="0"/>
    <n v="10"/>
    <m/>
    <x v="27"/>
    <x v="0"/>
    <n v="0"/>
    <s v="NO"/>
    <m/>
  </r>
  <r>
    <d v="2016-10-21T00:00:00"/>
    <x v="2"/>
    <s v="KMSS_Bhamo"/>
    <x v="0"/>
    <x v="4"/>
    <x v="32"/>
    <n v="1"/>
    <m/>
    <m/>
    <n v="40"/>
    <n v="40"/>
    <m/>
    <m/>
    <m/>
    <m/>
    <n v="40"/>
    <n v="40"/>
    <m/>
    <m/>
    <x v="32"/>
    <x v="0"/>
    <n v="7.3126142595978064E-2"/>
    <s v="NO"/>
    <m/>
  </r>
  <r>
    <d v="2016-09-09T00:00:00"/>
    <x v="2"/>
    <s v="KBC"/>
    <x v="0"/>
    <x v="7"/>
    <x v="33"/>
    <n v="1"/>
    <m/>
    <m/>
    <m/>
    <m/>
    <m/>
    <m/>
    <m/>
    <m/>
    <n v="0"/>
    <n v="0"/>
    <n v="45"/>
    <n v="0"/>
    <x v="33"/>
    <x v="0"/>
    <n v="0"/>
    <s v="YES"/>
    <m/>
  </r>
  <r>
    <d v="2016-09-09T00:00:00"/>
    <x v="2"/>
    <s v="KBC"/>
    <x v="0"/>
    <x v="7"/>
    <x v="34"/>
    <n v="1"/>
    <m/>
    <m/>
    <n v="10"/>
    <m/>
    <m/>
    <m/>
    <m/>
    <m/>
    <n v="0"/>
    <n v="0"/>
    <m/>
    <m/>
    <x v="34"/>
    <x v="0"/>
    <n v="0"/>
    <s v="YES"/>
    <m/>
  </r>
  <r>
    <d v="2016-09-09T00:00:00"/>
    <x v="2"/>
    <s v="KBC"/>
    <x v="0"/>
    <x v="5"/>
    <x v="9"/>
    <n v="1"/>
    <m/>
    <m/>
    <n v="5"/>
    <n v="0"/>
    <m/>
    <m/>
    <m/>
    <m/>
    <n v="0"/>
    <n v="0"/>
    <m/>
    <m/>
    <x v="9"/>
    <x v="0"/>
    <n v="0"/>
    <s v="YES"/>
    <m/>
  </r>
  <r>
    <d v="2016-09-09T00:00:00"/>
    <x v="0"/>
    <s v="KBC"/>
    <x v="0"/>
    <x v="7"/>
    <x v="35"/>
    <n v="1"/>
    <m/>
    <m/>
    <n v="41"/>
    <m/>
    <m/>
    <m/>
    <m/>
    <m/>
    <n v="0"/>
    <n v="0"/>
    <m/>
    <m/>
    <x v="35"/>
    <x v="0"/>
    <n v="0"/>
    <s v="YES"/>
    <s v="Implementing with DRC"/>
  </r>
  <r>
    <d v="2016-09-01T00:00:00"/>
    <x v="2"/>
    <s v="KMSS-LSO"/>
    <x v="1"/>
    <x v="6"/>
    <x v="14"/>
    <n v="1"/>
    <n v="30"/>
    <m/>
    <m/>
    <m/>
    <m/>
    <m/>
    <m/>
    <m/>
    <n v="0"/>
    <n v="0"/>
    <m/>
    <m/>
    <x v="14"/>
    <x v="0"/>
    <n v="0"/>
    <s v="NO"/>
    <m/>
  </r>
  <r>
    <d v="2016-09-01T00:00:00"/>
    <x v="2"/>
    <s v="KMSS-LSO"/>
    <x v="1"/>
    <x v="9"/>
    <x v="36"/>
    <n v="1"/>
    <n v="20"/>
    <m/>
    <m/>
    <m/>
    <m/>
    <m/>
    <m/>
    <m/>
    <n v="0"/>
    <n v="0"/>
    <m/>
    <m/>
    <x v="36"/>
    <x v="0"/>
    <n v="0"/>
    <s v="NO"/>
    <m/>
  </r>
  <r>
    <d v="2016-07-20T00:00:00"/>
    <x v="2"/>
    <s v="Shalom"/>
    <x v="0"/>
    <x v="8"/>
    <x v="27"/>
    <m/>
    <m/>
    <m/>
    <m/>
    <m/>
    <m/>
    <m/>
    <m/>
    <m/>
    <n v="0"/>
    <n v="0"/>
    <n v="10"/>
    <m/>
    <x v="27"/>
    <x v="0"/>
    <n v="0"/>
    <s v="NO"/>
    <m/>
  </r>
  <r>
    <d v="2016-07-18T00:00:00"/>
    <x v="4"/>
    <s v="KBC"/>
    <x v="0"/>
    <x v="0"/>
    <x v="37"/>
    <n v="1"/>
    <m/>
    <m/>
    <m/>
    <m/>
    <m/>
    <m/>
    <m/>
    <m/>
    <n v="0"/>
    <n v="0"/>
    <n v="18"/>
    <n v="18"/>
    <x v="37"/>
    <x v="0"/>
    <n v="0"/>
    <s v="NO"/>
    <m/>
  </r>
  <r>
    <d v="2016-07-18T00:00:00"/>
    <x v="4"/>
    <s v="KBC"/>
    <x v="0"/>
    <x v="8"/>
    <x v="38"/>
    <n v="1"/>
    <m/>
    <m/>
    <m/>
    <m/>
    <m/>
    <m/>
    <m/>
    <m/>
    <n v="0"/>
    <n v="0"/>
    <n v="51"/>
    <n v="51"/>
    <x v="38"/>
    <x v="0"/>
    <n v="0"/>
    <s v="NO"/>
    <m/>
  </r>
  <r>
    <d v="2016-07-18T00:00:00"/>
    <x v="4"/>
    <s v="KBC"/>
    <x v="0"/>
    <x v="0"/>
    <x v="39"/>
    <n v="1"/>
    <m/>
    <m/>
    <m/>
    <m/>
    <m/>
    <m/>
    <m/>
    <m/>
    <n v="0"/>
    <n v="0"/>
    <n v="32"/>
    <n v="32"/>
    <x v="39"/>
    <x v="0"/>
    <n v="0"/>
    <s v="NO"/>
    <m/>
  </r>
  <r>
    <d v="2016-07-18T00:00:00"/>
    <x v="2"/>
    <s v="KBC"/>
    <x v="0"/>
    <x v="5"/>
    <x v="9"/>
    <n v="1"/>
    <m/>
    <m/>
    <m/>
    <m/>
    <m/>
    <m/>
    <m/>
    <m/>
    <n v="0"/>
    <n v="0"/>
    <n v="20"/>
    <n v="30"/>
    <x v="9"/>
    <x v="0"/>
    <n v="0"/>
    <s v="NO"/>
    <m/>
  </r>
  <r>
    <d v="2016-07-18T00:00:00"/>
    <x v="4"/>
    <s v="KBC"/>
    <x v="0"/>
    <x v="0"/>
    <x v="40"/>
    <n v="1"/>
    <m/>
    <m/>
    <m/>
    <m/>
    <m/>
    <m/>
    <m/>
    <m/>
    <n v="0"/>
    <n v="0"/>
    <n v="5"/>
    <n v="5"/>
    <x v="40"/>
    <x v="0"/>
    <n v="0"/>
    <s v="NO"/>
    <m/>
  </r>
  <r>
    <d v="2016-07-18T00:00:00"/>
    <x v="4"/>
    <s v="KBC"/>
    <x v="0"/>
    <x v="0"/>
    <x v="41"/>
    <n v="1"/>
    <m/>
    <m/>
    <m/>
    <m/>
    <m/>
    <m/>
    <m/>
    <m/>
    <n v="0"/>
    <n v="0"/>
    <n v="40"/>
    <n v="40"/>
    <x v="41"/>
    <x v="1"/>
    <s v=""/>
    <s v="NO"/>
    <m/>
  </r>
  <r>
    <d v="2016-07-14T00:00:00"/>
    <x v="2"/>
    <s v="KMSS"/>
    <x v="0"/>
    <x v="7"/>
    <x v="42"/>
    <n v="1"/>
    <m/>
    <m/>
    <n v="42"/>
    <n v="42"/>
    <m/>
    <m/>
    <m/>
    <m/>
    <n v="0"/>
    <n v="0"/>
    <m/>
    <m/>
    <x v="42"/>
    <x v="0"/>
    <n v="0"/>
    <s v="YES"/>
    <s v="21 twin shelters = 42 units"/>
  </r>
  <r>
    <d v="2016-05-12T00:00:00"/>
    <x v="2"/>
    <s v="KBC"/>
    <x v="0"/>
    <x v="1"/>
    <x v="43"/>
    <n v="1"/>
    <m/>
    <m/>
    <m/>
    <m/>
    <m/>
    <m/>
    <m/>
    <m/>
    <n v="0"/>
    <n v="0"/>
    <n v="10"/>
    <m/>
    <x v="43"/>
    <x v="0"/>
    <n v="0"/>
    <s v="NO"/>
    <m/>
  </r>
  <r>
    <d v="2016-05-12T00:00:00"/>
    <x v="2"/>
    <s v="KBC"/>
    <x v="0"/>
    <x v="10"/>
    <x v="44"/>
    <n v="1"/>
    <m/>
    <m/>
    <m/>
    <m/>
    <m/>
    <m/>
    <m/>
    <m/>
    <n v="0"/>
    <n v="0"/>
    <n v="2"/>
    <m/>
    <x v="44"/>
    <x v="0"/>
    <n v="0"/>
    <s v="NO"/>
    <m/>
  </r>
  <r>
    <d v="2016-05-12T00:00:00"/>
    <x v="2"/>
    <s v="KBC"/>
    <x v="0"/>
    <x v="0"/>
    <x v="45"/>
    <n v="1"/>
    <m/>
    <m/>
    <m/>
    <m/>
    <m/>
    <m/>
    <m/>
    <m/>
    <n v="0"/>
    <n v="0"/>
    <n v="30"/>
    <m/>
    <x v="45"/>
    <x v="0"/>
    <n v="0"/>
    <s v="NO"/>
    <m/>
  </r>
  <r>
    <d v="2016-05-12T00:00:00"/>
    <x v="2"/>
    <s v="KBC"/>
    <x v="0"/>
    <x v="0"/>
    <x v="46"/>
    <n v="1"/>
    <m/>
    <m/>
    <m/>
    <m/>
    <m/>
    <m/>
    <m/>
    <m/>
    <n v="0"/>
    <n v="0"/>
    <n v="20"/>
    <m/>
    <x v="46"/>
    <x v="0"/>
    <n v="0"/>
    <s v="NO"/>
    <m/>
  </r>
  <r>
    <d v="2016-05-12T00:00:00"/>
    <x v="2"/>
    <s v="KBC"/>
    <x v="0"/>
    <x v="1"/>
    <x v="47"/>
    <n v="1"/>
    <m/>
    <m/>
    <m/>
    <m/>
    <m/>
    <m/>
    <m/>
    <m/>
    <n v="0"/>
    <n v="0"/>
    <n v="10"/>
    <m/>
    <x v="47"/>
    <x v="0"/>
    <n v="0"/>
    <s v="NO"/>
    <m/>
  </r>
  <r>
    <d v="2016-05-12T00:00:00"/>
    <x v="2"/>
    <s v="KBC"/>
    <x v="0"/>
    <x v="1"/>
    <x v="48"/>
    <n v="1"/>
    <m/>
    <m/>
    <m/>
    <m/>
    <m/>
    <m/>
    <m/>
    <m/>
    <n v="0"/>
    <n v="0"/>
    <n v="5"/>
    <m/>
    <x v="48"/>
    <x v="0"/>
    <n v="0"/>
    <s v="NO"/>
    <m/>
  </r>
  <r>
    <d v="2016-05-12T00:00:00"/>
    <x v="2"/>
    <s v="KBC"/>
    <x v="0"/>
    <x v="1"/>
    <x v="49"/>
    <n v="1"/>
    <m/>
    <m/>
    <m/>
    <m/>
    <m/>
    <m/>
    <m/>
    <m/>
    <n v="0"/>
    <n v="0"/>
    <n v="3"/>
    <m/>
    <x v="49"/>
    <x v="0"/>
    <n v="0"/>
    <s v="NO"/>
    <m/>
  </r>
  <r>
    <d v="2016-05-12T00:00:00"/>
    <x v="2"/>
    <s v="KBC"/>
    <x v="0"/>
    <x v="0"/>
    <x v="41"/>
    <n v="1"/>
    <m/>
    <m/>
    <m/>
    <m/>
    <m/>
    <m/>
    <m/>
    <m/>
    <n v="0"/>
    <n v="0"/>
    <n v="40"/>
    <m/>
    <x v="41"/>
    <x v="1"/>
    <s v=""/>
    <s v="NO"/>
    <m/>
  </r>
  <r>
    <d v="2016-05-12T00:00:00"/>
    <x v="2"/>
    <s v="KBC"/>
    <x v="0"/>
    <x v="4"/>
    <x v="50"/>
    <n v="1"/>
    <m/>
    <m/>
    <n v="85"/>
    <n v="85"/>
    <m/>
    <m/>
    <m/>
    <m/>
    <n v="85"/>
    <n v="85"/>
    <m/>
    <m/>
    <x v="50"/>
    <x v="0"/>
    <n v="0.21091811414392059"/>
    <s v="NO"/>
    <m/>
  </r>
  <r>
    <d v="2016-05-10T00:00:00"/>
    <x v="0"/>
    <s v="DRC"/>
    <x v="0"/>
    <x v="7"/>
    <x v="51"/>
    <n v="1"/>
    <m/>
    <m/>
    <n v="170"/>
    <n v="170"/>
    <m/>
    <m/>
    <m/>
    <m/>
    <n v="170"/>
    <n v="170"/>
    <m/>
    <m/>
    <x v="51"/>
    <x v="0"/>
    <n v="0.47486033519553073"/>
    <s v="NO"/>
    <m/>
  </r>
  <r>
    <d v="2016-05-10T00:00:00"/>
    <x v="0"/>
    <s v="KMSS"/>
    <x v="0"/>
    <x v="0"/>
    <x v="52"/>
    <n v="1"/>
    <m/>
    <m/>
    <n v="60"/>
    <n v="65"/>
    <m/>
    <m/>
    <m/>
    <m/>
    <n v="65"/>
    <n v="65"/>
    <m/>
    <m/>
    <x v="52"/>
    <x v="0"/>
    <n v="0.65"/>
    <s v="NO"/>
    <m/>
  </r>
  <r>
    <d v="2016-02-22T00:00:00"/>
    <x v="0"/>
    <m/>
    <x v="0"/>
    <x v="7"/>
    <x v="53"/>
    <n v="1"/>
    <m/>
    <m/>
    <n v="118"/>
    <n v="118"/>
    <m/>
    <m/>
    <m/>
    <m/>
    <n v="0"/>
    <n v="0"/>
    <m/>
    <m/>
    <x v="53"/>
    <x v="0"/>
    <n v="0"/>
    <s v="YES"/>
    <m/>
  </r>
  <r>
    <d v="2016-02-22T00:00:00"/>
    <x v="0"/>
    <m/>
    <x v="0"/>
    <x v="7"/>
    <x v="51"/>
    <n v="1"/>
    <m/>
    <m/>
    <n v="170"/>
    <n v="170"/>
    <m/>
    <m/>
    <m/>
    <m/>
    <n v="0"/>
    <n v="0"/>
    <m/>
    <m/>
    <x v="51"/>
    <x v="0"/>
    <n v="0"/>
    <s v="YES"/>
    <m/>
  </r>
  <r>
    <d v="2016-02-22T00:00:00"/>
    <x v="0"/>
    <m/>
    <x v="0"/>
    <x v="7"/>
    <x v="16"/>
    <n v="1"/>
    <m/>
    <m/>
    <n v="254"/>
    <n v="254"/>
    <m/>
    <m/>
    <m/>
    <m/>
    <n v="0"/>
    <n v="0"/>
    <m/>
    <m/>
    <x v="16"/>
    <x v="0"/>
    <n v="0"/>
    <s v="YES"/>
    <m/>
  </r>
  <r>
    <d v="2016-02-22T00:00:00"/>
    <x v="0"/>
    <m/>
    <x v="0"/>
    <x v="0"/>
    <x v="52"/>
    <n v="1"/>
    <m/>
    <m/>
    <n v="66"/>
    <n v="66"/>
    <m/>
    <m/>
    <m/>
    <m/>
    <n v="0"/>
    <n v="0"/>
    <m/>
    <m/>
    <x v="52"/>
    <x v="0"/>
    <n v="0"/>
    <s v="YES"/>
    <m/>
  </r>
  <r>
    <d v="2016-02-22T00:00:00"/>
    <x v="5"/>
    <m/>
    <x v="0"/>
    <x v="11"/>
    <x v="54"/>
    <n v="1"/>
    <m/>
    <m/>
    <n v="40"/>
    <n v="40"/>
    <m/>
    <m/>
    <m/>
    <m/>
    <n v="28"/>
    <n v="40"/>
    <m/>
    <m/>
    <x v="54"/>
    <x v="0"/>
    <n v="1"/>
    <s v="NO"/>
    <m/>
  </r>
  <r>
    <d v="2016-02-16T00:00:00"/>
    <x v="2"/>
    <s v="KBC"/>
    <x v="0"/>
    <x v="1"/>
    <x v="6"/>
    <n v="1"/>
    <m/>
    <m/>
    <m/>
    <m/>
    <m/>
    <m/>
    <m/>
    <m/>
    <n v="0"/>
    <n v="0"/>
    <n v="13"/>
    <n v="13"/>
    <x v="6"/>
    <x v="0"/>
    <n v="0"/>
    <s v="NO"/>
    <m/>
  </r>
  <r>
    <d v="2016-02-16T00:00:00"/>
    <x v="2"/>
    <s v="KBC"/>
    <x v="0"/>
    <x v="1"/>
    <x v="55"/>
    <n v="1"/>
    <m/>
    <m/>
    <m/>
    <m/>
    <m/>
    <m/>
    <m/>
    <m/>
    <n v="0"/>
    <n v="0"/>
    <n v="5"/>
    <n v="5"/>
    <x v="55"/>
    <x v="0"/>
    <n v="0"/>
    <s v="NO"/>
    <m/>
  </r>
  <r>
    <d v="2016-02-16T00:00:00"/>
    <x v="2"/>
    <s v="KMSS"/>
    <x v="0"/>
    <x v="7"/>
    <x v="56"/>
    <n v="1"/>
    <m/>
    <m/>
    <m/>
    <m/>
    <m/>
    <m/>
    <m/>
    <m/>
    <n v="0"/>
    <n v="0"/>
    <n v="338"/>
    <n v="338"/>
    <x v="56"/>
    <x v="0"/>
    <n v="0"/>
    <s v="NO"/>
    <m/>
  </r>
  <r>
    <d v="2016-02-16T00:00:00"/>
    <x v="2"/>
    <s v="KMSS"/>
    <x v="0"/>
    <x v="7"/>
    <x v="53"/>
    <n v="1"/>
    <m/>
    <m/>
    <m/>
    <m/>
    <m/>
    <m/>
    <m/>
    <m/>
    <n v="0"/>
    <n v="0"/>
    <n v="220"/>
    <n v="220"/>
    <x v="53"/>
    <x v="0"/>
    <n v="0"/>
    <s v="NO"/>
    <m/>
  </r>
  <r>
    <d v="2016-02-16T00:00:00"/>
    <x v="2"/>
    <s v="KMSS"/>
    <x v="0"/>
    <x v="2"/>
    <x v="57"/>
    <n v="1"/>
    <m/>
    <m/>
    <n v="12"/>
    <n v="12"/>
    <m/>
    <m/>
    <m/>
    <m/>
    <n v="12"/>
    <n v="12"/>
    <m/>
    <m/>
    <x v="57"/>
    <x v="0"/>
    <n v="0.16666666666666666"/>
    <s v="NO"/>
    <m/>
  </r>
  <r>
    <d v="2016-02-16T00:00:00"/>
    <x v="2"/>
    <s v="Shalom"/>
    <x v="0"/>
    <x v="2"/>
    <x v="22"/>
    <n v="1"/>
    <m/>
    <m/>
    <n v="15"/>
    <n v="15"/>
    <m/>
    <m/>
    <m/>
    <m/>
    <n v="15"/>
    <n v="15"/>
    <m/>
    <m/>
    <x v="22"/>
    <x v="0"/>
    <n v="0.22727272727272727"/>
    <s v="NO"/>
    <m/>
  </r>
  <r>
    <d v="2016-02-16T00:00:00"/>
    <x v="2"/>
    <s v="KMSS"/>
    <x v="0"/>
    <x v="7"/>
    <x v="42"/>
    <n v="1"/>
    <m/>
    <m/>
    <n v="82"/>
    <n v="82"/>
    <m/>
    <m/>
    <m/>
    <m/>
    <n v="82"/>
    <n v="82"/>
    <m/>
    <m/>
    <x v="42"/>
    <x v="0"/>
    <n v="0.79611650485436891"/>
    <s v="NO"/>
    <m/>
  </r>
  <r>
    <d v="2016-02-16T00:00:00"/>
    <x v="2"/>
    <s v="KBC"/>
    <x v="0"/>
    <x v="1"/>
    <x v="58"/>
    <n v="1"/>
    <m/>
    <m/>
    <m/>
    <m/>
    <m/>
    <m/>
    <m/>
    <m/>
    <n v="0"/>
    <n v="0"/>
    <n v="30"/>
    <n v="30"/>
    <x v="58"/>
    <x v="0"/>
    <n v="0"/>
    <s v="NO"/>
    <m/>
  </r>
  <r>
    <d v="2016-02-16T00:00:00"/>
    <x v="2"/>
    <s v="KBC"/>
    <x v="0"/>
    <x v="1"/>
    <x v="59"/>
    <n v="1"/>
    <m/>
    <m/>
    <m/>
    <m/>
    <m/>
    <m/>
    <m/>
    <m/>
    <n v="0"/>
    <n v="0"/>
    <n v="46"/>
    <n v="46"/>
    <x v="59"/>
    <x v="0"/>
    <n v="0"/>
    <s v="NO"/>
    <m/>
  </r>
  <r>
    <d v="2016-02-16T00:00:00"/>
    <x v="2"/>
    <s v="KBC"/>
    <x v="0"/>
    <x v="1"/>
    <x v="47"/>
    <n v="1"/>
    <m/>
    <m/>
    <m/>
    <m/>
    <m/>
    <m/>
    <m/>
    <m/>
    <n v="0"/>
    <n v="0"/>
    <n v="37"/>
    <n v="37"/>
    <x v="47"/>
    <x v="0"/>
    <n v="0"/>
    <s v="NO"/>
    <m/>
  </r>
  <r>
    <d v="2016-02-16T00:00:00"/>
    <x v="2"/>
    <s v="KBC"/>
    <x v="0"/>
    <x v="0"/>
    <x v="41"/>
    <n v="1"/>
    <m/>
    <m/>
    <m/>
    <m/>
    <m/>
    <m/>
    <m/>
    <m/>
    <n v="0"/>
    <n v="0"/>
    <n v="8"/>
    <n v="8"/>
    <x v="41"/>
    <x v="1"/>
    <s v=""/>
    <s v="NO"/>
    <m/>
  </r>
  <r>
    <d v="2016-02-16T00:00:00"/>
    <x v="2"/>
    <s v="Shalom"/>
    <x v="0"/>
    <x v="5"/>
    <x v="29"/>
    <n v="1"/>
    <m/>
    <m/>
    <n v="15"/>
    <n v="15"/>
    <m/>
    <m/>
    <m/>
    <m/>
    <n v="15"/>
    <n v="15"/>
    <m/>
    <m/>
    <x v="29"/>
    <x v="0"/>
    <n v="0.11538461538461539"/>
    <s v="NO"/>
    <m/>
  </r>
  <r>
    <d v="2016-02-16T00:00:00"/>
    <x v="5"/>
    <m/>
    <x v="0"/>
    <x v="10"/>
    <x v="44"/>
    <n v="1"/>
    <m/>
    <m/>
    <n v="60"/>
    <n v="60"/>
    <m/>
    <m/>
    <m/>
    <m/>
    <n v="60"/>
    <n v="60"/>
    <m/>
    <m/>
    <x v="44"/>
    <x v="0"/>
    <n v="0.98360655737704916"/>
    <s v="NO"/>
    <m/>
  </r>
  <r>
    <d v="2016-02-16T00:00:00"/>
    <x v="6"/>
    <m/>
    <x v="1"/>
    <x v="9"/>
    <x v="60"/>
    <n v="1"/>
    <m/>
    <m/>
    <n v="25"/>
    <n v="25"/>
    <m/>
    <m/>
    <m/>
    <m/>
    <n v="25"/>
    <n v="25"/>
    <m/>
    <m/>
    <x v="60"/>
    <x v="0"/>
    <n v="0.69444444444444442"/>
    <s v="NO"/>
    <m/>
  </r>
  <r>
    <d v="2016-02-16T00:00:00"/>
    <x v="6"/>
    <m/>
    <x v="1"/>
    <x v="12"/>
    <x v="61"/>
    <n v="1"/>
    <m/>
    <m/>
    <n v="9"/>
    <n v="9"/>
    <m/>
    <m/>
    <m/>
    <m/>
    <n v="9"/>
    <n v="9"/>
    <m/>
    <m/>
    <x v="61"/>
    <x v="0"/>
    <n v="1"/>
    <s v="NO"/>
    <m/>
  </r>
  <r>
    <d v="2016-02-16T00:00:00"/>
    <x v="6"/>
    <m/>
    <x v="1"/>
    <x v="13"/>
    <x v="62"/>
    <n v="1"/>
    <m/>
    <m/>
    <n v="25"/>
    <n v="25"/>
    <m/>
    <m/>
    <m/>
    <m/>
    <n v="25"/>
    <n v="25"/>
    <m/>
    <m/>
    <x v="62"/>
    <x v="0"/>
    <n v="0.73529411764705888"/>
    <s v="NO"/>
    <m/>
  </r>
  <r>
    <d v="2016-02-16T00:00:00"/>
    <x v="6"/>
    <m/>
    <x v="1"/>
    <x v="9"/>
    <x v="63"/>
    <n v="1"/>
    <m/>
    <m/>
    <n v="36"/>
    <n v="36"/>
    <m/>
    <m/>
    <m/>
    <m/>
    <n v="36"/>
    <n v="36"/>
    <m/>
    <m/>
    <x v="63"/>
    <x v="0"/>
    <n v="0.3"/>
    <s v="NO"/>
    <m/>
  </r>
  <r>
    <d v="2016-02-16T00:00:00"/>
    <x v="2"/>
    <s v="KMSS"/>
    <x v="0"/>
    <x v="1"/>
    <x v="2"/>
    <n v="1"/>
    <m/>
    <m/>
    <n v="14"/>
    <n v="14"/>
    <m/>
    <m/>
    <m/>
    <m/>
    <n v="14"/>
    <n v="14"/>
    <m/>
    <m/>
    <x v="2"/>
    <x v="0"/>
    <n v="0.2857142857142857"/>
    <s v="NO"/>
    <m/>
  </r>
  <r>
    <d v="2016-02-16T00:00:00"/>
    <x v="5"/>
    <m/>
    <x v="0"/>
    <x v="0"/>
    <x v="40"/>
    <n v="1"/>
    <m/>
    <m/>
    <n v="73"/>
    <n v="73"/>
    <m/>
    <m/>
    <m/>
    <m/>
    <n v="73"/>
    <n v="73"/>
    <m/>
    <m/>
    <x v="40"/>
    <x v="0"/>
    <n v="0.39673913043478259"/>
    <s v="NO"/>
    <m/>
  </r>
  <r>
    <d v="2016-02-16T00:00:00"/>
    <x v="2"/>
    <s v="Shalom"/>
    <x v="0"/>
    <x v="1"/>
    <x v="64"/>
    <n v="1"/>
    <m/>
    <m/>
    <n v="10"/>
    <n v="10"/>
    <m/>
    <m/>
    <m/>
    <m/>
    <n v="10"/>
    <n v="10"/>
    <m/>
    <m/>
    <x v="64"/>
    <x v="0"/>
    <n v="0.18518518518518517"/>
    <s v="NO"/>
    <m/>
  </r>
  <r>
    <d v="2016-02-16T00:00:00"/>
    <x v="6"/>
    <m/>
    <x v="1"/>
    <x v="6"/>
    <x v="65"/>
    <n v="1"/>
    <m/>
    <m/>
    <n v="16"/>
    <n v="16"/>
    <m/>
    <m/>
    <m/>
    <m/>
    <n v="16"/>
    <n v="16"/>
    <m/>
    <m/>
    <x v="65"/>
    <x v="0"/>
    <n v="8.6021505376344093E-2"/>
    <s v="NO"/>
    <m/>
  </r>
  <r>
    <d v="2014-12-30T00:00:00"/>
    <x v="2"/>
    <s v="KBC"/>
    <x v="0"/>
    <x v="0"/>
    <x v="40"/>
    <n v="1"/>
    <n v="90"/>
    <m/>
    <m/>
    <m/>
    <m/>
    <m/>
    <m/>
    <m/>
    <n v="0"/>
    <n v="0"/>
    <m/>
    <m/>
    <x v="40"/>
    <x v="0"/>
    <n v="0"/>
    <s v="NO"/>
    <m/>
  </r>
  <r>
    <d v="2014-12-01T00:00:00"/>
    <x v="2"/>
    <s v="KBC"/>
    <x v="0"/>
    <x v="4"/>
    <x v="66"/>
    <n v="1"/>
    <m/>
    <m/>
    <n v="90"/>
    <n v="90"/>
    <m/>
    <m/>
    <m/>
    <m/>
    <n v="90"/>
    <n v="90"/>
    <m/>
    <m/>
    <x v="66"/>
    <x v="0"/>
    <n v="0.23316062176165803"/>
    <s v="NO"/>
    <m/>
  </r>
  <r>
    <d v="2014-12-01T00:00:00"/>
    <x v="2"/>
    <s v="KBC"/>
    <x v="0"/>
    <x v="4"/>
    <x v="67"/>
    <n v="1"/>
    <m/>
    <m/>
    <n v="120"/>
    <n v="120"/>
    <m/>
    <m/>
    <m/>
    <m/>
    <n v="0"/>
    <n v="0"/>
    <m/>
    <m/>
    <x v="67"/>
    <x v="1"/>
    <s v=""/>
    <s v="NO"/>
    <m/>
  </r>
  <r>
    <d v="2014-12-01T00:00:00"/>
    <x v="2"/>
    <s v="KBC"/>
    <x v="0"/>
    <x v="4"/>
    <x v="32"/>
    <n v="1"/>
    <m/>
    <m/>
    <n v="118"/>
    <n v="118"/>
    <m/>
    <m/>
    <m/>
    <m/>
    <n v="118"/>
    <n v="118"/>
    <m/>
    <m/>
    <x v="32"/>
    <x v="0"/>
    <n v="0.21572212065813529"/>
    <s v="NO"/>
    <m/>
  </r>
  <r>
    <d v="2014-12-01T00:00:00"/>
    <x v="2"/>
    <s v="Shalom"/>
    <x v="0"/>
    <x v="2"/>
    <x v="22"/>
    <n v="1"/>
    <m/>
    <m/>
    <n v="15"/>
    <n v="15"/>
    <m/>
    <m/>
    <m/>
    <m/>
    <n v="15"/>
    <n v="15"/>
    <m/>
    <m/>
    <x v="22"/>
    <x v="0"/>
    <n v="0.22727272727272727"/>
    <s v="NO"/>
    <m/>
  </r>
  <r>
    <d v="2014-12-01T00:00:00"/>
    <x v="2"/>
    <s v="Shalom"/>
    <x v="0"/>
    <x v="2"/>
    <x v="10"/>
    <n v="1"/>
    <m/>
    <m/>
    <n v="5"/>
    <n v="5"/>
    <m/>
    <m/>
    <m/>
    <m/>
    <n v="5"/>
    <n v="5"/>
    <m/>
    <m/>
    <x v="10"/>
    <x v="0"/>
    <n v="0.35714285714285715"/>
    <s v="NO"/>
    <m/>
  </r>
  <r>
    <d v="2014-12-01T00:00:00"/>
    <x v="2"/>
    <s v="Shalom"/>
    <x v="0"/>
    <x v="2"/>
    <x v="68"/>
    <n v="1"/>
    <m/>
    <m/>
    <n v="5"/>
    <n v="5"/>
    <m/>
    <m/>
    <m/>
    <m/>
    <n v="0"/>
    <n v="0"/>
    <m/>
    <m/>
    <x v="68"/>
    <x v="1"/>
    <s v=""/>
    <s v="NO"/>
    <m/>
  </r>
  <r>
    <d v="2014-12-01T00:00:00"/>
    <x v="2"/>
    <s v="Shalom"/>
    <x v="0"/>
    <x v="2"/>
    <x v="23"/>
    <n v="1"/>
    <m/>
    <m/>
    <n v="2"/>
    <n v="2"/>
    <m/>
    <m/>
    <m/>
    <m/>
    <n v="2"/>
    <n v="2"/>
    <m/>
    <m/>
    <x v="23"/>
    <x v="0"/>
    <n v="0.33333333333333331"/>
    <s v="NO"/>
    <m/>
  </r>
  <r>
    <d v="2014-12-01T00:00:00"/>
    <x v="2"/>
    <s v="Shalom"/>
    <x v="0"/>
    <x v="8"/>
    <x v="27"/>
    <n v="1"/>
    <m/>
    <m/>
    <n v="5"/>
    <n v="5"/>
    <m/>
    <m/>
    <m/>
    <m/>
    <n v="5"/>
    <n v="5"/>
    <m/>
    <m/>
    <x v="27"/>
    <x v="0"/>
    <n v="4.6296296296296294E-2"/>
    <s v="NO"/>
    <m/>
  </r>
  <r>
    <d v="2014-12-01T00:00:00"/>
    <x v="2"/>
    <s v="Shalom"/>
    <x v="0"/>
    <x v="2"/>
    <x v="24"/>
    <n v="1"/>
    <m/>
    <m/>
    <n v="45"/>
    <n v="45"/>
    <m/>
    <m/>
    <m/>
    <m/>
    <n v="45"/>
    <n v="45"/>
    <m/>
    <m/>
    <x v="24"/>
    <x v="0"/>
    <n v="0.6428571428571429"/>
    <s v="NO"/>
    <m/>
  </r>
  <r>
    <d v="2014-12-01T00:00:00"/>
    <x v="2"/>
    <s v="KMSS"/>
    <x v="0"/>
    <x v="7"/>
    <x v="56"/>
    <n v="1"/>
    <m/>
    <m/>
    <n v="280"/>
    <n v="280"/>
    <m/>
    <m/>
    <m/>
    <m/>
    <n v="280"/>
    <n v="280"/>
    <m/>
    <m/>
    <x v="56"/>
    <x v="0"/>
    <n v="0.38997214484679665"/>
    <s v="NO"/>
    <m/>
  </r>
  <r>
    <d v="2014-12-01T00:00:00"/>
    <x v="2"/>
    <s v="KMSS"/>
    <x v="0"/>
    <x v="7"/>
    <x v="53"/>
    <n v="1"/>
    <m/>
    <m/>
    <n v="278"/>
    <n v="278"/>
    <m/>
    <m/>
    <m/>
    <m/>
    <n v="278"/>
    <n v="278"/>
    <m/>
    <m/>
    <x v="53"/>
    <x v="0"/>
    <n v="0.17981888745148772"/>
    <s v="NO"/>
    <m/>
  </r>
  <r>
    <d v="2014-12-01T00:00:00"/>
    <x v="2"/>
    <s v="Shalom"/>
    <x v="0"/>
    <x v="8"/>
    <x v="26"/>
    <n v="1"/>
    <m/>
    <m/>
    <n v="35"/>
    <n v="35"/>
    <m/>
    <m/>
    <m/>
    <m/>
    <n v="35"/>
    <n v="35"/>
    <m/>
    <m/>
    <x v="26"/>
    <x v="0"/>
    <n v="0.24305555555555555"/>
    <s v="NO"/>
    <m/>
  </r>
  <r>
    <d v="2014-12-01T00:00:00"/>
    <x v="2"/>
    <s v="Shalom"/>
    <x v="0"/>
    <x v="2"/>
    <x v="28"/>
    <n v="1"/>
    <m/>
    <m/>
    <n v="5"/>
    <n v="5"/>
    <m/>
    <m/>
    <m/>
    <m/>
    <n v="5"/>
    <n v="5"/>
    <m/>
    <m/>
    <x v="28"/>
    <x v="0"/>
    <n v="0.25"/>
    <s v="NO"/>
    <m/>
  </r>
  <r>
    <d v="2014-12-01T00:00:00"/>
    <x v="2"/>
    <s v="Shalom"/>
    <x v="0"/>
    <x v="2"/>
    <x v="69"/>
    <n v="1"/>
    <m/>
    <m/>
    <n v="15"/>
    <n v="15"/>
    <m/>
    <m/>
    <m/>
    <m/>
    <n v="12"/>
    <n v="15"/>
    <m/>
    <m/>
    <x v="69"/>
    <x v="0"/>
    <n v="1"/>
    <s v="NO"/>
    <m/>
  </r>
  <r>
    <d v="2014-12-01T00:00:00"/>
    <x v="2"/>
    <s v="Shalom"/>
    <x v="0"/>
    <x v="5"/>
    <x v="29"/>
    <n v="1"/>
    <m/>
    <m/>
    <n v="15"/>
    <n v="15"/>
    <m/>
    <m/>
    <m/>
    <m/>
    <n v="15"/>
    <n v="15"/>
    <n v="8"/>
    <m/>
    <x v="29"/>
    <x v="0"/>
    <n v="0.11538461538461539"/>
    <s v="NO"/>
    <m/>
  </r>
  <r>
    <d v="2014-12-01T00:00:00"/>
    <x v="6"/>
    <m/>
    <x v="1"/>
    <x v="12"/>
    <x v="70"/>
    <n v="1"/>
    <m/>
    <m/>
    <n v="44"/>
    <n v="44"/>
    <m/>
    <m/>
    <m/>
    <m/>
    <n v="44"/>
    <n v="44"/>
    <m/>
    <m/>
    <x v="70"/>
    <x v="0"/>
    <n v="1"/>
    <s v="NO"/>
    <m/>
  </r>
  <r>
    <d v="2014-12-01T00:00:00"/>
    <x v="2"/>
    <s v="Shalom"/>
    <x v="0"/>
    <x v="2"/>
    <x v="71"/>
    <n v="1"/>
    <m/>
    <m/>
    <n v="5"/>
    <n v="5"/>
    <m/>
    <m/>
    <m/>
    <m/>
    <n v="5"/>
    <n v="5"/>
    <m/>
    <m/>
    <x v="71"/>
    <x v="0"/>
    <n v="0.41666666666666669"/>
    <s v="NO"/>
    <m/>
  </r>
  <r>
    <d v="2014-12-01T00:00:00"/>
    <x v="2"/>
    <s v="Shalom"/>
    <x v="0"/>
    <x v="0"/>
    <x v="72"/>
    <n v="1"/>
    <m/>
    <m/>
    <n v="9"/>
    <n v="9"/>
    <m/>
    <m/>
    <m/>
    <m/>
    <n v="9"/>
    <n v="9"/>
    <m/>
    <m/>
    <x v="72"/>
    <x v="0"/>
    <n v="0.45"/>
    <s v="NO"/>
    <m/>
  </r>
  <r>
    <d v="2014-12-01T00:00:00"/>
    <x v="0"/>
    <m/>
    <x v="0"/>
    <x v="7"/>
    <x v="16"/>
    <n v="1"/>
    <m/>
    <m/>
    <n v="394"/>
    <n v="140"/>
    <m/>
    <m/>
    <m/>
    <m/>
    <n v="140"/>
    <n v="140"/>
    <m/>
    <m/>
    <x v="16"/>
    <x v="0"/>
    <n v="0.23450586264656617"/>
    <s v="NO"/>
    <m/>
  </r>
  <r>
    <d v="2014-12-01T00:00:00"/>
    <x v="2"/>
    <s v="Shalom"/>
    <x v="0"/>
    <x v="0"/>
    <x v="25"/>
    <n v="1"/>
    <m/>
    <m/>
    <n v="21"/>
    <n v="21"/>
    <m/>
    <m/>
    <m/>
    <m/>
    <n v="21"/>
    <n v="21"/>
    <m/>
    <m/>
    <x v="25"/>
    <x v="0"/>
    <n v="0.1891891891891892"/>
    <s v="NO"/>
    <m/>
  </r>
  <r>
    <d v="2014-12-01T00:00:00"/>
    <x v="2"/>
    <s v="Shalom"/>
    <x v="0"/>
    <x v="1"/>
    <x v="64"/>
    <n v="1"/>
    <m/>
    <m/>
    <n v="5"/>
    <n v="5"/>
    <m/>
    <m/>
    <m/>
    <m/>
    <n v="5"/>
    <n v="5"/>
    <m/>
    <m/>
    <x v="64"/>
    <x v="0"/>
    <n v="9.2592592592592587E-2"/>
    <s v="NO"/>
    <m/>
  </r>
  <r>
    <d v="2014-12-01T00:00:00"/>
    <x v="2"/>
    <s v="Shalom"/>
    <x v="0"/>
    <x v="0"/>
    <x v="73"/>
    <n v="1"/>
    <m/>
    <m/>
    <n v="5"/>
    <n v="5"/>
    <m/>
    <m/>
    <m/>
    <m/>
    <n v="5"/>
    <n v="5"/>
    <m/>
    <m/>
    <x v="73"/>
    <x v="0"/>
    <n v="0.10869565217391304"/>
    <s v="NO"/>
    <m/>
  </r>
  <r>
    <d v="2014-12-01T00:00:00"/>
    <x v="2"/>
    <s v="KBC"/>
    <x v="0"/>
    <x v="7"/>
    <x v="74"/>
    <n v="1"/>
    <m/>
    <m/>
    <n v="21"/>
    <n v="21"/>
    <m/>
    <m/>
    <m/>
    <m/>
    <n v="21"/>
    <n v="21"/>
    <m/>
    <m/>
    <x v="74"/>
    <x v="0"/>
    <n v="0.20388349514563106"/>
    <s v="NO"/>
    <m/>
  </r>
  <r>
    <d v="2014-06-19T00:00:00"/>
    <x v="0"/>
    <s v="Shalom"/>
    <x v="0"/>
    <x v="0"/>
    <x v="75"/>
    <n v="1"/>
    <m/>
    <m/>
    <n v="50"/>
    <n v="55"/>
    <m/>
    <m/>
    <m/>
    <m/>
    <n v="55"/>
    <n v="55"/>
    <m/>
    <m/>
    <x v="75"/>
    <x v="0"/>
    <n v="0.53921568627450978"/>
    <s v="NO"/>
    <m/>
  </r>
  <r>
    <d v="2014-06-19T00:00:00"/>
    <x v="2"/>
    <s v="KBSS"/>
    <x v="0"/>
    <x v="7"/>
    <x v="76"/>
    <n v="1"/>
    <m/>
    <m/>
    <n v="80"/>
    <n v="80"/>
    <m/>
    <m/>
    <m/>
    <m/>
    <n v="80"/>
    <n v="80"/>
    <m/>
    <m/>
    <x v="76"/>
    <x v="0"/>
    <n v="0.30188679245283018"/>
    <s v="NO"/>
    <m/>
  </r>
  <r>
    <d v="2014-06-19T00:00:00"/>
    <x v="6"/>
    <m/>
    <x v="0"/>
    <x v="4"/>
    <x v="77"/>
    <n v="1"/>
    <m/>
    <m/>
    <n v="56"/>
    <n v="60"/>
    <m/>
    <m/>
    <m/>
    <m/>
    <n v="60"/>
    <n v="60"/>
    <m/>
    <m/>
    <x v="77"/>
    <x v="0"/>
    <n v="0.30927835051546393"/>
    <s v="NO"/>
    <m/>
  </r>
  <r>
    <d v="2014-06-01T00:00:00"/>
    <x v="2"/>
    <s v="KMSS"/>
    <x v="0"/>
    <x v="4"/>
    <x v="66"/>
    <n v="1"/>
    <m/>
    <m/>
    <n v="100"/>
    <n v="100"/>
    <m/>
    <m/>
    <m/>
    <m/>
    <n v="100"/>
    <n v="100"/>
    <m/>
    <m/>
    <x v="66"/>
    <x v="0"/>
    <n v="0.25906735751295334"/>
    <s v="NO"/>
    <m/>
  </r>
  <r>
    <d v="2014-06-01T00:00:00"/>
    <x v="2"/>
    <s v="Shalom"/>
    <x v="0"/>
    <x v="2"/>
    <x v="24"/>
    <n v="1"/>
    <m/>
    <m/>
    <n v="20"/>
    <n v="20"/>
    <m/>
    <m/>
    <m/>
    <m/>
    <n v="20"/>
    <n v="20"/>
    <m/>
    <m/>
    <x v="24"/>
    <x v="0"/>
    <n v="0.2857142857142857"/>
    <s v="NO"/>
    <m/>
  </r>
  <r>
    <d v="2014-06-01T00:00:00"/>
    <x v="2"/>
    <s v="Shalom"/>
    <x v="0"/>
    <x v="8"/>
    <x v="26"/>
    <n v="1"/>
    <m/>
    <m/>
    <n v="5"/>
    <n v="5"/>
    <m/>
    <m/>
    <m/>
    <m/>
    <n v="5"/>
    <n v="5"/>
    <m/>
    <m/>
    <x v="26"/>
    <x v="0"/>
    <n v="3.4722222222222224E-2"/>
    <s v="NO"/>
    <m/>
  </r>
  <r>
    <d v="2014-06-01T00:00:00"/>
    <x v="2"/>
    <s v="Shalom"/>
    <x v="0"/>
    <x v="2"/>
    <x v="28"/>
    <n v="1"/>
    <m/>
    <m/>
    <n v="2"/>
    <n v="2"/>
    <m/>
    <m/>
    <m/>
    <m/>
    <n v="2"/>
    <n v="2"/>
    <m/>
    <m/>
    <x v="28"/>
    <x v="0"/>
    <n v="0.1"/>
    <s v="NO"/>
    <m/>
  </r>
  <r>
    <d v="2014-06-01T00:00:00"/>
    <x v="2"/>
    <s v="Shalom"/>
    <x v="0"/>
    <x v="1"/>
    <x v="31"/>
    <n v="1"/>
    <m/>
    <m/>
    <n v="5"/>
    <n v="5"/>
    <m/>
    <m/>
    <m/>
    <m/>
    <n v="5"/>
    <n v="5"/>
    <m/>
    <m/>
    <x v="31"/>
    <x v="0"/>
    <n v="0.21739130434782608"/>
    <s v="NO"/>
    <m/>
  </r>
  <r>
    <d v="2014-06-01T00:00:00"/>
    <x v="2"/>
    <s v="Shalom"/>
    <x v="0"/>
    <x v="5"/>
    <x v="78"/>
    <n v="1"/>
    <m/>
    <m/>
    <n v="5"/>
    <n v="5"/>
    <m/>
    <m/>
    <m/>
    <m/>
    <n v="5"/>
    <n v="5"/>
    <m/>
    <m/>
    <x v="78"/>
    <x v="0"/>
    <n v="0.38461538461538464"/>
    <s v="NO"/>
    <m/>
  </r>
  <r>
    <d v="2014-06-01T00:00:00"/>
    <x v="2"/>
    <s v="Shalom"/>
    <x v="0"/>
    <x v="0"/>
    <x v="79"/>
    <n v="1"/>
    <m/>
    <m/>
    <n v="3"/>
    <n v="3"/>
    <m/>
    <m/>
    <m/>
    <m/>
    <n v="3"/>
    <n v="3"/>
    <m/>
    <m/>
    <x v="79"/>
    <x v="0"/>
    <n v="9.6774193548387094E-2"/>
    <s v="NO"/>
    <m/>
  </r>
  <r>
    <d v="2014-06-01T00:00:00"/>
    <x v="2"/>
    <s v="Shalom"/>
    <x v="0"/>
    <x v="1"/>
    <x v="64"/>
    <n v="1"/>
    <m/>
    <m/>
    <n v="10"/>
    <n v="10"/>
    <m/>
    <m/>
    <m/>
    <m/>
    <n v="10"/>
    <n v="10"/>
    <m/>
    <m/>
    <x v="64"/>
    <x v="0"/>
    <n v="0.18518518518518517"/>
    <s v="NO"/>
    <m/>
  </r>
  <r>
    <d v="2014-06-01T00:00:00"/>
    <x v="2"/>
    <s v="KBC"/>
    <x v="0"/>
    <x v="7"/>
    <x v="34"/>
    <n v="1"/>
    <m/>
    <m/>
    <n v="25"/>
    <n v="25"/>
    <m/>
    <m/>
    <m/>
    <m/>
    <n v="25"/>
    <n v="25"/>
    <m/>
    <m/>
    <x v="34"/>
    <x v="0"/>
    <n v="0.12886597938144329"/>
    <s v="NO"/>
    <m/>
  </r>
  <r>
    <d v="2014-06-01T00:00:00"/>
    <x v="2"/>
    <s v="KBC"/>
    <x v="0"/>
    <x v="4"/>
    <x v="50"/>
    <n v="1"/>
    <m/>
    <m/>
    <n v="60"/>
    <n v="60"/>
    <m/>
    <m/>
    <m/>
    <m/>
    <n v="60"/>
    <n v="60"/>
    <m/>
    <m/>
    <x v="50"/>
    <x v="0"/>
    <n v="0.14888337468982629"/>
    <s v="NO"/>
    <m/>
  </r>
  <r>
    <d v="2014-06-01T00:00:00"/>
    <x v="2"/>
    <s v="KBC"/>
    <x v="0"/>
    <x v="4"/>
    <x v="77"/>
    <n v="1"/>
    <m/>
    <m/>
    <n v="15"/>
    <n v="15"/>
    <m/>
    <m/>
    <m/>
    <m/>
    <n v="15"/>
    <n v="15"/>
    <m/>
    <m/>
    <x v="77"/>
    <x v="0"/>
    <n v="7.7319587628865982E-2"/>
    <s v="NO"/>
    <m/>
  </r>
  <r>
    <d v="2014-06-01T00:00:00"/>
    <x v="2"/>
    <s v="KBC"/>
    <x v="0"/>
    <x v="7"/>
    <x v="80"/>
    <n v="1"/>
    <m/>
    <m/>
    <n v="10"/>
    <n v="10"/>
    <m/>
    <m/>
    <m/>
    <m/>
    <n v="10"/>
    <n v="10"/>
    <m/>
    <m/>
    <x v="80"/>
    <x v="0"/>
    <n v="2.5839793281653745E-2"/>
    <s v="NO"/>
    <m/>
  </r>
  <r>
    <d v="2014-06-01T00:00:00"/>
    <x v="2"/>
    <s v="KBC"/>
    <x v="0"/>
    <x v="5"/>
    <x v="81"/>
    <n v="1"/>
    <m/>
    <m/>
    <n v="10"/>
    <n v="10"/>
    <m/>
    <m/>
    <m/>
    <m/>
    <n v="10"/>
    <n v="10"/>
    <m/>
    <m/>
    <x v="81"/>
    <x v="0"/>
    <n v="6.535947712418301E-2"/>
    <s v="NO"/>
    <m/>
  </r>
  <r>
    <d v="2014-05-11T00:00:00"/>
    <x v="2"/>
    <m/>
    <x v="1"/>
    <x v="12"/>
    <x v="70"/>
    <n v="1"/>
    <n v="110"/>
    <n v="110"/>
    <m/>
    <m/>
    <m/>
    <m/>
    <m/>
    <m/>
    <n v="0"/>
    <n v="0"/>
    <m/>
    <m/>
    <x v="70"/>
    <x v="0"/>
    <n v="0"/>
    <s v="NO"/>
    <m/>
  </r>
  <r>
    <d v="2014-04-20T00:00:00"/>
    <x v="2"/>
    <m/>
    <x v="0"/>
    <x v="4"/>
    <x v="82"/>
    <n v="1"/>
    <n v="200"/>
    <n v="200"/>
    <m/>
    <m/>
    <m/>
    <m/>
    <m/>
    <m/>
    <n v="0"/>
    <n v="0"/>
    <m/>
    <m/>
    <x v="82"/>
    <x v="1"/>
    <s v=""/>
    <s v="NO"/>
    <m/>
  </r>
  <r>
    <d v="2014-04-19T00:00:00"/>
    <x v="2"/>
    <m/>
    <x v="0"/>
    <x v="4"/>
    <x v="30"/>
    <n v="1"/>
    <n v="200"/>
    <n v="200"/>
    <m/>
    <m/>
    <m/>
    <m/>
    <m/>
    <m/>
    <n v="0"/>
    <n v="0"/>
    <m/>
    <m/>
    <x v="30"/>
    <x v="0"/>
    <n v="0"/>
    <s v="NO"/>
    <m/>
  </r>
  <r>
    <d v="2013-12-01T00:00:00"/>
    <x v="2"/>
    <s v="KBC"/>
    <x v="0"/>
    <x v="2"/>
    <x v="83"/>
    <n v="1"/>
    <m/>
    <m/>
    <n v="20"/>
    <n v="20"/>
    <m/>
    <m/>
    <m/>
    <m/>
    <n v="0"/>
    <n v="0"/>
    <m/>
    <m/>
    <x v="83"/>
    <x v="1"/>
    <s v=""/>
    <s v="NO"/>
    <m/>
  </r>
  <r>
    <d v="2013-12-01T00:00:00"/>
    <x v="2"/>
    <s v="Shalom"/>
    <x v="0"/>
    <x v="2"/>
    <x v="22"/>
    <n v="1"/>
    <m/>
    <m/>
    <n v="25"/>
    <n v="25"/>
    <m/>
    <m/>
    <m/>
    <m/>
    <n v="25"/>
    <n v="25"/>
    <m/>
    <m/>
    <x v="22"/>
    <x v="0"/>
    <n v="0.37878787878787878"/>
    <s v="NO"/>
    <m/>
  </r>
  <r>
    <d v="2013-12-01T00:00:00"/>
    <x v="2"/>
    <s v="Shalom"/>
    <x v="0"/>
    <x v="2"/>
    <x v="10"/>
    <n v="1"/>
    <m/>
    <m/>
    <n v="5"/>
    <n v="5"/>
    <m/>
    <m/>
    <m/>
    <m/>
    <n v="5"/>
    <n v="5"/>
    <m/>
    <m/>
    <x v="10"/>
    <x v="0"/>
    <n v="0.35714285714285715"/>
    <s v="NO"/>
    <m/>
  </r>
  <r>
    <d v="2013-12-01T00:00:00"/>
    <x v="2"/>
    <s v="KBC"/>
    <x v="0"/>
    <x v="2"/>
    <x v="84"/>
    <n v="1"/>
    <m/>
    <m/>
    <n v="20"/>
    <n v="20"/>
    <m/>
    <m/>
    <m/>
    <m/>
    <n v="20"/>
    <n v="20"/>
    <m/>
    <m/>
    <x v="84"/>
    <x v="0"/>
    <n v="0.52631578947368418"/>
    <s v="NO"/>
    <m/>
  </r>
  <r>
    <d v="2013-12-01T00:00:00"/>
    <x v="2"/>
    <s v="Shalom"/>
    <x v="0"/>
    <x v="2"/>
    <x v="68"/>
    <n v="1"/>
    <m/>
    <m/>
    <n v="10"/>
    <n v="10"/>
    <m/>
    <m/>
    <m/>
    <m/>
    <n v="0"/>
    <n v="0"/>
    <m/>
    <m/>
    <x v="68"/>
    <x v="1"/>
    <s v=""/>
    <s v="NO"/>
    <m/>
  </r>
  <r>
    <d v="2013-12-01T00:00:00"/>
    <x v="2"/>
    <s v="KMSS"/>
    <x v="0"/>
    <x v="0"/>
    <x v="20"/>
    <n v="1"/>
    <m/>
    <m/>
    <n v="35"/>
    <n v="35"/>
    <m/>
    <m/>
    <m/>
    <m/>
    <n v="35"/>
    <n v="35"/>
    <m/>
    <m/>
    <x v="20"/>
    <x v="0"/>
    <n v="0.23026315789473684"/>
    <s v="NO"/>
    <m/>
  </r>
  <r>
    <d v="2013-12-01T00:00:00"/>
    <x v="2"/>
    <s v="Shalom"/>
    <x v="0"/>
    <x v="2"/>
    <x v="23"/>
    <n v="1"/>
    <m/>
    <m/>
    <n v="4"/>
    <n v="4"/>
    <m/>
    <m/>
    <m/>
    <m/>
    <n v="4"/>
    <n v="4"/>
    <m/>
    <m/>
    <x v="23"/>
    <x v="0"/>
    <n v="0.66666666666666663"/>
    <s v="NO"/>
    <m/>
  </r>
  <r>
    <d v="2013-12-01T00:00:00"/>
    <x v="2"/>
    <s v="Shalom"/>
    <x v="0"/>
    <x v="0"/>
    <x v="75"/>
    <n v="1"/>
    <m/>
    <m/>
    <n v="5"/>
    <n v="5"/>
    <m/>
    <m/>
    <m/>
    <m/>
    <n v="5"/>
    <n v="5"/>
    <m/>
    <m/>
    <x v="75"/>
    <x v="0"/>
    <n v="4.9019607843137254E-2"/>
    <s v="NO"/>
    <m/>
  </r>
  <r>
    <d v="2013-12-01T00:00:00"/>
    <x v="2"/>
    <s v="Shalom"/>
    <x v="0"/>
    <x v="2"/>
    <x v="85"/>
    <n v="1"/>
    <m/>
    <m/>
    <n v="10"/>
    <n v="10"/>
    <m/>
    <m/>
    <m/>
    <m/>
    <n v="4"/>
    <n v="10"/>
    <m/>
    <m/>
    <x v="85"/>
    <x v="0"/>
    <n v="1"/>
    <s v="NO"/>
    <m/>
  </r>
  <r>
    <d v="2013-12-01T00:00:00"/>
    <x v="2"/>
    <s v="KBSS"/>
    <x v="0"/>
    <x v="4"/>
    <x v="86"/>
    <n v="1"/>
    <m/>
    <m/>
    <n v="60"/>
    <n v="60"/>
    <m/>
    <m/>
    <m/>
    <m/>
    <n v="0"/>
    <n v="0"/>
    <m/>
    <m/>
    <x v="86"/>
    <x v="1"/>
    <s v=""/>
    <s v="NO"/>
    <m/>
  </r>
  <r>
    <d v="2013-12-01T00:00:00"/>
    <x v="2"/>
    <s v="Shalom"/>
    <x v="0"/>
    <x v="2"/>
    <x v="28"/>
    <n v="1"/>
    <m/>
    <m/>
    <n v="18"/>
    <n v="18"/>
    <m/>
    <m/>
    <m/>
    <m/>
    <n v="18"/>
    <n v="18"/>
    <m/>
    <m/>
    <x v="28"/>
    <x v="0"/>
    <n v="0.9"/>
    <s v="NO"/>
    <m/>
  </r>
  <r>
    <d v="2013-12-01T00:00:00"/>
    <x v="2"/>
    <s v="Shalom"/>
    <x v="0"/>
    <x v="5"/>
    <x v="29"/>
    <n v="1"/>
    <m/>
    <m/>
    <n v="10"/>
    <n v="10"/>
    <m/>
    <m/>
    <m/>
    <m/>
    <n v="10"/>
    <n v="10"/>
    <m/>
    <m/>
    <x v="29"/>
    <x v="0"/>
    <n v="7.6923076923076927E-2"/>
    <s v="NO"/>
    <m/>
  </r>
  <r>
    <d v="2013-12-01T00:00:00"/>
    <x v="2"/>
    <s v="Shalom"/>
    <x v="0"/>
    <x v="0"/>
    <x v="87"/>
    <n v="1"/>
    <m/>
    <m/>
    <n v="35"/>
    <n v="35"/>
    <m/>
    <m/>
    <m/>
    <m/>
    <n v="35"/>
    <n v="35"/>
    <m/>
    <m/>
    <x v="87"/>
    <x v="0"/>
    <n v="0.12110726643598616"/>
    <s v="NO"/>
    <m/>
  </r>
  <r>
    <d v="2013-12-01T00:00:00"/>
    <x v="2"/>
    <s v="KMSS"/>
    <x v="1"/>
    <x v="3"/>
    <x v="88"/>
    <n v="1"/>
    <m/>
    <m/>
    <n v="30"/>
    <n v="30"/>
    <m/>
    <m/>
    <m/>
    <m/>
    <n v="29"/>
    <n v="30"/>
    <m/>
    <m/>
    <x v="88"/>
    <x v="0"/>
    <n v="1"/>
    <s v="NO"/>
    <m/>
  </r>
  <r>
    <d v="2013-12-01T00:00:00"/>
    <x v="2"/>
    <s v="Shalom"/>
    <x v="0"/>
    <x v="1"/>
    <x v="21"/>
    <n v="1"/>
    <m/>
    <m/>
    <n v="15"/>
    <n v="15"/>
    <m/>
    <m/>
    <m/>
    <m/>
    <n v="15"/>
    <n v="15"/>
    <m/>
    <m/>
    <x v="21"/>
    <x v="0"/>
    <n v="1"/>
    <s v="NO"/>
    <m/>
  </r>
  <r>
    <d v="2013-12-01T00:00:00"/>
    <x v="2"/>
    <s v="Shalom"/>
    <x v="0"/>
    <x v="2"/>
    <x v="89"/>
    <n v="1"/>
    <m/>
    <m/>
    <n v="5"/>
    <n v="5"/>
    <m/>
    <m/>
    <m/>
    <m/>
    <n v="4"/>
    <n v="5"/>
    <m/>
    <m/>
    <x v="89"/>
    <x v="0"/>
    <n v="1"/>
    <s v="NO"/>
    <m/>
  </r>
  <r>
    <d v="2013-12-01T00:00:00"/>
    <x v="2"/>
    <m/>
    <x v="0"/>
    <x v="7"/>
    <x v="80"/>
    <n v="1"/>
    <m/>
    <m/>
    <n v="50"/>
    <n v="50"/>
    <m/>
    <m/>
    <m/>
    <m/>
    <n v="50"/>
    <n v="50"/>
    <m/>
    <m/>
    <x v="80"/>
    <x v="0"/>
    <n v="0.12919896640826872"/>
    <s v="NO"/>
    <m/>
  </r>
  <r>
    <d v="2013-12-01T00:00:00"/>
    <x v="2"/>
    <s v="Shalom"/>
    <x v="0"/>
    <x v="5"/>
    <x v="78"/>
    <n v="1"/>
    <m/>
    <m/>
    <n v="13"/>
    <n v="13"/>
    <m/>
    <m/>
    <m/>
    <m/>
    <n v="13"/>
    <n v="13"/>
    <m/>
    <m/>
    <x v="78"/>
    <x v="0"/>
    <n v="1"/>
    <s v="NO"/>
    <m/>
  </r>
  <r>
    <d v="2013-12-01T00:00:00"/>
    <x v="2"/>
    <s v="Shalom"/>
    <x v="0"/>
    <x v="2"/>
    <x v="71"/>
    <n v="1"/>
    <m/>
    <m/>
    <n v="10"/>
    <n v="10"/>
    <m/>
    <m/>
    <m/>
    <m/>
    <n v="10"/>
    <n v="10"/>
    <m/>
    <m/>
    <x v="71"/>
    <x v="0"/>
    <n v="0.83333333333333337"/>
    <s v="NO"/>
    <m/>
  </r>
  <r>
    <d v="2013-12-01T00:00:00"/>
    <x v="2"/>
    <s v="Shalom"/>
    <x v="0"/>
    <x v="0"/>
    <x v="72"/>
    <n v="1"/>
    <m/>
    <m/>
    <n v="10"/>
    <n v="10"/>
    <m/>
    <m/>
    <m/>
    <m/>
    <n v="10"/>
    <n v="10"/>
    <m/>
    <m/>
    <x v="72"/>
    <x v="0"/>
    <n v="0.5"/>
    <s v="NO"/>
    <m/>
  </r>
  <r>
    <d v="2013-12-01T00:00:00"/>
    <x v="2"/>
    <s v="Shalom"/>
    <x v="0"/>
    <x v="2"/>
    <x v="90"/>
    <n v="1"/>
    <m/>
    <m/>
    <n v="40"/>
    <n v="40"/>
    <m/>
    <m/>
    <m/>
    <m/>
    <n v="0"/>
    <n v="0"/>
    <m/>
    <m/>
    <x v="90"/>
    <x v="1"/>
    <s v=""/>
    <s v="NO"/>
    <m/>
  </r>
  <r>
    <d v="2013-12-01T00:00:00"/>
    <x v="2"/>
    <s v="Shalom"/>
    <x v="0"/>
    <x v="7"/>
    <x v="91"/>
    <n v="1"/>
    <m/>
    <m/>
    <n v="4"/>
    <n v="4"/>
    <m/>
    <m/>
    <m/>
    <m/>
    <n v="0"/>
    <n v="0"/>
    <n v="5"/>
    <m/>
    <x v="91"/>
    <x v="1"/>
    <s v=""/>
    <s v="NO"/>
    <m/>
  </r>
  <r>
    <d v="2013-12-01T00:00:00"/>
    <x v="2"/>
    <s v="Shalom"/>
    <x v="0"/>
    <x v="0"/>
    <x v="25"/>
    <n v="1"/>
    <m/>
    <m/>
    <n v="10"/>
    <n v="10"/>
    <m/>
    <m/>
    <m/>
    <m/>
    <n v="10"/>
    <n v="10"/>
    <m/>
    <m/>
    <x v="25"/>
    <x v="0"/>
    <n v="9.0090090090090086E-2"/>
    <s v="NO"/>
    <m/>
  </r>
  <r>
    <d v="2013-12-01T00:00:00"/>
    <x v="2"/>
    <s v="Shalom"/>
    <x v="0"/>
    <x v="0"/>
    <x v="79"/>
    <n v="1"/>
    <m/>
    <m/>
    <n v="10"/>
    <n v="10"/>
    <m/>
    <m/>
    <m/>
    <m/>
    <n v="10"/>
    <n v="10"/>
    <m/>
    <m/>
    <x v="79"/>
    <x v="0"/>
    <n v="0.32258064516129031"/>
    <s v="NO"/>
    <m/>
  </r>
  <r>
    <d v="2013-12-01T00:00:00"/>
    <x v="2"/>
    <s v="Shalom"/>
    <x v="0"/>
    <x v="2"/>
    <x v="92"/>
    <n v="1"/>
    <m/>
    <m/>
    <n v="10"/>
    <n v="10"/>
    <m/>
    <m/>
    <m/>
    <m/>
    <n v="9"/>
    <n v="10"/>
    <m/>
    <m/>
    <x v="92"/>
    <x v="0"/>
    <n v="1"/>
    <s v="NO"/>
    <m/>
  </r>
  <r>
    <d v="2013-12-01T00:00:00"/>
    <x v="2"/>
    <s v="KBC"/>
    <x v="0"/>
    <x v="1"/>
    <x v="43"/>
    <n v="1"/>
    <m/>
    <m/>
    <n v="30"/>
    <n v="30"/>
    <m/>
    <m/>
    <m/>
    <m/>
    <n v="30"/>
    <n v="30"/>
    <m/>
    <m/>
    <x v="43"/>
    <x v="0"/>
    <n v="0.15"/>
    <s v="NO"/>
    <m/>
  </r>
  <r>
    <d v="2013-12-01T00:00:00"/>
    <x v="2"/>
    <s v="Shalom"/>
    <x v="0"/>
    <x v="5"/>
    <x v="93"/>
    <n v="1"/>
    <m/>
    <m/>
    <n v="15"/>
    <n v="15"/>
    <m/>
    <m/>
    <m/>
    <m/>
    <n v="15"/>
    <n v="15"/>
    <n v="10"/>
    <m/>
    <x v="93"/>
    <x v="0"/>
    <n v="0.75"/>
    <s v="NO"/>
    <m/>
  </r>
  <r>
    <d v="2013-12-01T00:00:00"/>
    <x v="2"/>
    <s v="Shalom"/>
    <x v="0"/>
    <x v="1"/>
    <x v="64"/>
    <n v="1"/>
    <m/>
    <m/>
    <n v="30"/>
    <n v="30"/>
    <m/>
    <m/>
    <m/>
    <m/>
    <n v="30"/>
    <n v="30"/>
    <m/>
    <m/>
    <x v="64"/>
    <x v="0"/>
    <n v="0.55555555555555558"/>
    <s v="NO"/>
    <m/>
  </r>
  <r>
    <d v="2013-12-01T00:00:00"/>
    <x v="2"/>
    <s v="Shalom"/>
    <x v="0"/>
    <x v="0"/>
    <x v="73"/>
    <n v="1"/>
    <m/>
    <m/>
    <n v="5"/>
    <n v="5"/>
    <m/>
    <m/>
    <m/>
    <m/>
    <n v="5"/>
    <n v="5"/>
    <m/>
    <m/>
    <x v="73"/>
    <x v="0"/>
    <n v="0.10869565217391304"/>
    <s v="NO"/>
    <m/>
  </r>
  <r>
    <d v="2013-12-01T00:00:00"/>
    <x v="2"/>
    <s v="Shalom"/>
    <x v="0"/>
    <x v="0"/>
    <x v="94"/>
    <n v="1"/>
    <m/>
    <m/>
    <n v="6"/>
    <n v="6"/>
    <m/>
    <m/>
    <m/>
    <m/>
    <n v="6"/>
    <n v="6"/>
    <m/>
    <m/>
    <x v="94"/>
    <x v="0"/>
    <n v="9.2307692307692313E-2"/>
    <s v="NO"/>
    <m/>
  </r>
  <r>
    <d v="2013-12-01T00:00:00"/>
    <x v="2"/>
    <s v="KMSS"/>
    <x v="0"/>
    <x v="0"/>
    <x v="95"/>
    <n v="1"/>
    <m/>
    <m/>
    <n v="160"/>
    <n v="160"/>
    <m/>
    <m/>
    <m/>
    <m/>
    <n v="160"/>
    <n v="160"/>
    <m/>
    <m/>
    <x v="95"/>
    <x v="0"/>
    <n v="0.11461318051575932"/>
    <s v="NO"/>
    <m/>
  </r>
  <r>
    <d v="2013-12-01T00:00:00"/>
    <x v="2"/>
    <m/>
    <x v="0"/>
    <x v="5"/>
    <x v="96"/>
    <n v="1"/>
    <m/>
    <m/>
    <n v="5"/>
    <n v="5"/>
    <m/>
    <m/>
    <m/>
    <m/>
    <n v="5"/>
    <n v="5"/>
    <m/>
    <m/>
    <x v="96"/>
    <x v="0"/>
    <n v="0.33333333333333331"/>
    <s v="NO"/>
    <m/>
  </r>
  <r>
    <d v="2013-12-01T00:00:00"/>
    <x v="2"/>
    <s v="KBC"/>
    <x v="1"/>
    <x v="3"/>
    <x v="5"/>
    <n v="1"/>
    <m/>
    <m/>
    <n v="10"/>
    <n v="10"/>
    <m/>
    <m/>
    <m/>
    <m/>
    <n v="10"/>
    <n v="10"/>
    <m/>
    <m/>
    <x v="5"/>
    <x v="0"/>
    <n v="0.2857142857142857"/>
    <s v="NO"/>
    <m/>
  </r>
  <r>
    <d v="2013-12-01T00:00:00"/>
    <x v="2"/>
    <s v="KBC"/>
    <x v="0"/>
    <x v="4"/>
    <x v="77"/>
    <n v="1"/>
    <m/>
    <m/>
    <n v="20"/>
    <n v="20"/>
    <m/>
    <m/>
    <m/>
    <m/>
    <n v="20"/>
    <n v="20"/>
    <m/>
    <m/>
    <x v="77"/>
    <x v="0"/>
    <n v="0.10309278350515463"/>
    <s v="NO"/>
    <m/>
  </r>
  <r>
    <d v="2013-12-01T00:00:00"/>
    <x v="2"/>
    <s v="KBC"/>
    <x v="1"/>
    <x v="6"/>
    <x v="97"/>
    <n v="1"/>
    <m/>
    <m/>
    <n v="5"/>
    <n v="5"/>
    <m/>
    <m/>
    <m/>
    <m/>
    <n v="5"/>
    <n v="5"/>
    <m/>
    <m/>
    <x v="97"/>
    <x v="0"/>
    <n v="0.10869565217391304"/>
    <s v="NO"/>
    <m/>
  </r>
  <r>
    <d v="2013-12-01T00:00:00"/>
    <x v="2"/>
    <s v="KBC"/>
    <x v="0"/>
    <x v="0"/>
    <x v="39"/>
    <n v="1"/>
    <m/>
    <m/>
    <n v="11"/>
    <n v="11"/>
    <m/>
    <m/>
    <m/>
    <m/>
    <n v="11"/>
    <n v="11"/>
    <m/>
    <m/>
    <x v="39"/>
    <x v="0"/>
    <n v="5.9139784946236562E-2"/>
    <s v="NO"/>
    <m/>
  </r>
  <r>
    <d v="2013-12-01T00:00:00"/>
    <x v="2"/>
    <s v="KBC"/>
    <x v="0"/>
    <x v="5"/>
    <x v="81"/>
    <n v="1"/>
    <m/>
    <m/>
    <n v="50"/>
    <n v="50"/>
    <m/>
    <m/>
    <m/>
    <m/>
    <n v="50"/>
    <n v="50"/>
    <m/>
    <m/>
    <x v="81"/>
    <x v="0"/>
    <n v="0.32679738562091504"/>
    <s v="NO"/>
    <m/>
  </r>
  <r>
    <d v="2013-12-01T00:00:00"/>
    <x v="2"/>
    <s v="KBC"/>
    <x v="0"/>
    <x v="5"/>
    <x v="9"/>
    <n v="1"/>
    <m/>
    <m/>
    <n v="30"/>
    <n v="30"/>
    <m/>
    <m/>
    <m/>
    <m/>
    <n v="30"/>
    <n v="30"/>
    <m/>
    <m/>
    <x v="9"/>
    <x v="0"/>
    <n v="4.7021943573667714E-2"/>
    <s v="NO"/>
    <m/>
  </r>
  <r>
    <d v="2013-12-01T00:00:00"/>
    <x v="2"/>
    <s v="KBC"/>
    <x v="0"/>
    <x v="2"/>
    <x v="98"/>
    <n v="1"/>
    <m/>
    <m/>
    <n v="5"/>
    <n v="5"/>
    <m/>
    <m/>
    <m/>
    <m/>
    <n v="5"/>
    <n v="5"/>
    <m/>
    <m/>
    <x v="98"/>
    <x v="0"/>
    <n v="0.625"/>
    <s v="NO"/>
    <m/>
  </r>
  <r>
    <d v="2013-12-01T00:00:00"/>
    <x v="2"/>
    <s v="KBC"/>
    <x v="0"/>
    <x v="0"/>
    <x v="40"/>
    <n v="1"/>
    <m/>
    <m/>
    <n v="18"/>
    <n v="18"/>
    <m/>
    <m/>
    <m/>
    <m/>
    <n v="18"/>
    <n v="18"/>
    <m/>
    <m/>
    <x v="40"/>
    <x v="0"/>
    <n v="9.7826086956521743E-2"/>
    <s v="NO"/>
    <m/>
  </r>
  <r>
    <d v="2013-12-01T00:00:00"/>
    <x v="2"/>
    <s v="KBC"/>
    <x v="0"/>
    <x v="2"/>
    <x v="99"/>
    <n v="1"/>
    <m/>
    <m/>
    <n v="15"/>
    <n v="15"/>
    <m/>
    <m/>
    <m/>
    <m/>
    <n v="15"/>
    <n v="15"/>
    <m/>
    <m/>
    <x v="99"/>
    <x v="0"/>
    <n v="0.45454545454545453"/>
    <s v="NO"/>
    <m/>
  </r>
  <r>
    <d v="2013-12-01T00:00:00"/>
    <x v="2"/>
    <s v="KBC"/>
    <x v="0"/>
    <x v="0"/>
    <x v="41"/>
    <n v="1"/>
    <m/>
    <m/>
    <n v="76"/>
    <n v="76"/>
    <m/>
    <m/>
    <m/>
    <m/>
    <n v="0"/>
    <n v="0"/>
    <m/>
    <m/>
    <x v="41"/>
    <x v="1"/>
    <s v=""/>
    <s v="NO"/>
    <m/>
  </r>
  <r>
    <m/>
    <x v="1"/>
    <s v="KMSS_MKN"/>
    <x v="0"/>
    <x v="0"/>
    <x v="25"/>
    <n v="1"/>
    <m/>
    <m/>
    <n v="16"/>
    <m/>
    <n v="16"/>
    <m/>
    <m/>
    <m/>
    <n v="16"/>
    <n v="16"/>
    <m/>
    <m/>
    <x v="25"/>
    <x v="0"/>
    <n v="0.14414414414414414"/>
    <s v="NO"/>
    <m/>
  </r>
  <r>
    <m/>
    <x v="2"/>
    <s v="KBC"/>
    <x v="1"/>
    <x v="3"/>
    <x v="100"/>
    <n v="1"/>
    <m/>
    <m/>
    <n v="10"/>
    <n v="10"/>
    <m/>
    <m/>
    <m/>
    <m/>
    <n v="0"/>
    <n v="0"/>
    <m/>
    <m/>
    <x v="100"/>
    <x v="1"/>
    <s v=""/>
    <s v="NO"/>
    <m/>
  </r>
  <r>
    <m/>
    <x v="7"/>
    <s v="KBC"/>
    <x v="0"/>
    <x v="1"/>
    <x v="43"/>
    <n v="1"/>
    <m/>
    <m/>
    <n v="60"/>
    <n v="60"/>
    <m/>
    <m/>
    <m/>
    <m/>
    <n v="60"/>
    <n v="60"/>
    <m/>
    <m/>
    <x v="43"/>
    <x v="0"/>
    <n v="0.3"/>
    <s v="NO"/>
    <m/>
  </r>
  <r>
    <m/>
    <x v="2"/>
    <s v="KBC"/>
    <x v="0"/>
    <x v="2"/>
    <x v="11"/>
    <n v="1"/>
    <m/>
    <m/>
    <n v="50"/>
    <n v="50"/>
    <m/>
    <m/>
    <m/>
    <m/>
    <n v="0"/>
    <n v="0"/>
    <m/>
    <m/>
    <x v="11"/>
    <x v="1"/>
    <s v=""/>
    <s v="NO"/>
    <m/>
  </r>
  <r>
    <m/>
    <x v="2"/>
    <s v="KBC"/>
    <x v="0"/>
    <x v="1"/>
    <x v="101"/>
    <n v="1"/>
    <m/>
    <m/>
    <n v="5"/>
    <n v="5"/>
    <m/>
    <m/>
    <m/>
    <m/>
    <n v="5"/>
    <n v="5"/>
    <m/>
    <m/>
    <x v="101"/>
    <x v="0"/>
    <n v="0.11904761904761904"/>
    <s v="NO"/>
    <m/>
  </r>
  <r>
    <m/>
    <x v="2"/>
    <s v="KBC"/>
    <x v="0"/>
    <x v="11"/>
    <x v="102"/>
    <n v="1"/>
    <m/>
    <m/>
    <n v="15"/>
    <n v="15"/>
    <m/>
    <m/>
    <m/>
    <m/>
    <n v="13"/>
    <n v="15"/>
    <m/>
    <m/>
    <x v="102"/>
    <x v="0"/>
    <n v="1"/>
    <s v="NO"/>
    <m/>
  </r>
  <r>
    <m/>
    <x v="8"/>
    <s v="KBC"/>
    <x v="0"/>
    <x v="1"/>
    <x v="103"/>
    <n v="1"/>
    <m/>
    <m/>
    <n v="9"/>
    <n v="9"/>
    <m/>
    <m/>
    <m/>
    <m/>
    <n v="9"/>
    <n v="9"/>
    <m/>
    <m/>
    <x v="103"/>
    <x v="0"/>
    <n v="8.5714285714285715E-2"/>
    <s v="NO"/>
    <m/>
  </r>
  <r>
    <m/>
    <x v="7"/>
    <s v="KBC"/>
    <x v="0"/>
    <x v="1"/>
    <x v="103"/>
    <n v="1"/>
    <m/>
    <m/>
    <n v="5"/>
    <n v="5"/>
    <m/>
    <m/>
    <m/>
    <m/>
    <n v="5"/>
    <n v="5"/>
    <m/>
    <m/>
    <x v="103"/>
    <x v="0"/>
    <n v="4.7619047619047616E-2"/>
    <s v="NO"/>
    <m/>
  </r>
  <r>
    <m/>
    <x v="2"/>
    <s v="KBC"/>
    <x v="0"/>
    <x v="1"/>
    <x v="103"/>
    <n v="1"/>
    <m/>
    <m/>
    <n v="10"/>
    <n v="10"/>
    <m/>
    <m/>
    <m/>
    <m/>
    <n v="10"/>
    <n v="10"/>
    <m/>
    <m/>
    <x v="103"/>
    <x v="0"/>
    <n v="9.5238095238095233E-2"/>
    <s v="NO"/>
    <m/>
  </r>
  <r>
    <m/>
    <x v="7"/>
    <s v="KBC"/>
    <x v="0"/>
    <x v="1"/>
    <x v="55"/>
    <n v="1"/>
    <m/>
    <m/>
    <n v="60"/>
    <n v="60"/>
    <m/>
    <m/>
    <m/>
    <m/>
    <n v="60"/>
    <n v="60"/>
    <m/>
    <m/>
    <x v="55"/>
    <x v="0"/>
    <n v="0.43165467625899279"/>
    <s v="NO"/>
    <m/>
  </r>
  <r>
    <m/>
    <x v="2"/>
    <s v="KBC"/>
    <x v="0"/>
    <x v="1"/>
    <x v="55"/>
    <n v="1"/>
    <m/>
    <m/>
    <n v="60"/>
    <n v="60"/>
    <m/>
    <m/>
    <m/>
    <m/>
    <n v="60"/>
    <n v="60"/>
    <m/>
    <m/>
    <x v="55"/>
    <x v="0"/>
    <n v="0.43165467625899279"/>
    <s v="NO"/>
    <m/>
  </r>
  <r>
    <m/>
    <x v="2"/>
    <s v="KBC"/>
    <x v="0"/>
    <x v="7"/>
    <x v="104"/>
    <n v="1"/>
    <m/>
    <m/>
    <n v="27"/>
    <n v="27"/>
    <m/>
    <m/>
    <m/>
    <m/>
    <n v="27"/>
    <n v="27"/>
    <m/>
    <m/>
    <x v="104"/>
    <x v="0"/>
    <n v="0.69230769230769229"/>
    <s v="NO"/>
    <m/>
  </r>
  <r>
    <m/>
    <x v="7"/>
    <s v="KBC"/>
    <x v="0"/>
    <x v="0"/>
    <x v="3"/>
    <n v="1"/>
    <m/>
    <m/>
    <n v="50"/>
    <n v="50"/>
    <m/>
    <m/>
    <m/>
    <m/>
    <n v="50"/>
    <n v="50"/>
    <m/>
    <m/>
    <x v="3"/>
    <x v="0"/>
    <n v="0.10040160642570281"/>
    <s v="NO"/>
    <m/>
  </r>
  <r>
    <m/>
    <x v="2"/>
    <s v="KBC"/>
    <x v="0"/>
    <x v="0"/>
    <x v="3"/>
    <n v="1"/>
    <m/>
    <m/>
    <n v="400"/>
    <n v="400"/>
    <m/>
    <m/>
    <m/>
    <m/>
    <n v="400"/>
    <n v="400"/>
    <m/>
    <m/>
    <x v="3"/>
    <x v="0"/>
    <n v="0.80321285140562249"/>
    <s v="NO"/>
    <m/>
  </r>
  <r>
    <m/>
    <x v="9"/>
    <s v="KBC"/>
    <x v="0"/>
    <x v="0"/>
    <x v="3"/>
    <n v="1"/>
    <m/>
    <m/>
    <n v="10"/>
    <n v="10"/>
    <m/>
    <m/>
    <m/>
    <m/>
    <n v="10"/>
    <n v="10"/>
    <m/>
    <m/>
    <x v="3"/>
    <x v="0"/>
    <n v="2.0080321285140562E-2"/>
    <s v="NO"/>
    <m/>
  </r>
  <r>
    <m/>
    <x v="2"/>
    <s v="KBC"/>
    <x v="0"/>
    <x v="0"/>
    <x v="45"/>
    <n v="1"/>
    <m/>
    <m/>
    <n v="30"/>
    <n v="30"/>
    <m/>
    <m/>
    <m/>
    <m/>
    <n v="30"/>
    <n v="30"/>
    <m/>
    <m/>
    <x v="45"/>
    <x v="0"/>
    <n v="0.66666666666666663"/>
    <s v="NO"/>
    <m/>
  </r>
  <r>
    <m/>
    <x v="8"/>
    <s v="KBC"/>
    <x v="0"/>
    <x v="4"/>
    <x v="50"/>
    <n v="1"/>
    <m/>
    <m/>
    <n v="20"/>
    <n v="20"/>
    <m/>
    <m/>
    <m/>
    <m/>
    <n v="20"/>
    <n v="20"/>
    <m/>
    <m/>
    <x v="50"/>
    <x v="0"/>
    <n v="4.9627791563275438E-2"/>
    <s v="NO"/>
    <m/>
  </r>
  <r>
    <m/>
    <x v="2"/>
    <s v="KBC"/>
    <x v="0"/>
    <x v="1"/>
    <x v="105"/>
    <n v="1"/>
    <m/>
    <m/>
    <n v="20"/>
    <n v="20"/>
    <m/>
    <m/>
    <m/>
    <m/>
    <n v="20"/>
    <n v="20"/>
    <m/>
    <m/>
    <x v="105"/>
    <x v="0"/>
    <n v="0.32258064516129031"/>
    <s v="NO"/>
    <m/>
  </r>
  <r>
    <m/>
    <x v="2"/>
    <s v="KBC"/>
    <x v="0"/>
    <x v="1"/>
    <x v="106"/>
    <n v="1"/>
    <m/>
    <m/>
    <n v="60"/>
    <n v="60"/>
    <m/>
    <m/>
    <m/>
    <m/>
    <n v="60"/>
    <n v="60"/>
    <m/>
    <m/>
    <x v="106"/>
    <x v="0"/>
    <n v="0.57692307692307687"/>
    <s v="NO"/>
    <m/>
  </r>
  <r>
    <m/>
    <x v="0"/>
    <s v="KBC"/>
    <x v="0"/>
    <x v="4"/>
    <x v="107"/>
    <n v="1"/>
    <m/>
    <m/>
    <n v="39"/>
    <n v="39"/>
    <m/>
    <m/>
    <m/>
    <m/>
    <n v="39"/>
    <n v="39"/>
    <m/>
    <m/>
    <x v="107"/>
    <x v="0"/>
    <n v="0.39795918367346939"/>
    <s v="NO"/>
    <m/>
  </r>
  <r>
    <m/>
    <x v="2"/>
    <s v="KBC"/>
    <x v="0"/>
    <x v="4"/>
    <x v="107"/>
    <n v="1"/>
    <m/>
    <m/>
    <n v="20"/>
    <n v="20"/>
    <m/>
    <m/>
    <m/>
    <m/>
    <n v="20"/>
    <n v="20"/>
    <m/>
    <m/>
    <x v="107"/>
    <x v="0"/>
    <n v="0.20408163265306123"/>
    <s v="NO"/>
    <m/>
  </r>
  <r>
    <m/>
    <x v="10"/>
    <m/>
    <x v="0"/>
    <x v="2"/>
    <x v="83"/>
    <n v="1"/>
    <n v="25"/>
    <n v="25"/>
    <m/>
    <m/>
    <m/>
    <m/>
    <m/>
    <m/>
    <n v="0"/>
    <n v="0"/>
    <m/>
    <m/>
    <x v="83"/>
    <x v="1"/>
    <s v=""/>
    <s v="NO"/>
    <m/>
  </r>
  <r>
    <m/>
    <x v="2"/>
    <s v="KMSS"/>
    <x v="0"/>
    <x v="2"/>
    <x v="83"/>
    <n v="1"/>
    <m/>
    <m/>
    <m/>
    <m/>
    <m/>
    <m/>
    <m/>
    <m/>
    <n v="0"/>
    <n v="0"/>
    <n v="44"/>
    <m/>
    <x v="83"/>
    <x v="1"/>
    <s v=""/>
    <s v="NO"/>
    <m/>
  </r>
  <r>
    <m/>
    <x v="2"/>
    <s v="KBC"/>
    <x v="0"/>
    <x v="11"/>
    <x v="108"/>
    <n v="1"/>
    <m/>
    <m/>
    <n v="10"/>
    <n v="10"/>
    <m/>
    <m/>
    <m/>
    <m/>
    <n v="10"/>
    <n v="10"/>
    <m/>
    <m/>
    <x v="108"/>
    <x v="0"/>
    <n v="0.66666666666666663"/>
    <s v="NO"/>
    <m/>
  </r>
  <r>
    <m/>
    <x v="2"/>
    <s v="KBC"/>
    <x v="0"/>
    <x v="7"/>
    <x v="80"/>
    <n v="1"/>
    <m/>
    <m/>
    <n v="40"/>
    <n v="40"/>
    <m/>
    <m/>
    <m/>
    <m/>
    <n v="40"/>
    <n v="40"/>
    <m/>
    <m/>
    <x v="80"/>
    <x v="0"/>
    <n v="0.10335917312661498"/>
    <s v="NO"/>
    <m/>
  </r>
  <r>
    <m/>
    <x v="2"/>
    <s v="KBC"/>
    <x v="1"/>
    <x v="12"/>
    <x v="109"/>
    <n v="1"/>
    <m/>
    <m/>
    <n v="10"/>
    <n v="10"/>
    <m/>
    <m/>
    <m/>
    <m/>
    <n v="0"/>
    <n v="0"/>
    <m/>
    <m/>
    <x v="109"/>
    <x v="1"/>
    <s v=""/>
    <s v="NO"/>
    <m/>
  </r>
  <r>
    <m/>
    <x v="10"/>
    <m/>
    <x v="0"/>
    <x v="2"/>
    <x v="22"/>
    <n v="1"/>
    <n v="10"/>
    <n v="10"/>
    <m/>
    <m/>
    <m/>
    <m/>
    <m/>
    <m/>
    <n v="0"/>
    <n v="0"/>
    <m/>
    <m/>
    <x v="22"/>
    <x v="0"/>
    <n v="0"/>
    <s v="NO"/>
    <m/>
  </r>
  <r>
    <m/>
    <x v="0"/>
    <s v="KBC"/>
    <x v="1"/>
    <x v="9"/>
    <x v="110"/>
    <n v="1"/>
    <m/>
    <m/>
    <n v="78"/>
    <n v="78"/>
    <m/>
    <m/>
    <m/>
    <m/>
    <n v="74"/>
    <n v="78"/>
    <m/>
    <m/>
    <x v="110"/>
    <x v="0"/>
    <n v="1"/>
    <s v="NO"/>
    <m/>
  </r>
  <r>
    <m/>
    <x v="11"/>
    <s v="KBSS"/>
    <x v="0"/>
    <x v="5"/>
    <x v="15"/>
    <n v="1"/>
    <m/>
    <m/>
    <n v="6"/>
    <n v="6"/>
    <m/>
    <m/>
    <m/>
    <m/>
    <n v="6"/>
    <n v="6"/>
    <m/>
    <m/>
    <x v="15"/>
    <x v="0"/>
    <n v="2.3346303501945526E-2"/>
    <s v="NO"/>
    <m/>
  </r>
  <r>
    <m/>
    <x v="2"/>
    <s v="KBSS"/>
    <x v="0"/>
    <x v="5"/>
    <x v="15"/>
    <n v="1"/>
    <m/>
    <m/>
    <n v="144"/>
    <n v="144"/>
    <m/>
    <m/>
    <m/>
    <m/>
    <n v="144"/>
    <n v="144"/>
    <m/>
    <m/>
    <x v="15"/>
    <x v="0"/>
    <n v="0.56031128404669261"/>
    <s v="NO"/>
    <m/>
  </r>
  <r>
    <m/>
    <x v="10"/>
    <m/>
    <x v="0"/>
    <x v="2"/>
    <x v="84"/>
    <n v="1"/>
    <n v="10"/>
    <n v="10"/>
    <m/>
    <m/>
    <m/>
    <m/>
    <m/>
    <m/>
    <n v="0"/>
    <n v="0"/>
    <m/>
    <m/>
    <x v="84"/>
    <x v="0"/>
    <n v="0"/>
    <s v="NO"/>
    <m/>
  </r>
  <r>
    <m/>
    <x v="2"/>
    <m/>
    <x v="0"/>
    <x v="5"/>
    <x v="15"/>
    <n v="1"/>
    <m/>
    <m/>
    <n v="20"/>
    <n v="20"/>
    <m/>
    <m/>
    <m/>
    <m/>
    <n v="20"/>
    <n v="20"/>
    <m/>
    <m/>
    <x v="15"/>
    <x v="0"/>
    <n v="7.7821011673151752E-2"/>
    <s v="NO"/>
    <m/>
  </r>
  <r>
    <m/>
    <x v="10"/>
    <m/>
    <x v="0"/>
    <x v="0"/>
    <x v="20"/>
    <n v="1"/>
    <n v="41"/>
    <n v="41"/>
    <m/>
    <m/>
    <m/>
    <m/>
    <m/>
    <m/>
    <n v="0"/>
    <n v="0"/>
    <m/>
    <m/>
    <x v="20"/>
    <x v="0"/>
    <n v="0"/>
    <s v="NO"/>
    <m/>
  </r>
  <r>
    <m/>
    <x v="2"/>
    <s v="Shalom"/>
    <x v="0"/>
    <x v="2"/>
    <x v="22"/>
    <n v="1"/>
    <m/>
    <m/>
    <n v="5"/>
    <n v="5"/>
    <m/>
    <m/>
    <m/>
    <m/>
    <n v="5"/>
    <n v="5"/>
    <m/>
    <m/>
    <x v="22"/>
    <x v="0"/>
    <n v="7.575757575757576E-2"/>
    <s v="NO"/>
    <m/>
  </r>
  <r>
    <m/>
    <x v="2"/>
    <s v="KBSS"/>
    <x v="0"/>
    <x v="5"/>
    <x v="111"/>
    <n v="1"/>
    <m/>
    <m/>
    <n v="32"/>
    <n v="32"/>
    <m/>
    <m/>
    <m/>
    <m/>
    <n v="12"/>
    <n v="32"/>
    <m/>
    <m/>
    <x v="111"/>
    <x v="0"/>
    <n v="1"/>
    <s v="NO"/>
    <m/>
  </r>
  <r>
    <m/>
    <x v="2"/>
    <m/>
    <x v="0"/>
    <x v="5"/>
    <x v="111"/>
    <n v="1"/>
    <m/>
    <m/>
    <n v="10"/>
    <n v="10"/>
    <m/>
    <m/>
    <m/>
    <m/>
    <n v="10"/>
    <n v="10"/>
    <m/>
    <m/>
    <x v="111"/>
    <x v="0"/>
    <n v="0.83333333333333337"/>
    <s v="NO"/>
    <m/>
  </r>
  <r>
    <m/>
    <x v="12"/>
    <m/>
    <x v="0"/>
    <x v="2"/>
    <x v="68"/>
    <n v="1"/>
    <m/>
    <m/>
    <n v="10"/>
    <n v="10"/>
    <m/>
    <m/>
    <m/>
    <m/>
    <n v="0"/>
    <n v="0"/>
    <m/>
    <m/>
    <x v="68"/>
    <x v="1"/>
    <s v=""/>
    <s v="NO"/>
    <m/>
  </r>
  <r>
    <m/>
    <x v="10"/>
    <m/>
    <x v="0"/>
    <x v="2"/>
    <x v="24"/>
    <n v="1"/>
    <n v="5"/>
    <n v="5"/>
    <m/>
    <m/>
    <m/>
    <m/>
    <m/>
    <m/>
    <n v="0"/>
    <n v="0"/>
    <m/>
    <m/>
    <x v="24"/>
    <x v="0"/>
    <n v="0"/>
    <s v="NO"/>
    <m/>
  </r>
  <r>
    <m/>
    <x v="2"/>
    <s v="KMSS"/>
    <x v="0"/>
    <x v="0"/>
    <x v="20"/>
    <n v="1"/>
    <m/>
    <m/>
    <n v="202"/>
    <n v="202"/>
    <m/>
    <m/>
    <m/>
    <m/>
    <n v="152"/>
    <n v="202"/>
    <m/>
    <m/>
    <x v="20"/>
    <x v="0"/>
    <n v="1"/>
    <s v="NO"/>
    <m/>
  </r>
  <r>
    <m/>
    <x v="2"/>
    <m/>
    <x v="0"/>
    <x v="4"/>
    <x v="66"/>
    <n v="1"/>
    <m/>
    <m/>
    <n v="150"/>
    <m/>
    <m/>
    <m/>
    <m/>
    <m/>
    <n v="0"/>
    <n v="0"/>
    <m/>
    <m/>
    <x v="66"/>
    <x v="0"/>
    <n v="0"/>
    <s v="NO"/>
    <m/>
  </r>
  <r>
    <m/>
    <x v="0"/>
    <s v="Shalom"/>
    <x v="0"/>
    <x v="8"/>
    <x v="27"/>
    <n v="1"/>
    <m/>
    <m/>
    <n v="82"/>
    <n v="82"/>
    <m/>
    <m/>
    <m/>
    <m/>
    <n v="82"/>
    <n v="82"/>
    <m/>
    <m/>
    <x v="27"/>
    <x v="0"/>
    <n v="0.7592592592592593"/>
    <s v="NO"/>
    <m/>
  </r>
  <r>
    <m/>
    <x v="2"/>
    <s v="Shalom"/>
    <x v="0"/>
    <x v="8"/>
    <x v="27"/>
    <n v="1"/>
    <m/>
    <m/>
    <n v="20"/>
    <n v="20"/>
    <m/>
    <m/>
    <m/>
    <m/>
    <n v="20"/>
    <n v="20"/>
    <m/>
    <m/>
    <x v="27"/>
    <x v="0"/>
    <n v="0.18518518518518517"/>
    <s v="NO"/>
    <m/>
  </r>
  <r>
    <m/>
    <x v="2"/>
    <s v="Shalom"/>
    <x v="0"/>
    <x v="2"/>
    <x v="24"/>
    <n v="1"/>
    <m/>
    <m/>
    <n v="10"/>
    <n v="10"/>
    <m/>
    <m/>
    <m/>
    <m/>
    <n v="10"/>
    <n v="10"/>
    <m/>
    <m/>
    <x v="24"/>
    <x v="0"/>
    <n v="0.14285714285714285"/>
    <s v="NO"/>
    <m/>
  </r>
  <r>
    <m/>
    <x v="2"/>
    <m/>
    <x v="0"/>
    <x v="1"/>
    <x v="6"/>
    <n v="1"/>
    <m/>
    <m/>
    <n v="3"/>
    <n v="3"/>
    <m/>
    <m/>
    <m/>
    <m/>
    <n v="3"/>
    <n v="3"/>
    <m/>
    <m/>
    <x v="6"/>
    <x v="0"/>
    <n v="0.5"/>
    <s v="NO"/>
    <m/>
  </r>
  <r>
    <m/>
    <x v="10"/>
    <m/>
    <x v="0"/>
    <x v="2"/>
    <x v="85"/>
    <n v="1"/>
    <n v="20"/>
    <n v="20"/>
    <m/>
    <m/>
    <m/>
    <m/>
    <m/>
    <m/>
    <n v="0"/>
    <n v="0"/>
    <m/>
    <m/>
    <x v="85"/>
    <x v="0"/>
    <n v="0"/>
    <s v="NO"/>
    <m/>
  </r>
  <r>
    <m/>
    <x v="2"/>
    <m/>
    <x v="0"/>
    <x v="1"/>
    <x v="112"/>
    <n v="1"/>
    <m/>
    <m/>
    <n v="3"/>
    <n v="3"/>
    <m/>
    <m/>
    <m/>
    <m/>
    <n v="3"/>
    <n v="3"/>
    <m/>
    <m/>
    <x v="112"/>
    <x v="0"/>
    <n v="9.6774193548387094E-2"/>
    <s v="NO"/>
    <m/>
  </r>
  <r>
    <m/>
    <x v="2"/>
    <s v="KMSS"/>
    <x v="0"/>
    <x v="7"/>
    <x v="42"/>
    <n v="1"/>
    <m/>
    <m/>
    <n v="123"/>
    <n v="123"/>
    <m/>
    <m/>
    <m/>
    <m/>
    <n v="103"/>
    <n v="123"/>
    <m/>
    <m/>
    <x v="42"/>
    <x v="0"/>
    <n v="1"/>
    <s v="NO"/>
    <m/>
  </r>
  <r>
    <m/>
    <x v="2"/>
    <s v="Shalom"/>
    <x v="0"/>
    <x v="0"/>
    <x v="75"/>
    <n v="1"/>
    <m/>
    <m/>
    <n v="45"/>
    <n v="45"/>
    <m/>
    <m/>
    <m/>
    <m/>
    <n v="45"/>
    <n v="45"/>
    <m/>
    <m/>
    <x v="75"/>
    <x v="0"/>
    <n v="0.44117647058823528"/>
    <s v="NO"/>
    <m/>
  </r>
  <r>
    <m/>
    <x v="0"/>
    <s v="Shalom"/>
    <x v="0"/>
    <x v="0"/>
    <x v="37"/>
    <n v="1"/>
    <m/>
    <m/>
    <n v="100"/>
    <n v="100"/>
    <m/>
    <m/>
    <m/>
    <m/>
    <n v="100"/>
    <n v="100"/>
    <m/>
    <m/>
    <x v="37"/>
    <x v="0"/>
    <n v="0.67114093959731547"/>
    <s v="NO"/>
    <m/>
  </r>
  <r>
    <m/>
    <x v="2"/>
    <s v="Shalom"/>
    <x v="0"/>
    <x v="2"/>
    <x v="85"/>
    <n v="1"/>
    <m/>
    <m/>
    <n v="5"/>
    <n v="5"/>
    <m/>
    <m/>
    <m/>
    <m/>
    <n v="4"/>
    <n v="5"/>
    <m/>
    <m/>
    <x v="85"/>
    <x v="0"/>
    <n v="1"/>
    <s v="NO"/>
    <m/>
  </r>
  <r>
    <m/>
    <x v="2"/>
    <s v="KBC"/>
    <x v="1"/>
    <x v="9"/>
    <x v="110"/>
    <n v="1"/>
    <m/>
    <m/>
    <n v="20"/>
    <n v="20"/>
    <m/>
    <m/>
    <m/>
    <m/>
    <n v="20"/>
    <n v="20"/>
    <m/>
    <m/>
    <x v="110"/>
    <x v="0"/>
    <n v="0.27027027027027029"/>
    <s v="NO"/>
    <m/>
  </r>
  <r>
    <m/>
    <x v="0"/>
    <s v="KMSS"/>
    <x v="0"/>
    <x v="7"/>
    <x v="56"/>
    <n v="1"/>
    <m/>
    <m/>
    <n v="338"/>
    <n v="338"/>
    <m/>
    <m/>
    <m/>
    <m/>
    <n v="338"/>
    <n v="338"/>
    <m/>
    <m/>
    <x v="56"/>
    <x v="0"/>
    <n v="0.47075208913649025"/>
    <s v="NO"/>
    <m/>
  </r>
  <r>
    <m/>
    <x v="6"/>
    <m/>
    <x v="0"/>
    <x v="5"/>
    <x v="113"/>
    <n v="1"/>
    <m/>
    <m/>
    <n v="38"/>
    <n v="38"/>
    <m/>
    <m/>
    <m/>
    <m/>
    <n v="38"/>
    <n v="38"/>
    <m/>
    <m/>
    <x v="113"/>
    <x v="0"/>
    <n v="1"/>
    <s v="NO"/>
    <m/>
  </r>
  <r>
    <m/>
    <x v="2"/>
    <m/>
    <x v="0"/>
    <x v="5"/>
    <x v="113"/>
    <n v="1"/>
    <m/>
    <m/>
    <n v="5"/>
    <m/>
    <m/>
    <m/>
    <m/>
    <m/>
    <n v="0"/>
    <n v="0"/>
    <m/>
    <m/>
    <x v="113"/>
    <x v="0"/>
    <n v="0"/>
    <s v="NO"/>
    <m/>
  </r>
  <r>
    <m/>
    <x v="8"/>
    <s v="KMSS"/>
    <x v="0"/>
    <x v="1"/>
    <x v="43"/>
    <n v="1"/>
    <m/>
    <m/>
    <n v="20"/>
    <n v="20"/>
    <m/>
    <m/>
    <m/>
    <m/>
    <n v="20"/>
    <n v="20"/>
    <m/>
    <m/>
    <x v="43"/>
    <x v="0"/>
    <n v="0.1"/>
    <s v="NO"/>
    <m/>
  </r>
  <r>
    <m/>
    <x v="0"/>
    <s v="KBC"/>
    <x v="1"/>
    <x v="9"/>
    <x v="114"/>
    <n v="1"/>
    <m/>
    <m/>
    <n v="30"/>
    <n v="30"/>
    <m/>
    <m/>
    <m/>
    <m/>
    <n v="30"/>
    <n v="30"/>
    <m/>
    <m/>
    <x v="114"/>
    <x v="0"/>
    <n v="0.44776119402985076"/>
    <s v="NO"/>
    <m/>
  </r>
  <r>
    <m/>
    <x v="2"/>
    <m/>
    <x v="0"/>
    <x v="1"/>
    <x v="43"/>
    <n v="1"/>
    <m/>
    <m/>
    <n v="50"/>
    <n v="50"/>
    <m/>
    <m/>
    <m/>
    <m/>
    <n v="50"/>
    <n v="50"/>
    <m/>
    <m/>
    <x v="43"/>
    <x v="0"/>
    <n v="0.25"/>
    <s v="NO"/>
    <m/>
  </r>
  <r>
    <m/>
    <x v="13"/>
    <s v="KMSS"/>
    <x v="0"/>
    <x v="1"/>
    <x v="115"/>
    <n v="1"/>
    <m/>
    <m/>
    <n v="60"/>
    <n v="60"/>
    <m/>
    <m/>
    <m/>
    <m/>
    <n v="60"/>
    <n v="60"/>
    <m/>
    <m/>
    <x v="115"/>
    <x v="0"/>
    <n v="0.49180327868852458"/>
    <s v="NO"/>
    <m/>
  </r>
  <r>
    <m/>
    <x v="2"/>
    <s v="KMSS"/>
    <x v="0"/>
    <x v="1"/>
    <x v="115"/>
    <n v="1"/>
    <m/>
    <m/>
    <n v="20"/>
    <n v="20"/>
    <m/>
    <m/>
    <m/>
    <m/>
    <n v="20"/>
    <n v="20"/>
    <m/>
    <m/>
    <x v="115"/>
    <x v="0"/>
    <n v="0.16393442622950818"/>
    <s v="NO"/>
    <m/>
  </r>
  <r>
    <m/>
    <x v="0"/>
    <s v="KMSS"/>
    <x v="0"/>
    <x v="7"/>
    <x v="53"/>
    <n v="1"/>
    <m/>
    <m/>
    <n v="700"/>
    <n v="700"/>
    <m/>
    <m/>
    <m/>
    <m/>
    <n v="700"/>
    <n v="700"/>
    <m/>
    <m/>
    <x v="53"/>
    <x v="0"/>
    <n v="0.45278137128072443"/>
    <s v="NO"/>
    <m/>
  </r>
  <r>
    <m/>
    <x v="2"/>
    <s v="KBSS"/>
    <x v="0"/>
    <x v="7"/>
    <x v="53"/>
    <n v="1"/>
    <m/>
    <m/>
    <n v="217"/>
    <n v="217"/>
    <m/>
    <m/>
    <m/>
    <m/>
    <n v="217"/>
    <n v="217"/>
    <m/>
    <m/>
    <x v="53"/>
    <x v="0"/>
    <n v="0.14036222509702459"/>
    <s v="NO"/>
    <m/>
  </r>
  <r>
    <m/>
    <x v="14"/>
    <s v="MDCG"/>
    <x v="1"/>
    <x v="6"/>
    <x v="116"/>
    <n v="1"/>
    <m/>
    <m/>
    <n v="121"/>
    <n v="121"/>
    <m/>
    <m/>
    <m/>
    <m/>
    <n v="0"/>
    <n v="0"/>
    <m/>
    <m/>
    <x v="116"/>
    <x v="1"/>
    <s v=""/>
    <s v="NO"/>
    <m/>
  </r>
  <r>
    <m/>
    <x v="2"/>
    <s v="KBC"/>
    <x v="1"/>
    <x v="6"/>
    <x v="117"/>
    <n v="1"/>
    <m/>
    <m/>
    <n v="20"/>
    <n v="20"/>
    <m/>
    <m/>
    <m/>
    <m/>
    <n v="20"/>
    <n v="20"/>
    <m/>
    <m/>
    <x v="117"/>
    <x v="0"/>
    <n v="0.31746031746031744"/>
    <s v="NO"/>
    <m/>
  </r>
  <r>
    <m/>
    <x v="6"/>
    <m/>
    <x v="1"/>
    <x v="6"/>
    <x v="118"/>
    <n v="1"/>
    <m/>
    <m/>
    <n v="80"/>
    <n v="80"/>
    <m/>
    <m/>
    <m/>
    <m/>
    <n v="57"/>
    <n v="80"/>
    <m/>
    <m/>
    <x v="118"/>
    <x v="0"/>
    <n v="1"/>
    <s v="NO"/>
    <m/>
  </r>
  <r>
    <m/>
    <x v="6"/>
    <m/>
    <x v="1"/>
    <x v="6"/>
    <x v="119"/>
    <n v="1"/>
    <m/>
    <m/>
    <n v="48"/>
    <n v="48"/>
    <m/>
    <m/>
    <m/>
    <m/>
    <n v="30"/>
    <n v="48"/>
    <m/>
    <m/>
    <x v="119"/>
    <x v="0"/>
    <n v="1"/>
    <s v="NO"/>
    <m/>
  </r>
  <r>
    <m/>
    <x v="2"/>
    <s v="KBC"/>
    <x v="1"/>
    <x v="13"/>
    <x v="62"/>
    <n v="1"/>
    <m/>
    <m/>
    <n v="10"/>
    <n v="10"/>
    <m/>
    <m/>
    <m/>
    <m/>
    <n v="10"/>
    <n v="10"/>
    <m/>
    <m/>
    <x v="62"/>
    <x v="0"/>
    <n v="0.29411764705882354"/>
    <s v="NO"/>
    <m/>
  </r>
  <r>
    <m/>
    <x v="2"/>
    <s v="KBC"/>
    <x v="1"/>
    <x v="14"/>
    <x v="120"/>
    <n v="1"/>
    <m/>
    <m/>
    <n v="10"/>
    <n v="10"/>
    <m/>
    <m/>
    <m/>
    <m/>
    <n v="10"/>
    <n v="10"/>
    <m/>
    <m/>
    <x v="120"/>
    <x v="0"/>
    <n v="0.22727272727272727"/>
    <s v="NO"/>
    <m/>
  </r>
  <r>
    <m/>
    <x v="13"/>
    <s v="KBSS"/>
    <x v="0"/>
    <x v="4"/>
    <x v="86"/>
    <n v="1"/>
    <m/>
    <m/>
    <n v="100"/>
    <n v="100"/>
    <m/>
    <m/>
    <m/>
    <m/>
    <n v="0"/>
    <n v="0"/>
    <m/>
    <m/>
    <x v="86"/>
    <x v="1"/>
    <s v=""/>
    <s v="NO"/>
    <m/>
  </r>
  <r>
    <m/>
    <x v="11"/>
    <m/>
    <x v="0"/>
    <x v="4"/>
    <x v="32"/>
    <n v="1"/>
    <m/>
    <m/>
    <n v="26"/>
    <n v="26"/>
    <m/>
    <m/>
    <m/>
    <m/>
    <n v="26"/>
    <n v="26"/>
    <m/>
    <m/>
    <x v="32"/>
    <x v="0"/>
    <n v="4.7531992687385741E-2"/>
    <s v="NO"/>
    <m/>
  </r>
  <r>
    <m/>
    <x v="2"/>
    <s v="KBSS"/>
    <x v="0"/>
    <x v="4"/>
    <x v="32"/>
    <n v="1"/>
    <m/>
    <m/>
    <n v="350"/>
    <n v="350"/>
    <m/>
    <m/>
    <m/>
    <m/>
    <n v="350"/>
    <n v="350"/>
    <m/>
    <m/>
    <x v="32"/>
    <x v="0"/>
    <n v="0.63985374771480807"/>
    <s v="NO"/>
    <m/>
  </r>
  <r>
    <m/>
    <x v="2"/>
    <m/>
    <x v="0"/>
    <x v="4"/>
    <x v="32"/>
    <n v="1"/>
    <m/>
    <m/>
    <n v="150"/>
    <m/>
    <m/>
    <m/>
    <m/>
    <m/>
    <n v="0"/>
    <n v="0"/>
    <m/>
    <m/>
    <x v="32"/>
    <x v="0"/>
    <n v="0"/>
    <s v="NO"/>
    <m/>
  </r>
  <r>
    <m/>
    <x v="2"/>
    <s v="KBC"/>
    <x v="0"/>
    <x v="2"/>
    <x v="121"/>
    <n v="1"/>
    <m/>
    <m/>
    <n v="40"/>
    <n v="40"/>
    <m/>
    <m/>
    <m/>
    <m/>
    <n v="40"/>
    <n v="40"/>
    <m/>
    <m/>
    <x v="121"/>
    <x v="0"/>
    <n v="0.8"/>
    <s v="NO"/>
    <m/>
  </r>
  <r>
    <m/>
    <x v="2"/>
    <s v="KBC"/>
    <x v="0"/>
    <x v="11"/>
    <x v="122"/>
    <n v="1"/>
    <m/>
    <m/>
    <n v="15"/>
    <n v="15"/>
    <m/>
    <m/>
    <m/>
    <m/>
    <n v="12"/>
    <n v="15"/>
    <m/>
    <m/>
    <x v="122"/>
    <x v="0"/>
    <n v="1"/>
    <s v="NO"/>
    <m/>
  </r>
  <r>
    <m/>
    <x v="7"/>
    <s v="KBC"/>
    <x v="0"/>
    <x v="15"/>
    <x v="123"/>
    <n v="1"/>
    <m/>
    <m/>
    <n v="10"/>
    <n v="10"/>
    <m/>
    <m/>
    <m/>
    <m/>
    <n v="10"/>
    <n v="10"/>
    <m/>
    <m/>
    <x v="123"/>
    <x v="0"/>
    <n v="0.52631578947368418"/>
    <s v="NO"/>
    <m/>
  </r>
  <r>
    <m/>
    <x v="2"/>
    <s v="KBC"/>
    <x v="0"/>
    <x v="15"/>
    <x v="123"/>
    <n v="1"/>
    <m/>
    <m/>
    <n v="20"/>
    <n v="20"/>
    <m/>
    <m/>
    <m/>
    <m/>
    <n v="19"/>
    <n v="20"/>
    <m/>
    <m/>
    <x v="123"/>
    <x v="0"/>
    <n v="1"/>
    <s v="NO"/>
    <m/>
  </r>
  <r>
    <m/>
    <x v="2"/>
    <s v="KBC"/>
    <x v="0"/>
    <x v="2"/>
    <x v="90"/>
    <n v="1"/>
    <m/>
    <m/>
    <n v="15"/>
    <n v="15"/>
    <m/>
    <m/>
    <m/>
    <m/>
    <n v="0"/>
    <n v="0"/>
    <m/>
    <m/>
    <x v="90"/>
    <x v="1"/>
    <s v=""/>
    <s v="NO"/>
    <m/>
  </r>
  <r>
    <m/>
    <x v="2"/>
    <m/>
    <x v="0"/>
    <x v="1"/>
    <x v="55"/>
    <n v="1"/>
    <m/>
    <m/>
    <n v="5"/>
    <n v="5"/>
    <m/>
    <m/>
    <m/>
    <m/>
    <n v="5"/>
    <n v="5"/>
    <m/>
    <m/>
    <x v="55"/>
    <x v="0"/>
    <n v="3.5971223021582732E-2"/>
    <s v="NO"/>
    <m/>
  </r>
  <r>
    <m/>
    <x v="2"/>
    <s v="Shalom"/>
    <x v="0"/>
    <x v="8"/>
    <x v="26"/>
    <n v="1"/>
    <m/>
    <m/>
    <n v="33"/>
    <n v="33"/>
    <m/>
    <m/>
    <m/>
    <m/>
    <n v="33"/>
    <n v="33"/>
    <m/>
    <m/>
    <x v="26"/>
    <x v="0"/>
    <n v="0.22916666666666666"/>
    <s v="NO"/>
    <m/>
  </r>
  <r>
    <m/>
    <x v="6"/>
    <m/>
    <x v="0"/>
    <x v="5"/>
    <x v="29"/>
    <n v="1"/>
    <m/>
    <m/>
    <n v="12"/>
    <n v="12"/>
    <m/>
    <m/>
    <m/>
    <m/>
    <n v="12"/>
    <n v="12"/>
    <m/>
    <m/>
    <x v="29"/>
    <x v="0"/>
    <n v="9.2307692307692313E-2"/>
    <s v="NO"/>
    <m/>
  </r>
  <r>
    <m/>
    <x v="2"/>
    <s v="Metta"/>
    <x v="0"/>
    <x v="5"/>
    <x v="29"/>
    <n v="1"/>
    <m/>
    <m/>
    <n v="30"/>
    <n v="30"/>
    <m/>
    <m/>
    <m/>
    <m/>
    <n v="30"/>
    <n v="30"/>
    <m/>
    <m/>
    <x v="29"/>
    <x v="0"/>
    <n v="0.23076923076923078"/>
    <s v="NO"/>
    <m/>
  </r>
  <r>
    <m/>
    <x v="2"/>
    <m/>
    <x v="0"/>
    <x v="5"/>
    <x v="29"/>
    <n v="1"/>
    <m/>
    <m/>
    <n v="15"/>
    <n v="15"/>
    <m/>
    <m/>
    <m/>
    <m/>
    <n v="15"/>
    <n v="15"/>
    <m/>
    <m/>
    <x v="29"/>
    <x v="0"/>
    <n v="0.11538461538461539"/>
    <s v="NO"/>
    <m/>
  </r>
  <r>
    <m/>
    <x v="2"/>
    <s v="Shalom"/>
    <x v="0"/>
    <x v="5"/>
    <x v="29"/>
    <n v="1"/>
    <m/>
    <m/>
    <n v="5"/>
    <n v="5"/>
    <m/>
    <m/>
    <m/>
    <m/>
    <n v="5"/>
    <n v="5"/>
    <m/>
    <m/>
    <x v="29"/>
    <x v="0"/>
    <n v="3.8461538461538464E-2"/>
    <s v="NO"/>
    <m/>
  </r>
  <r>
    <m/>
    <x v="2"/>
    <m/>
    <x v="0"/>
    <x v="7"/>
    <x v="104"/>
    <n v="1"/>
    <m/>
    <m/>
    <n v="12"/>
    <n v="12"/>
    <m/>
    <m/>
    <m/>
    <m/>
    <n v="12"/>
    <n v="12"/>
    <m/>
    <m/>
    <x v="104"/>
    <x v="0"/>
    <n v="0.30769230769230771"/>
    <s v="NO"/>
    <m/>
  </r>
  <r>
    <m/>
    <x v="5"/>
    <s v="KBC"/>
    <x v="0"/>
    <x v="1"/>
    <x v="7"/>
    <n v="1"/>
    <m/>
    <m/>
    <n v="32"/>
    <n v="32"/>
    <m/>
    <m/>
    <m/>
    <m/>
    <n v="32"/>
    <n v="32"/>
    <m/>
    <m/>
    <x v="7"/>
    <x v="0"/>
    <n v="0.49230769230769234"/>
    <s v="NO"/>
    <m/>
  </r>
  <r>
    <m/>
    <x v="13"/>
    <m/>
    <x v="0"/>
    <x v="7"/>
    <x v="74"/>
    <n v="1"/>
    <m/>
    <m/>
    <n v="40"/>
    <n v="40"/>
    <m/>
    <m/>
    <m/>
    <m/>
    <n v="40"/>
    <n v="40"/>
    <m/>
    <m/>
    <x v="74"/>
    <x v="0"/>
    <n v="0.38834951456310679"/>
    <s v="NO"/>
    <m/>
  </r>
  <r>
    <m/>
    <x v="2"/>
    <m/>
    <x v="0"/>
    <x v="7"/>
    <x v="74"/>
    <n v="1"/>
    <m/>
    <m/>
    <n v="6"/>
    <n v="6"/>
    <m/>
    <m/>
    <m/>
    <m/>
    <n v="6"/>
    <n v="6"/>
    <m/>
    <m/>
    <x v="74"/>
    <x v="0"/>
    <n v="5.8252427184466021E-2"/>
    <s v="NO"/>
    <m/>
  </r>
  <r>
    <m/>
    <x v="2"/>
    <m/>
    <x v="0"/>
    <x v="7"/>
    <x v="34"/>
    <n v="1"/>
    <m/>
    <m/>
    <n v="5"/>
    <n v="57"/>
    <m/>
    <m/>
    <m/>
    <m/>
    <n v="57"/>
    <n v="57"/>
    <m/>
    <m/>
    <x v="34"/>
    <x v="0"/>
    <n v="0.29381443298969073"/>
    <s v="NO"/>
    <m/>
  </r>
  <r>
    <m/>
    <x v="13"/>
    <s v="KBSS"/>
    <x v="0"/>
    <x v="4"/>
    <x v="124"/>
    <n v="1"/>
    <m/>
    <m/>
    <n v="100"/>
    <n v="100"/>
    <m/>
    <m/>
    <m/>
    <m/>
    <n v="0"/>
    <n v="0"/>
    <m/>
    <m/>
    <x v="124"/>
    <x v="1"/>
    <s v=""/>
    <s v="NO"/>
    <m/>
  </r>
  <r>
    <m/>
    <x v="2"/>
    <s v="Shalom"/>
    <x v="0"/>
    <x v="0"/>
    <x v="1"/>
    <n v="1"/>
    <m/>
    <m/>
    <n v="25"/>
    <n v="25"/>
    <m/>
    <m/>
    <m/>
    <m/>
    <n v="25"/>
    <n v="25"/>
    <m/>
    <m/>
    <x v="1"/>
    <x v="0"/>
    <n v="0.83333333333333337"/>
    <s v="NO"/>
    <m/>
  </r>
  <r>
    <m/>
    <x v="0"/>
    <s v="KMSS"/>
    <x v="0"/>
    <x v="0"/>
    <x v="125"/>
    <n v="1"/>
    <m/>
    <m/>
    <n v="604"/>
    <n v="604"/>
    <m/>
    <m/>
    <m/>
    <m/>
    <n v="431"/>
    <n v="604"/>
    <m/>
    <m/>
    <x v="125"/>
    <x v="0"/>
    <n v="1"/>
    <s v="NO"/>
    <m/>
  </r>
  <r>
    <m/>
    <x v="12"/>
    <m/>
    <x v="0"/>
    <x v="7"/>
    <x v="126"/>
    <n v="1"/>
    <m/>
    <m/>
    <n v="92"/>
    <n v="92"/>
    <m/>
    <m/>
    <m/>
    <m/>
    <n v="0"/>
    <n v="0"/>
    <m/>
    <m/>
    <x v="126"/>
    <x v="1"/>
    <s v=""/>
    <s v="NO"/>
    <m/>
  </r>
  <r>
    <m/>
    <x v="2"/>
    <s v="Shalom"/>
    <x v="0"/>
    <x v="0"/>
    <x v="87"/>
    <n v="1"/>
    <m/>
    <m/>
    <n v="54"/>
    <n v="54"/>
    <m/>
    <m/>
    <m/>
    <m/>
    <n v="54"/>
    <n v="54"/>
    <m/>
    <m/>
    <x v="87"/>
    <x v="0"/>
    <n v="0.18685121107266436"/>
    <s v="NO"/>
    <m/>
  </r>
  <r>
    <m/>
    <x v="4"/>
    <m/>
    <x v="0"/>
    <x v="0"/>
    <x v="87"/>
    <n v="1"/>
    <m/>
    <m/>
    <n v="18"/>
    <n v="18"/>
    <m/>
    <m/>
    <m/>
    <m/>
    <n v="18"/>
    <n v="18"/>
    <m/>
    <m/>
    <x v="87"/>
    <x v="0"/>
    <n v="6.228373702422145E-2"/>
    <s v="NO"/>
    <m/>
  </r>
  <r>
    <m/>
    <x v="0"/>
    <s v="KMSS"/>
    <x v="0"/>
    <x v="0"/>
    <x v="0"/>
    <n v="1"/>
    <m/>
    <m/>
    <n v="12"/>
    <n v="12"/>
    <m/>
    <m/>
    <m/>
    <m/>
    <n v="12"/>
    <n v="12"/>
    <m/>
    <m/>
    <x v="0"/>
    <x v="0"/>
    <n v="4.2553191489361701E-2"/>
    <s v="NO"/>
    <m/>
  </r>
  <r>
    <m/>
    <x v="2"/>
    <s v="KMSS"/>
    <x v="0"/>
    <x v="0"/>
    <x v="0"/>
    <n v="1"/>
    <m/>
    <m/>
    <n v="78"/>
    <n v="78"/>
    <m/>
    <m/>
    <m/>
    <m/>
    <n v="78"/>
    <n v="78"/>
    <n v="138"/>
    <m/>
    <x v="0"/>
    <x v="0"/>
    <n v="0.27659574468085107"/>
    <s v="NO"/>
    <m/>
  </r>
  <r>
    <m/>
    <x v="2"/>
    <m/>
    <x v="0"/>
    <x v="0"/>
    <x v="0"/>
    <n v="1"/>
    <m/>
    <m/>
    <n v="120"/>
    <n v="120"/>
    <m/>
    <m/>
    <m/>
    <m/>
    <n v="120"/>
    <n v="120"/>
    <m/>
    <m/>
    <x v="0"/>
    <x v="0"/>
    <n v="0.42553191489361702"/>
    <s v="NO"/>
    <m/>
  </r>
  <r>
    <m/>
    <x v="2"/>
    <s v="KBC"/>
    <x v="0"/>
    <x v="1"/>
    <x v="7"/>
    <n v="1"/>
    <m/>
    <m/>
    <n v="20"/>
    <n v="20"/>
    <m/>
    <m/>
    <m/>
    <m/>
    <n v="20"/>
    <n v="20"/>
    <m/>
    <m/>
    <x v="7"/>
    <x v="0"/>
    <n v="0.30769230769230771"/>
    <s v="NO"/>
    <m/>
  </r>
  <r>
    <m/>
    <x v="4"/>
    <m/>
    <x v="0"/>
    <x v="0"/>
    <x v="45"/>
    <n v="1"/>
    <m/>
    <m/>
    <n v="10"/>
    <n v="10"/>
    <m/>
    <m/>
    <m/>
    <m/>
    <n v="10"/>
    <n v="10"/>
    <m/>
    <m/>
    <x v="45"/>
    <x v="0"/>
    <n v="0.22222222222222221"/>
    <s v="NO"/>
    <m/>
  </r>
  <r>
    <m/>
    <x v="2"/>
    <s v="KBC"/>
    <x v="0"/>
    <x v="0"/>
    <x v="39"/>
    <n v="1"/>
    <m/>
    <m/>
    <n v="24"/>
    <n v="24"/>
    <m/>
    <m/>
    <m/>
    <m/>
    <n v="24"/>
    <n v="24"/>
    <m/>
    <m/>
    <x v="39"/>
    <x v="0"/>
    <n v="0.12903225806451613"/>
    <s v="NO"/>
    <m/>
  </r>
  <r>
    <m/>
    <x v="0"/>
    <m/>
    <x v="0"/>
    <x v="4"/>
    <x v="50"/>
    <n v="1"/>
    <m/>
    <m/>
    <n v="144"/>
    <n v="144"/>
    <m/>
    <m/>
    <m/>
    <m/>
    <n v="144"/>
    <n v="144"/>
    <m/>
    <m/>
    <x v="50"/>
    <x v="0"/>
    <n v="0.35732009925558311"/>
    <s v="NO"/>
    <m/>
  </r>
  <r>
    <m/>
    <x v="15"/>
    <m/>
    <x v="0"/>
    <x v="4"/>
    <x v="127"/>
    <n v="1"/>
    <m/>
    <m/>
    <n v="20"/>
    <n v="20"/>
    <m/>
    <m/>
    <m/>
    <m/>
    <n v="20"/>
    <n v="20"/>
    <m/>
    <m/>
    <x v="127"/>
    <x v="0"/>
    <n v="0.11494252873563218"/>
    <s v="NO"/>
    <m/>
  </r>
  <r>
    <m/>
    <x v="12"/>
    <m/>
    <x v="0"/>
    <x v="4"/>
    <x v="127"/>
    <n v="1"/>
    <m/>
    <m/>
    <n v="30"/>
    <n v="30"/>
    <m/>
    <m/>
    <m/>
    <m/>
    <n v="30"/>
    <n v="30"/>
    <m/>
    <m/>
    <x v="127"/>
    <x v="0"/>
    <n v="0.17241379310344829"/>
    <s v="NO"/>
    <m/>
  </r>
  <r>
    <m/>
    <x v="6"/>
    <m/>
    <x v="0"/>
    <x v="7"/>
    <x v="76"/>
    <n v="1"/>
    <m/>
    <m/>
    <n v="18"/>
    <n v="18"/>
    <m/>
    <m/>
    <m/>
    <m/>
    <n v="18"/>
    <n v="18"/>
    <m/>
    <m/>
    <x v="76"/>
    <x v="0"/>
    <n v="6.7924528301886791E-2"/>
    <s v="NO"/>
    <m/>
  </r>
  <r>
    <m/>
    <x v="2"/>
    <m/>
    <x v="0"/>
    <x v="7"/>
    <x v="76"/>
    <n v="1"/>
    <m/>
    <m/>
    <n v="55"/>
    <n v="55"/>
    <m/>
    <m/>
    <m/>
    <m/>
    <n v="55"/>
    <n v="55"/>
    <m/>
    <m/>
    <x v="76"/>
    <x v="0"/>
    <n v="0.20754716981132076"/>
    <s v="NO"/>
    <m/>
  </r>
  <r>
    <m/>
    <x v="2"/>
    <m/>
    <x v="0"/>
    <x v="1"/>
    <x v="106"/>
    <n v="1"/>
    <m/>
    <m/>
    <n v="20"/>
    <n v="20"/>
    <m/>
    <m/>
    <m/>
    <m/>
    <n v="20"/>
    <n v="20"/>
    <m/>
    <m/>
    <x v="106"/>
    <x v="0"/>
    <n v="0.19230769230769232"/>
    <s v="NO"/>
    <m/>
  </r>
  <r>
    <m/>
    <x v="6"/>
    <m/>
    <x v="0"/>
    <x v="4"/>
    <x v="107"/>
    <n v="1"/>
    <m/>
    <m/>
    <n v="15"/>
    <n v="15"/>
    <m/>
    <m/>
    <m/>
    <m/>
    <n v="15"/>
    <n v="15"/>
    <m/>
    <m/>
    <x v="107"/>
    <x v="0"/>
    <n v="0.15306122448979592"/>
    <s v="NO"/>
    <m/>
  </r>
  <r>
    <m/>
    <x v="8"/>
    <s v="KBC"/>
    <x v="0"/>
    <x v="0"/>
    <x v="46"/>
    <n v="1"/>
    <m/>
    <m/>
    <n v="8"/>
    <n v="8"/>
    <m/>
    <m/>
    <m/>
    <m/>
    <n v="8"/>
    <n v="8"/>
    <m/>
    <m/>
    <x v="46"/>
    <x v="0"/>
    <n v="0.12307692307692308"/>
    <s v="NO"/>
    <m/>
  </r>
  <r>
    <m/>
    <x v="2"/>
    <s v="Shalom"/>
    <x v="0"/>
    <x v="7"/>
    <x v="128"/>
    <n v="1"/>
    <m/>
    <m/>
    <m/>
    <m/>
    <m/>
    <m/>
    <m/>
    <m/>
    <n v="0"/>
    <n v="0"/>
    <n v="5"/>
    <m/>
    <x v="128"/>
    <x v="1"/>
    <s v=""/>
    <s v="NO"/>
    <m/>
  </r>
  <r>
    <m/>
    <x v="2"/>
    <s v="KBSS"/>
    <x v="0"/>
    <x v="4"/>
    <x v="30"/>
    <n v="1"/>
    <m/>
    <m/>
    <n v="200"/>
    <n v="200"/>
    <m/>
    <m/>
    <m/>
    <m/>
    <n v="200"/>
    <n v="200"/>
    <m/>
    <m/>
    <x v="30"/>
    <x v="0"/>
    <n v="0.44543429844097998"/>
    <s v="NO"/>
    <m/>
  </r>
  <r>
    <m/>
    <x v="6"/>
    <m/>
    <x v="0"/>
    <x v="7"/>
    <x v="128"/>
    <n v="1"/>
    <m/>
    <m/>
    <n v="6"/>
    <n v="6"/>
    <m/>
    <m/>
    <m/>
    <m/>
    <n v="0"/>
    <n v="0"/>
    <m/>
    <m/>
    <x v="128"/>
    <x v="1"/>
    <s v=""/>
    <s v="NO"/>
    <m/>
  </r>
  <r>
    <m/>
    <x v="2"/>
    <s v="KBC"/>
    <x v="0"/>
    <x v="0"/>
    <x v="46"/>
    <n v="1"/>
    <m/>
    <m/>
    <n v="10"/>
    <n v="10"/>
    <m/>
    <m/>
    <m/>
    <m/>
    <n v="10"/>
    <n v="10"/>
    <m/>
    <m/>
    <x v="46"/>
    <x v="0"/>
    <n v="0.15384615384615385"/>
    <s v="NO"/>
    <m/>
  </r>
  <r>
    <m/>
    <x v="2"/>
    <m/>
    <x v="0"/>
    <x v="4"/>
    <x v="77"/>
    <n v="1"/>
    <m/>
    <m/>
    <n v="41"/>
    <n v="10"/>
    <m/>
    <m/>
    <m/>
    <m/>
    <n v="10"/>
    <n v="10"/>
    <m/>
    <m/>
    <x v="77"/>
    <x v="0"/>
    <n v="5.1546391752577317E-2"/>
    <s v="NO"/>
    <m/>
  </r>
  <r>
    <m/>
    <x v="8"/>
    <s v="CC"/>
    <x v="0"/>
    <x v="2"/>
    <x v="129"/>
    <n v="1"/>
    <m/>
    <m/>
    <n v="10"/>
    <n v="10"/>
    <m/>
    <m/>
    <m/>
    <m/>
    <n v="0"/>
    <n v="0"/>
    <m/>
    <m/>
    <x v="129"/>
    <x v="1"/>
    <s v=""/>
    <s v="NO"/>
    <m/>
  </r>
  <r>
    <m/>
    <x v="2"/>
    <s v="Shalom"/>
    <x v="0"/>
    <x v="2"/>
    <x v="129"/>
    <n v="1"/>
    <m/>
    <m/>
    <n v="10"/>
    <n v="10"/>
    <m/>
    <m/>
    <m/>
    <m/>
    <n v="0"/>
    <n v="0"/>
    <m/>
    <m/>
    <x v="129"/>
    <x v="1"/>
    <s v=""/>
    <s v="NO"/>
    <m/>
  </r>
  <r>
    <m/>
    <x v="2"/>
    <s v="Shalom"/>
    <x v="0"/>
    <x v="1"/>
    <x v="31"/>
    <n v="1"/>
    <m/>
    <m/>
    <n v="27"/>
    <n v="27"/>
    <m/>
    <m/>
    <m/>
    <m/>
    <n v="23"/>
    <n v="27"/>
    <m/>
    <m/>
    <x v="31"/>
    <x v="0"/>
    <n v="1"/>
    <s v="NO"/>
    <m/>
  </r>
  <r>
    <m/>
    <x v="2"/>
    <s v="Shalom"/>
    <x v="0"/>
    <x v="1"/>
    <x v="21"/>
    <n v="1"/>
    <m/>
    <m/>
    <n v="4"/>
    <n v="4"/>
    <m/>
    <m/>
    <m/>
    <m/>
    <n v="4"/>
    <n v="4"/>
    <m/>
    <m/>
    <x v="21"/>
    <x v="0"/>
    <n v="0.26666666666666666"/>
    <s v="NO"/>
    <m/>
  </r>
  <r>
    <m/>
    <x v="2"/>
    <s v="Shalom"/>
    <x v="0"/>
    <x v="2"/>
    <x v="89"/>
    <n v="1"/>
    <m/>
    <m/>
    <n v="5"/>
    <n v="5"/>
    <m/>
    <m/>
    <m/>
    <m/>
    <n v="4"/>
    <n v="5"/>
    <m/>
    <m/>
    <x v="89"/>
    <x v="0"/>
    <n v="1"/>
    <s v="NO"/>
    <m/>
  </r>
  <r>
    <m/>
    <x v="14"/>
    <s v="MDCG"/>
    <x v="1"/>
    <x v="6"/>
    <x v="130"/>
    <n v="1"/>
    <m/>
    <m/>
    <n v="63"/>
    <n v="63"/>
    <m/>
    <m/>
    <m/>
    <m/>
    <n v="63"/>
    <n v="63"/>
    <m/>
    <m/>
    <x v="130"/>
    <x v="0"/>
    <n v="0.92647058823529416"/>
    <s v="NO"/>
    <m/>
  </r>
  <r>
    <m/>
    <x v="8"/>
    <s v="Metta"/>
    <x v="0"/>
    <x v="7"/>
    <x v="80"/>
    <n v="1"/>
    <m/>
    <m/>
    <n v="32"/>
    <n v="32"/>
    <m/>
    <m/>
    <m/>
    <m/>
    <n v="32"/>
    <n v="32"/>
    <m/>
    <m/>
    <x v="80"/>
    <x v="0"/>
    <n v="8.2687338501291993E-2"/>
    <s v="NO"/>
    <m/>
  </r>
  <r>
    <m/>
    <x v="6"/>
    <m/>
    <x v="0"/>
    <x v="7"/>
    <x v="80"/>
    <n v="1"/>
    <m/>
    <m/>
    <n v="144"/>
    <n v="144"/>
    <m/>
    <m/>
    <m/>
    <m/>
    <n v="144"/>
    <n v="144"/>
    <m/>
    <m/>
    <x v="80"/>
    <x v="0"/>
    <n v="0.37209302325581395"/>
    <s v="NO"/>
    <m/>
  </r>
  <r>
    <m/>
    <x v="13"/>
    <s v="KBSS"/>
    <x v="0"/>
    <x v="7"/>
    <x v="131"/>
    <n v="1"/>
    <m/>
    <m/>
    <n v="92"/>
    <n v="92"/>
    <m/>
    <m/>
    <m/>
    <m/>
    <n v="0"/>
    <n v="0"/>
    <m/>
    <m/>
    <x v="131"/>
    <x v="1"/>
    <s v=""/>
    <s v="NO"/>
    <m/>
  </r>
  <r>
    <m/>
    <x v="13"/>
    <s v="KBSS"/>
    <x v="0"/>
    <x v="4"/>
    <x v="132"/>
    <n v="1"/>
    <m/>
    <m/>
    <n v="24"/>
    <n v="24"/>
    <m/>
    <m/>
    <m/>
    <m/>
    <n v="0"/>
    <n v="0"/>
    <m/>
    <m/>
    <x v="132"/>
    <x v="1"/>
    <s v=""/>
    <s v="NO"/>
    <m/>
  </r>
  <r>
    <m/>
    <x v="6"/>
    <m/>
    <x v="1"/>
    <x v="12"/>
    <x v="133"/>
    <n v="1"/>
    <m/>
    <m/>
    <n v="20"/>
    <n v="20"/>
    <m/>
    <m/>
    <m/>
    <m/>
    <n v="20"/>
    <n v="20"/>
    <m/>
    <m/>
    <x v="133"/>
    <x v="0"/>
    <n v="0.8"/>
    <s v="NO"/>
    <m/>
  </r>
  <r>
    <m/>
    <x v="2"/>
    <s v="KMSS-LSO"/>
    <x v="1"/>
    <x v="12"/>
    <x v="133"/>
    <n v="1"/>
    <m/>
    <m/>
    <n v="10"/>
    <n v="10"/>
    <m/>
    <m/>
    <m/>
    <m/>
    <n v="10"/>
    <n v="10"/>
    <m/>
    <m/>
    <x v="133"/>
    <x v="0"/>
    <n v="0.4"/>
    <s v="NO"/>
    <m/>
  </r>
  <r>
    <m/>
    <x v="6"/>
    <m/>
    <x v="1"/>
    <x v="9"/>
    <x v="60"/>
    <n v="1"/>
    <m/>
    <m/>
    <n v="24"/>
    <n v="12"/>
    <m/>
    <m/>
    <m/>
    <m/>
    <n v="12"/>
    <n v="12"/>
    <m/>
    <m/>
    <x v="60"/>
    <x v="0"/>
    <n v="0.33333333333333331"/>
    <s v="NO"/>
    <m/>
  </r>
  <r>
    <m/>
    <x v="2"/>
    <s v="KBC"/>
    <x v="0"/>
    <x v="1"/>
    <x v="58"/>
    <n v="1"/>
    <m/>
    <m/>
    <n v="10"/>
    <n v="10"/>
    <m/>
    <m/>
    <m/>
    <m/>
    <n v="10"/>
    <n v="10"/>
    <m/>
    <m/>
    <x v="58"/>
    <x v="0"/>
    <n v="8.4745762711864403E-2"/>
    <s v="NO"/>
    <m/>
  </r>
  <r>
    <m/>
    <x v="10"/>
    <m/>
    <x v="0"/>
    <x v="2"/>
    <x v="71"/>
    <n v="1"/>
    <n v="8"/>
    <n v="8"/>
    <m/>
    <m/>
    <m/>
    <m/>
    <m/>
    <m/>
    <n v="0"/>
    <n v="0"/>
    <m/>
    <m/>
    <x v="71"/>
    <x v="0"/>
    <n v="0"/>
    <s v="NO"/>
    <m/>
  </r>
  <r>
    <m/>
    <x v="2"/>
    <s v="Metta"/>
    <x v="1"/>
    <x v="6"/>
    <x v="117"/>
    <n v="1"/>
    <m/>
    <m/>
    <n v="6"/>
    <n v="6"/>
    <m/>
    <m/>
    <m/>
    <m/>
    <n v="6"/>
    <n v="6"/>
    <m/>
    <m/>
    <x v="117"/>
    <x v="0"/>
    <n v="9.5238095238095233E-2"/>
    <s v="NO"/>
    <m/>
  </r>
  <r>
    <m/>
    <x v="10"/>
    <m/>
    <x v="0"/>
    <x v="1"/>
    <x v="18"/>
    <n v="1"/>
    <n v="1"/>
    <n v="1"/>
    <m/>
    <m/>
    <m/>
    <m/>
    <m/>
    <m/>
    <n v="0"/>
    <n v="0"/>
    <m/>
    <m/>
    <x v="18"/>
    <x v="0"/>
    <n v="0"/>
    <s v="NO"/>
    <m/>
  </r>
  <r>
    <m/>
    <x v="2"/>
    <s v="KBSS"/>
    <x v="0"/>
    <x v="4"/>
    <x v="134"/>
    <n v="1"/>
    <m/>
    <m/>
    <n v="36"/>
    <n v="36"/>
    <m/>
    <m/>
    <m/>
    <m/>
    <n v="0"/>
    <n v="0"/>
    <m/>
    <m/>
    <x v="134"/>
    <x v="1"/>
    <s v=""/>
    <s v="NO"/>
    <m/>
  </r>
  <r>
    <m/>
    <x v="6"/>
    <m/>
    <x v="1"/>
    <x v="9"/>
    <x v="63"/>
    <n v="1"/>
    <m/>
    <m/>
    <n v="50"/>
    <n v="36"/>
    <m/>
    <m/>
    <m/>
    <m/>
    <n v="36"/>
    <n v="36"/>
    <m/>
    <m/>
    <x v="63"/>
    <x v="0"/>
    <n v="0.3"/>
    <s v="NO"/>
    <m/>
  </r>
  <r>
    <m/>
    <x v="0"/>
    <s v="KMSS"/>
    <x v="0"/>
    <x v="1"/>
    <x v="18"/>
    <n v="1"/>
    <m/>
    <m/>
    <n v="46"/>
    <n v="46"/>
    <m/>
    <m/>
    <m/>
    <m/>
    <n v="46"/>
    <n v="46"/>
    <m/>
    <m/>
    <x v="18"/>
    <x v="0"/>
    <n v="0.73015873015873012"/>
    <s v="NO"/>
    <m/>
  </r>
  <r>
    <m/>
    <x v="2"/>
    <s v="KMSS"/>
    <x v="0"/>
    <x v="1"/>
    <x v="18"/>
    <n v="1"/>
    <m/>
    <m/>
    <n v="21"/>
    <n v="21"/>
    <m/>
    <m/>
    <m/>
    <m/>
    <n v="21"/>
    <n v="21"/>
    <n v="21"/>
    <m/>
    <x v="18"/>
    <x v="0"/>
    <n v="0.33333333333333331"/>
    <s v="NO"/>
    <m/>
  </r>
  <r>
    <m/>
    <x v="2"/>
    <m/>
    <x v="0"/>
    <x v="5"/>
    <x v="135"/>
    <n v="1"/>
    <m/>
    <m/>
    <n v="10"/>
    <n v="10"/>
    <m/>
    <m/>
    <m/>
    <m/>
    <n v="10"/>
    <n v="10"/>
    <m/>
    <m/>
    <x v="135"/>
    <x v="0"/>
    <n v="0.47619047619047616"/>
    <s v="NO"/>
    <m/>
  </r>
  <r>
    <m/>
    <x v="2"/>
    <s v="Shalom"/>
    <x v="0"/>
    <x v="2"/>
    <x v="121"/>
    <n v="1"/>
    <m/>
    <m/>
    <n v="15"/>
    <n v="15"/>
    <m/>
    <m/>
    <m/>
    <m/>
    <n v="15"/>
    <n v="15"/>
    <m/>
    <m/>
    <x v="121"/>
    <x v="0"/>
    <n v="0.3"/>
    <s v="NO"/>
    <m/>
  </r>
  <r>
    <m/>
    <x v="10"/>
    <m/>
    <x v="0"/>
    <x v="2"/>
    <x v="90"/>
    <n v="1"/>
    <n v="50"/>
    <n v="50"/>
    <m/>
    <m/>
    <m/>
    <m/>
    <m/>
    <m/>
    <n v="0"/>
    <n v="0"/>
    <m/>
    <m/>
    <x v="90"/>
    <x v="1"/>
    <s v=""/>
    <s v="NO"/>
    <m/>
  </r>
  <r>
    <m/>
    <x v="2"/>
    <s v="KBC"/>
    <x v="0"/>
    <x v="0"/>
    <x v="40"/>
    <n v="1"/>
    <m/>
    <m/>
    <n v="170"/>
    <n v="170"/>
    <m/>
    <m/>
    <m/>
    <m/>
    <n v="170"/>
    <n v="170"/>
    <m/>
    <m/>
    <x v="40"/>
    <x v="0"/>
    <n v="0.92391304347826086"/>
    <s v="NO"/>
    <m/>
  </r>
  <r>
    <m/>
    <x v="2"/>
    <s v="KBC"/>
    <x v="0"/>
    <x v="1"/>
    <x v="59"/>
    <n v="1"/>
    <m/>
    <m/>
    <n v="50"/>
    <n v="50"/>
    <m/>
    <m/>
    <m/>
    <m/>
    <n v="50"/>
    <n v="50"/>
    <m/>
    <m/>
    <x v="59"/>
    <x v="0"/>
    <n v="0.54347826086956519"/>
    <s v="NO"/>
    <m/>
  </r>
  <r>
    <m/>
    <x v="2"/>
    <s v="Shalom"/>
    <x v="0"/>
    <x v="2"/>
    <x v="90"/>
    <n v="1"/>
    <m/>
    <m/>
    <n v="20"/>
    <n v="20"/>
    <m/>
    <m/>
    <m/>
    <m/>
    <n v="0"/>
    <n v="0"/>
    <m/>
    <m/>
    <x v="90"/>
    <x v="1"/>
    <s v=""/>
    <s v="NO"/>
    <m/>
  </r>
  <r>
    <m/>
    <x v="13"/>
    <s v="KBSS"/>
    <x v="0"/>
    <x v="7"/>
    <x v="51"/>
    <n v="1"/>
    <m/>
    <m/>
    <n v="100"/>
    <n v="100"/>
    <m/>
    <m/>
    <m/>
    <m/>
    <n v="100"/>
    <n v="100"/>
    <m/>
    <m/>
    <x v="51"/>
    <x v="0"/>
    <n v="0.27932960893854747"/>
    <s v="NO"/>
    <m/>
  </r>
  <r>
    <m/>
    <x v="16"/>
    <s v="KBSS"/>
    <x v="0"/>
    <x v="7"/>
    <x v="51"/>
    <n v="1"/>
    <m/>
    <m/>
    <n v="350"/>
    <n v="350"/>
    <m/>
    <m/>
    <m/>
    <m/>
    <n v="350"/>
    <n v="350"/>
    <m/>
    <m/>
    <x v="51"/>
    <x v="0"/>
    <n v="0.97765363128491622"/>
    <s v="NO"/>
    <m/>
  </r>
  <r>
    <m/>
    <x v="6"/>
    <m/>
    <x v="0"/>
    <x v="7"/>
    <x v="91"/>
    <n v="1"/>
    <m/>
    <m/>
    <n v="18"/>
    <n v="18"/>
    <m/>
    <m/>
    <m/>
    <m/>
    <n v="0"/>
    <n v="0"/>
    <m/>
    <m/>
    <x v="91"/>
    <x v="1"/>
    <s v=""/>
    <s v="NO"/>
    <m/>
  </r>
  <r>
    <m/>
    <x v="2"/>
    <m/>
    <x v="0"/>
    <x v="7"/>
    <x v="91"/>
    <n v="1"/>
    <m/>
    <m/>
    <n v="9"/>
    <n v="9"/>
    <m/>
    <m/>
    <m/>
    <m/>
    <n v="0"/>
    <n v="0"/>
    <m/>
    <m/>
    <x v="91"/>
    <x v="1"/>
    <s v=""/>
    <s v="NO"/>
    <m/>
  </r>
  <r>
    <m/>
    <x v="2"/>
    <s v="KBC"/>
    <x v="0"/>
    <x v="1"/>
    <x v="47"/>
    <n v="1"/>
    <m/>
    <m/>
    <n v="60"/>
    <n v="60"/>
    <m/>
    <m/>
    <m/>
    <m/>
    <n v="60"/>
    <n v="60"/>
    <m/>
    <m/>
    <x v="47"/>
    <x v="0"/>
    <n v="0.90909090909090906"/>
    <s v="NO"/>
    <m/>
  </r>
  <r>
    <m/>
    <x v="2"/>
    <m/>
    <x v="0"/>
    <x v="7"/>
    <x v="33"/>
    <n v="1"/>
    <m/>
    <m/>
    <n v="45"/>
    <n v="45"/>
    <m/>
    <m/>
    <m/>
    <m/>
    <n v="45"/>
    <n v="45"/>
    <m/>
    <m/>
    <x v="33"/>
    <x v="0"/>
    <n v="0.91836734693877553"/>
    <s v="NO"/>
    <m/>
  </r>
  <r>
    <m/>
    <x v="13"/>
    <s v="KMSS"/>
    <x v="0"/>
    <x v="1"/>
    <x v="2"/>
    <n v="1"/>
    <m/>
    <m/>
    <n v="30"/>
    <n v="30"/>
    <m/>
    <m/>
    <m/>
    <m/>
    <n v="30"/>
    <n v="30"/>
    <m/>
    <m/>
    <x v="2"/>
    <x v="0"/>
    <n v="0.61224489795918369"/>
    <s v="NO"/>
    <m/>
  </r>
  <r>
    <m/>
    <x v="13"/>
    <s v="IRRC"/>
    <x v="0"/>
    <x v="7"/>
    <x v="16"/>
    <n v="1"/>
    <m/>
    <m/>
    <n v="447"/>
    <n v="447"/>
    <m/>
    <m/>
    <m/>
    <m/>
    <n v="447"/>
    <n v="447"/>
    <m/>
    <m/>
    <x v="16"/>
    <x v="0"/>
    <n v="0.74874371859296485"/>
    <s v="NO"/>
    <m/>
  </r>
  <r>
    <m/>
    <x v="2"/>
    <s v="KBSS"/>
    <x v="0"/>
    <x v="7"/>
    <x v="16"/>
    <n v="1"/>
    <m/>
    <m/>
    <n v="130"/>
    <n v="130"/>
    <m/>
    <m/>
    <m/>
    <m/>
    <n v="130"/>
    <n v="130"/>
    <m/>
    <m/>
    <x v="16"/>
    <x v="0"/>
    <n v="0.21775544388609716"/>
    <s v="NO"/>
    <m/>
  </r>
  <r>
    <m/>
    <x v="6"/>
    <m/>
    <x v="0"/>
    <x v="5"/>
    <x v="81"/>
    <n v="1"/>
    <m/>
    <m/>
    <n v="36"/>
    <n v="36"/>
    <m/>
    <m/>
    <m/>
    <m/>
    <n v="36"/>
    <n v="36"/>
    <m/>
    <m/>
    <x v="81"/>
    <x v="0"/>
    <n v="0.23529411764705882"/>
    <s v="NO"/>
    <m/>
  </r>
  <r>
    <m/>
    <x v="10"/>
    <m/>
    <x v="0"/>
    <x v="0"/>
    <x v="52"/>
    <n v="1"/>
    <n v="207"/>
    <n v="207"/>
    <m/>
    <m/>
    <m/>
    <m/>
    <m/>
    <m/>
    <n v="0"/>
    <n v="0"/>
    <m/>
    <m/>
    <x v="52"/>
    <x v="0"/>
    <n v="0"/>
    <s v="NO"/>
    <m/>
  </r>
  <r>
    <m/>
    <x v="2"/>
    <m/>
    <x v="0"/>
    <x v="5"/>
    <x v="81"/>
    <n v="1"/>
    <m/>
    <m/>
    <n v="30"/>
    <n v="30"/>
    <m/>
    <m/>
    <m/>
    <m/>
    <n v="30"/>
    <n v="30"/>
    <m/>
    <m/>
    <x v="81"/>
    <x v="0"/>
    <n v="0.19607843137254902"/>
    <s v="NO"/>
    <m/>
  </r>
  <r>
    <m/>
    <x v="2"/>
    <s v="Shalom"/>
    <x v="0"/>
    <x v="0"/>
    <x v="25"/>
    <n v="1"/>
    <m/>
    <m/>
    <n v="45"/>
    <n v="45"/>
    <m/>
    <m/>
    <m/>
    <m/>
    <n v="45"/>
    <n v="45"/>
    <n v="10"/>
    <m/>
    <x v="25"/>
    <x v="0"/>
    <n v="0.40540540540540543"/>
    <s v="NO"/>
    <m/>
  </r>
  <r>
    <m/>
    <x v="2"/>
    <m/>
    <x v="0"/>
    <x v="0"/>
    <x v="25"/>
    <n v="1"/>
    <m/>
    <m/>
    <n v="5"/>
    <n v="5"/>
    <m/>
    <m/>
    <m/>
    <m/>
    <n v="5"/>
    <n v="5"/>
    <m/>
    <m/>
    <x v="25"/>
    <x v="0"/>
    <n v="4.5045045045045043E-2"/>
    <s v="NO"/>
    <m/>
  </r>
  <r>
    <m/>
    <x v="4"/>
    <m/>
    <x v="0"/>
    <x v="0"/>
    <x v="25"/>
    <n v="1"/>
    <m/>
    <m/>
    <n v="10"/>
    <n v="10"/>
    <m/>
    <m/>
    <m/>
    <m/>
    <n v="10"/>
    <n v="10"/>
    <m/>
    <m/>
    <x v="25"/>
    <x v="0"/>
    <n v="9.0090090090090086E-2"/>
    <s v="NO"/>
    <m/>
  </r>
  <r>
    <m/>
    <x v="2"/>
    <s v="Shalom"/>
    <x v="0"/>
    <x v="0"/>
    <x v="25"/>
    <n v="1"/>
    <m/>
    <m/>
    <n v="5"/>
    <n v="5"/>
    <m/>
    <m/>
    <m/>
    <m/>
    <n v="5"/>
    <n v="5"/>
    <m/>
    <m/>
    <x v="25"/>
    <x v="0"/>
    <n v="4.5045045045045043E-2"/>
    <s v="NO"/>
    <m/>
  </r>
  <r>
    <m/>
    <x v="2"/>
    <s v="KBC"/>
    <x v="0"/>
    <x v="1"/>
    <x v="48"/>
    <n v="1"/>
    <m/>
    <m/>
    <n v="20"/>
    <n v="20"/>
    <m/>
    <m/>
    <m/>
    <m/>
    <n v="20"/>
    <n v="20"/>
    <m/>
    <m/>
    <x v="48"/>
    <x v="0"/>
    <n v="0.64516129032258063"/>
    <s v="NO"/>
    <m/>
  </r>
  <r>
    <m/>
    <x v="2"/>
    <m/>
    <x v="0"/>
    <x v="0"/>
    <x v="46"/>
    <n v="1"/>
    <m/>
    <m/>
    <n v="20"/>
    <n v="20"/>
    <m/>
    <m/>
    <m/>
    <m/>
    <n v="20"/>
    <n v="20"/>
    <m/>
    <m/>
    <x v="46"/>
    <x v="0"/>
    <n v="0.30769230769230771"/>
    <s v="NO"/>
    <m/>
  </r>
  <r>
    <m/>
    <x v="2"/>
    <s v="Shalom"/>
    <x v="0"/>
    <x v="0"/>
    <x v="79"/>
    <n v="1"/>
    <m/>
    <m/>
    <n v="23"/>
    <n v="23"/>
    <m/>
    <m/>
    <m/>
    <m/>
    <n v="23"/>
    <n v="23"/>
    <m/>
    <m/>
    <x v="79"/>
    <x v="0"/>
    <n v="0.74193548387096775"/>
    <s v="NO"/>
    <m/>
  </r>
  <r>
    <m/>
    <x v="2"/>
    <s v="Shalom"/>
    <x v="0"/>
    <x v="0"/>
    <x v="79"/>
    <n v="1"/>
    <m/>
    <m/>
    <n v="3"/>
    <n v="3"/>
    <m/>
    <m/>
    <m/>
    <m/>
    <n v="3"/>
    <n v="3"/>
    <m/>
    <m/>
    <x v="79"/>
    <x v="0"/>
    <n v="9.6774193548387094E-2"/>
    <s v="NO"/>
    <m/>
  </r>
  <r>
    <m/>
    <x v="2"/>
    <s v="Shalom"/>
    <x v="0"/>
    <x v="0"/>
    <x v="12"/>
    <n v="1"/>
    <m/>
    <m/>
    <n v="100"/>
    <n v="100"/>
    <m/>
    <m/>
    <m/>
    <m/>
    <n v="92"/>
    <n v="100"/>
    <n v="15"/>
    <m/>
    <x v="12"/>
    <x v="0"/>
    <n v="1"/>
    <s v="NO"/>
    <m/>
  </r>
  <r>
    <m/>
    <x v="10"/>
    <m/>
    <x v="0"/>
    <x v="2"/>
    <x v="92"/>
    <n v="1"/>
    <n v="9"/>
    <n v="9"/>
    <m/>
    <m/>
    <m/>
    <m/>
    <m/>
    <m/>
    <n v="0"/>
    <n v="0"/>
    <m/>
    <m/>
    <x v="92"/>
    <x v="0"/>
    <n v="0"/>
    <s v="NO"/>
    <m/>
  </r>
  <r>
    <m/>
    <x v="8"/>
    <m/>
    <x v="0"/>
    <x v="5"/>
    <x v="9"/>
    <n v="1"/>
    <m/>
    <m/>
    <n v="162"/>
    <n v="162"/>
    <m/>
    <m/>
    <m/>
    <m/>
    <n v="162"/>
    <n v="162"/>
    <m/>
    <m/>
    <x v="9"/>
    <x v="0"/>
    <n v="0.25391849529780564"/>
    <s v="NO"/>
    <m/>
  </r>
  <r>
    <m/>
    <x v="6"/>
    <m/>
    <x v="0"/>
    <x v="5"/>
    <x v="9"/>
    <n v="1"/>
    <m/>
    <m/>
    <n v="163"/>
    <n v="163"/>
    <m/>
    <m/>
    <m/>
    <m/>
    <n v="163"/>
    <n v="163"/>
    <m/>
    <m/>
    <x v="9"/>
    <x v="0"/>
    <n v="0.2554858934169279"/>
    <s v="NO"/>
    <m/>
  </r>
  <r>
    <m/>
    <x v="2"/>
    <m/>
    <x v="0"/>
    <x v="5"/>
    <x v="9"/>
    <n v="1"/>
    <m/>
    <m/>
    <n v="70"/>
    <n v="70"/>
    <m/>
    <m/>
    <m/>
    <m/>
    <n v="70"/>
    <n v="70"/>
    <m/>
    <m/>
    <x v="9"/>
    <x v="0"/>
    <n v="0.109717868338558"/>
    <s v="NO"/>
    <m/>
  </r>
  <r>
    <m/>
    <x v="10"/>
    <m/>
    <x v="0"/>
    <x v="1"/>
    <x v="136"/>
    <n v="1"/>
    <n v="1"/>
    <n v="1"/>
    <m/>
    <m/>
    <m/>
    <m/>
    <m/>
    <m/>
    <s v=""/>
    <n v="0"/>
    <m/>
    <m/>
    <x v="136"/>
    <x v="2"/>
    <s v=""/>
    <s v="NO"/>
    <m/>
  </r>
  <r>
    <m/>
    <x v="10"/>
    <m/>
    <x v="0"/>
    <x v="2"/>
    <x v="98"/>
    <n v="1"/>
    <n v="7"/>
    <n v="7"/>
    <m/>
    <m/>
    <m/>
    <m/>
    <m/>
    <m/>
    <n v="0"/>
    <n v="0"/>
    <m/>
    <m/>
    <x v="98"/>
    <x v="0"/>
    <n v="0"/>
    <s v="NO"/>
    <m/>
  </r>
  <r>
    <m/>
    <x v="2"/>
    <m/>
    <x v="0"/>
    <x v="7"/>
    <x v="35"/>
    <n v="1"/>
    <m/>
    <m/>
    <n v="40"/>
    <n v="40"/>
    <m/>
    <m/>
    <m/>
    <m/>
    <n v="40"/>
    <n v="40"/>
    <m/>
    <m/>
    <x v="35"/>
    <x v="0"/>
    <n v="0.97560975609756095"/>
    <s v="NO"/>
    <m/>
  </r>
  <r>
    <m/>
    <x v="8"/>
    <s v="Shalom"/>
    <x v="0"/>
    <x v="1"/>
    <x v="58"/>
    <n v="1"/>
    <m/>
    <m/>
    <n v="14"/>
    <n v="14"/>
    <m/>
    <m/>
    <m/>
    <m/>
    <n v="14"/>
    <n v="14"/>
    <m/>
    <m/>
    <x v="58"/>
    <x v="0"/>
    <n v="0.11864406779661017"/>
    <s v="NO"/>
    <m/>
  </r>
  <r>
    <m/>
    <x v="8"/>
    <s v="KBC"/>
    <x v="0"/>
    <x v="1"/>
    <x v="49"/>
    <n v="1"/>
    <m/>
    <m/>
    <n v="14"/>
    <n v="14"/>
    <m/>
    <m/>
    <m/>
    <m/>
    <n v="14"/>
    <n v="14"/>
    <m/>
    <m/>
    <x v="49"/>
    <x v="0"/>
    <n v="0.30434782608695654"/>
    <s v="NO"/>
    <m/>
  </r>
  <r>
    <m/>
    <x v="2"/>
    <m/>
    <x v="0"/>
    <x v="1"/>
    <x v="58"/>
    <n v="1"/>
    <m/>
    <m/>
    <n v="40"/>
    <n v="40"/>
    <m/>
    <m/>
    <m/>
    <m/>
    <n v="40"/>
    <n v="40"/>
    <m/>
    <m/>
    <x v="58"/>
    <x v="0"/>
    <n v="0.33898305084745761"/>
    <s v="NO"/>
    <m/>
  </r>
  <r>
    <m/>
    <x v="2"/>
    <s v="KBC"/>
    <x v="0"/>
    <x v="1"/>
    <x v="49"/>
    <n v="1"/>
    <m/>
    <m/>
    <n v="10"/>
    <n v="10"/>
    <m/>
    <m/>
    <m/>
    <m/>
    <n v="10"/>
    <n v="10"/>
    <m/>
    <m/>
    <x v="49"/>
    <x v="0"/>
    <n v="0.21739130434782608"/>
    <s v="NO"/>
    <m/>
  </r>
  <r>
    <m/>
    <x v="6"/>
    <m/>
    <x v="0"/>
    <x v="16"/>
    <x v="137"/>
    <n v="1"/>
    <m/>
    <m/>
    <n v="42"/>
    <n v="42"/>
    <m/>
    <m/>
    <m/>
    <m/>
    <n v="42"/>
    <n v="42"/>
    <m/>
    <m/>
    <x v="137"/>
    <x v="0"/>
    <n v="0.48837209302325579"/>
    <s v="NO"/>
    <m/>
  </r>
  <r>
    <m/>
    <x v="13"/>
    <s v="KBSS"/>
    <x v="0"/>
    <x v="16"/>
    <x v="138"/>
    <n v="1"/>
    <m/>
    <m/>
    <n v="36"/>
    <n v="36"/>
    <m/>
    <m/>
    <m/>
    <m/>
    <n v="36"/>
    <n v="36"/>
    <m/>
    <m/>
    <x v="138"/>
    <x v="0"/>
    <n v="0.83720930232558144"/>
    <s v="NO"/>
    <m/>
  </r>
  <r>
    <m/>
    <x v="2"/>
    <s v="KBSS"/>
    <x v="0"/>
    <x v="16"/>
    <x v="138"/>
    <n v="1"/>
    <m/>
    <m/>
    <n v="10"/>
    <n v="10"/>
    <m/>
    <m/>
    <m/>
    <m/>
    <n v="10"/>
    <n v="10"/>
    <m/>
    <m/>
    <x v="138"/>
    <x v="0"/>
    <n v="0.23255813953488372"/>
    <s v="NO"/>
    <m/>
  </r>
  <r>
    <m/>
    <x v="2"/>
    <s v="KBC"/>
    <x v="0"/>
    <x v="1"/>
    <x v="49"/>
    <n v="1"/>
    <m/>
    <m/>
    <n v="8"/>
    <n v="8"/>
    <m/>
    <m/>
    <m/>
    <m/>
    <n v="8"/>
    <n v="8"/>
    <m/>
    <m/>
    <x v="49"/>
    <x v="0"/>
    <n v="0.17391304347826086"/>
    <s v="NO"/>
    <m/>
  </r>
  <r>
    <m/>
    <x v="13"/>
    <s v="KMSS"/>
    <x v="0"/>
    <x v="15"/>
    <x v="139"/>
    <n v="1"/>
    <m/>
    <m/>
    <n v="12"/>
    <n v="12"/>
    <m/>
    <m/>
    <m/>
    <m/>
    <n v="11"/>
    <n v="12"/>
    <m/>
    <m/>
    <x v="139"/>
    <x v="0"/>
    <n v="1"/>
    <s v="NO"/>
    <m/>
  </r>
  <r>
    <m/>
    <x v="2"/>
    <m/>
    <x v="0"/>
    <x v="5"/>
    <x v="93"/>
    <n v="1"/>
    <m/>
    <m/>
    <n v="40"/>
    <n v="40"/>
    <m/>
    <m/>
    <m/>
    <m/>
    <n v="20"/>
    <n v="40"/>
    <m/>
    <m/>
    <x v="93"/>
    <x v="0"/>
    <n v="1"/>
    <s v="NO"/>
    <m/>
  </r>
  <r>
    <m/>
    <x v="2"/>
    <s v="KBC"/>
    <x v="0"/>
    <x v="0"/>
    <x v="140"/>
    <n v="1"/>
    <m/>
    <m/>
    <n v="10"/>
    <n v="10"/>
    <m/>
    <m/>
    <m/>
    <m/>
    <n v="0"/>
    <n v="0"/>
    <m/>
    <m/>
    <x v="140"/>
    <x v="1"/>
    <s v=""/>
    <s v="NO"/>
    <m/>
  </r>
  <r>
    <m/>
    <x v="17"/>
    <s v="Shalom"/>
    <x v="0"/>
    <x v="1"/>
    <x v="64"/>
    <n v="1"/>
    <m/>
    <m/>
    <n v="12"/>
    <n v="12"/>
    <m/>
    <m/>
    <m/>
    <m/>
    <n v="12"/>
    <n v="12"/>
    <m/>
    <m/>
    <x v="64"/>
    <x v="0"/>
    <n v="0.22222222222222221"/>
    <s v="NO"/>
    <m/>
  </r>
  <r>
    <m/>
    <x v="2"/>
    <s v="Shalom"/>
    <x v="0"/>
    <x v="1"/>
    <x v="64"/>
    <n v="1"/>
    <m/>
    <m/>
    <n v="40"/>
    <n v="40"/>
    <m/>
    <m/>
    <m/>
    <m/>
    <n v="40"/>
    <n v="40"/>
    <m/>
    <m/>
    <x v="64"/>
    <x v="0"/>
    <n v="0.7407407407407407"/>
    <s v="NO"/>
    <m/>
  </r>
  <r>
    <m/>
    <x v="2"/>
    <s v="Shalom"/>
    <x v="0"/>
    <x v="1"/>
    <x v="64"/>
    <n v="1"/>
    <m/>
    <m/>
    <n v="20"/>
    <n v="20"/>
    <m/>
    <m/>
    <m/>
    <m/>
    <n v="20"/>
    <n v="20"/>
    <m/>
    <m/>
    <x v="64"/>
    <x v="0"/>
    <n v="0.37037037037037035"/>
    <s v="NO"/>
    <m/>
  </r>
  <r>
    <m/>
    <x v="2"/>
    <s v="Shalom"/>
    <x v="0"/>
    <x v="1"/>
    <x v="141"/>
    <n v="1"/>
    <m/>
    <m/>
    <n v="10"/>
    <n v="10"/>
    <m/>
    <m/>
    <m/>
    <m/>
    <n v="4"/>
    <n v="10"/>
    <m/>
    <m/>
    <x v="141"/>
    <x v="0"/>
    <n v="1"/>
    <s v="NO"/>
    <m/>
  </r>
  <r>
    <m/>
    <x v="2"/>
    <m/>
    <x v="0"/>
    <x v="1"/>
    <x v="141"/>
    <n v="1"/>
    <m/>
    <m/>
    <n v="5"/>
    <n v="5"/>
    <m/>
    <m/>
    <m/>
    <m/>
    <n v="4"/>
    <n v="5"/>
    <m/>
    <m/>
    <x v="141"/>
    <x v="0"/>
    <n v="1"/>
    <s v="NO"/>
    <m/>
  </r>
  <r>
    <m/>
    <x v="2"/>
    <s v="Shalom"/>
    <x v="0"/>
    <x v="0"/>
    <x v="73"/>
    <n v="1"/>
    <m/>
    <m/>
    <n v="45"/>
    <n v="45"/>
    <m/>
    <m/>
    <m/>
    <m/>
    <n v="45"/>
    <n v="45"/>
    <m/>
    <m/>
    <x v="73"/>
    <x v="0"/>
    <n v="0.97826086956521741"/>
    <s v="NO"/>
    <m/>
  </r>
  <r>
    <m/>
    <x v="4"/>
    <m/>
    <x v="0"/>
    <x v="0"/>
    <x v="73"/>
    <n v="1"/>
    <m/>
    <m/>
    <n v="24"/>
    <n v="24"/>
    <m/>
    <m/>
    <m/>
    <m/>
    <n v="24"/>
    <n v="24"/>
    <m/>
    <m/>
    <x v="73"/>
    <x v="0"/>
    <n v="0.52173913043478259"/>
    <s v="NO"/>
    <m/>
  </r>
  <r>
    <m/>
    <x v="2"/>
    <s v="Shalom"/>
    <x v="0"/>
    <x v="5"/>
    <x v="142"/>
    <n v="1"/>
    <m/>
    <m/>
    <n v="6"/>
    <m/>
    <m/>
    <m/>
    <m/>
    <m/>
    <n v="0"/>
    <n v="0"/>
    <m/>
    <m/>
    <x v="142"/>
    <x v="1"/>
    <s v=""/>
    <s v="NO"/>
    <m/>
  </r>
  <r>
    <m/>
    <x v="2"/>
    <m/>
    <x v="0"/>
    <x v="5"/>
    <x v="142"/>
    <n v="1"/>
    <m/>
    <m/>
    <n v="5"/>
    <m/>
    <m/>
    <m/>
    <m/>
    <m/>
    <n v="0"/>
    <n v="0"/>
    <m/>
    <m/>
    <x v="142"/>
    <x v="1"/>
    <s v=""/>
    <s v="NO"/>
    <m/>
  </r>
  <r>
    <m/>
    <x v="2"/>
    <s v="Shalom"/>
    <x v="0"/>
    <x v="0"/>
    <x v="94"/>
    <n v="1"/>
    <m/>
    <m/>
    <n v="34"/>
    <n v="34"/>
    <m/>
    <m/>
    <m/>
    <m/>
    <n v="34"/>
    <n v="34"/>
    <m/>
    <m/>
    <x v="94"/>
    <x v="0"/>
    <n v="0.52307692307692311"/>
    <s v="NO"/>
    <m/>
  </r>
  <r>
    <m/>
    <x v="4"/>
    <m/>
    <x v="0"/>
    <x v="0"/>
    <x v="94"/>
    <n v="1"/>
    <m/>
    <m/>
    <n v="15"/>
    <n v="15"/>
    <m/>
    <m/>
    <m/>
    <m/>
    <n v="15"/>
    <n v="15"/>
    <m/>
    <m/>
    <x v="94"/>
    <x v="0"/>
    <n v="0.23076923076923078"/>
    <s v="NO"/>
    <m/>
  </r>
  <r>
    <m/>
    <x v="2"/>
    <m/>
    <x v="0"/>
    <x v="0"/>
    <x v="140"/>
    <n v="1"/>
    <m/>
    <m/>
    <n v="5"/>
    <n v="5"/>
    <m/>
    <m/>
    <m/>
    <m/>
    <n v="0"/>
    <n v="0"/>
    <m/>
    <m/>
    <x v="140"/>
    <x v="1"/>
    <s v=""/>
    <s v="NO"/>
    <m/>
  </r>
  <r>
    <m/>
    <x v="4"/>
    <m/>
    <x v="0"/>
    <x v="0"/>
    <x v="140"/>
    <n v="1"/>
    <m/>
    <m/>
    <n v="10"/>
    <n v="10"/>
    <m/>
    <m/>
    <m/>
    <m/>
    <n v="0"/>
    <n v="0"/>
    <m/>
    <m/>
    <x v="140"/>
    <x v="1"/>
    <s v=""/>
    <s v="NO"/>
    <m/>
  </r>
  <r>
    <m/>
    <x v="2"/>
    <s v="KMSS"/>
    <x v="0"/>
    <x v="2"/>
    <x v="143"/>
    <n v="1"/>
    <m/>
    <m/>
    <m/>
    <m/>
    <m/>
    <m/>
    <m/>
    <m/>
    <n v="0"/>
    <n v="0"/>
    <n v="14"/>
    <m/>
    <x v="143"/>
    <x v="1"/>
    <s v=""/>
    <s v="NO"/>
    <m/>
  </r>
  <r>
    <m/>
    <x v="10"/>
    <m/>
    <x v="0"/>
    <x v="2"/>
    <x v="99"/>
    <n v="1"/>
    <n v="7"/>
    <n v="7"/>
    <m/>
    <m/>
    <m/>
    <m/>
    <m/>
    <m/>
    <n v="0"/>
    <n v="0"/>
    <m/>
    <m/>
    <x v="99"/>
    <x v="0"/>
    <n v="0"/>
    <s v="NO"/>
    <m/>
  </r>
  <r>
    <m/>
    <x v="10"/>
    <m/>
    <x v="0"/>
    <x v="2"/>
    <x v="144"/>
    <n v="1"/>
    <n v="47"/>
    <n v="47"/>
    <m/>
    <m/>
    <m/>
    <m/>
    <m/>
    <m/>
    <s v=""/>
    <n v="0"/>
    <m/>
    <m/>
    <x v="136"/>
    <x v="2"/>
    <s v=""/>
    <s v="NO"/>
    <m/>
  </r>
  <r>
    <m/>
    <x v="6"/>
    <m/>
    <x v="0"/>
    <x v="0"/>
    <x v="95"/>
    <n v="1"/>
    <m/>
    <m/>
    <n v="300"/>
    <m/>
    <m/>
    <m/>
    <m/>
    <m/>
    <n v="0"/>
    <n v="0"/>
    <m/>
    <m/>
    <x v="95"/>
    <x v="0"/>
    <n v="0"/>
    <s v="NO"/>
    <m/>
  </r>
  <r>
    <m/>
    <x v="2"/>
    <s v="Shalom"/>
    <x v="0"/>
    <x v="1"/>
    <x v="145"/>
    <n v="1"/>
    <m/>
    <m/>
    <n v="24"/>
    <n v="24"/>
    <m/>
    <m/>
    <m/>
    <m/>
    <n v="7"/>
    <n v="24"/>
    <m/>
    <m/>
    <x v="144"/>
    <x v="0"/>
    <n v="1"/>
    <s v="NO"/>
    <m/>
  </r>
  <r>
    <m/>
    <x v="6"/>
    <m/>
    <x v="0"/>
    <x v="5"/>
    <x v="96"/>
    <n v="1"/>
    <m/>
    <m/>
    <n v="30"/>
    <n v="30"/>
    <m/>
    <m/>
    <m/>
    <m/>
    <n v="15"/>
    <n v="30"/>
    <m/>
    <m/>
    <x v="96"/>
    <x v="0"/>
    <n v="1"/>
    <s v="NO"/>
    <m/>
  </r>
  <r>
    <m/>
    <x v="2"/>
    <s v="Metta"/>
    <x v="0"/>
    <x v="5"/>
    <x v="96"/>
    <n v="1"/>
    <m/>
    <m/>
    <n v="12"/>
    <n v="12"/>
    <m/>
    <m/>
    <m/>
    <m/>
    <n v="12"/>
    <n v="12"/>
    <m/>
    <m/>
    <x v="96"/>
    <x v="0"/>
    <n v="0.8"/>
    <s v="NO"/>
    <m/>
  </r>
  <r>
    <m/>
    <x v="2"/>
    <s v="Shalom"/>
    <x v="0"/>
    <x v="5"/>
    <x v="96"/>
    <n v="1"/>
    <m/>
    <m/>
    <n v="10"/>
    <n v="10"/>
    <m/>
    <m/>
    <m/>
    <m/>
    <n v="10"/>
    <n v="10"/>
    <m/>
    <m/>
    <x v="96"/>
    <x v="0"/>
    <n v="0.66666666666666663"/>
    <s v="NO"/>
    <m/>
  </r>
  <r>
    <m/>
    <x v="2"/>
    <m/>
    <x v="0"/>
    <x v="5"/>
    <x v="96"/>
    <n v="1"/>
    <m/>
    <m/>
    <n v="6"/>
    <m/>
    <m/>
    <m/>
    <m/>
    <m/>
    <n v="0"/>
    <n v="0"/>
    <m/>
    <m/>
    <x v="96"/>
    <x v="0"/>
    <n v="0"/>
    <s v="NO"/>
    <m/>
  </r>
  <r>
    <m/>
    <x v="2"/>
    <s v="Shalom"/>
    <x v="0"/>
    <x v="2"/>
    <x v="146"/>
    <n v="1"/>
    <m/>
    <m/>
    <n v="10"/>
    <n v="10"/>
    <m/>
    <m/>
    <m/>
    <m/>
    <n v="10"/>
    <n v="10"/>
    <m/>
    <m/>
    <x v="145"/>
    <x v="0"/>
    <n v="0.90909090909090906"/>
    <s v="NO"/>
    <m/>
  </r>
  <r>
    <m/>
    <x v="7"/>
    <s v="KBC"/>
    <x v="0"/>
    <x v="0"/>
    <x v="41"/>
    <n v="1"/>
    <m/>
    <m/>
    <n v="220"/>
    <n v="220"/>
    <m/>
    <m/>
    <m/>
    <m/>
    <n v="0"/>
    <n v="0"/>
    <m/>
    <m/>
    <x v="41"/>
    <x v="1"/>
    <s v=""/>
    <s v="NO"/>
    <m/>
  </r>
  <r>
    <m/>
    <x v="2"/>
    <s v="KBC"/>
    <x v="0"/>
    <x v="0"/>
    <x v="41"/>
    <n v="1"/>
    <m/>
    <m/>
    <n v="325"/>
    <n v="325"/>
    <m/>
    <m/>
    <m/>
    <m/>
    <n v="0"/>
    <n v="0"/>
    <m/>
    <m/>
    <x v="41"/>
    <x v="1"/>
    <s v=""/>
    <s v="NO"/>
    <m/>
  </r>
  <r>
    <m/>
    <x v="14"/>
    <s v="MDCG"/>
    <x v="1"/>
    <x v="6"/>
    <x v="65"/>
    <n v="1"/>
    <m/>
    <m/>
    <n v="85"/>
    <n v="85"/>
    <m/>
    <m/>
    <m/>
    <m/>
    <n v="85"/>
    <n v="85"/>
    <m/>
    <m/>
    <x v="65"/>
    <x v="0"/>
    <n v="0.45698924731182794"/>
    <s v="NO"/>
    <m/>
  </r>
  <r>
    <m/>
    <x v="2"/>
    <m/>
    <x v="0"/>
    <x v="2"/>
    <x v="147"/>
    <n v="1"/>
    <n v="30"/>
    <n v="30"/>
    <m/>
    <m/>
    <m/>
    <m/>
    <m/>
    <m/>
    <s v=""/>
    <n v="0"/>
    <m/>
    <m/>
    <x v="136"/>
    <x v="2"/>
    <s v=""/>
    <s v="NO"/>
    <m/>
  </r>
  <r>
    <m/>
    <x v="7"/>
    <s v="KBC"/>
    <x v="0"/>
    <x v="1"/>
    <x v="147"/>
    <n v="1"/>
    <m/>
    <m/>
    <n v="15"/>
    <n v="15"/>
    <m/>
    <m/>
    <m/>
    <m/>
    <s v=""/>
    <n v="0"/>
    <m/>
    <m/>
    <x v="136"/>
    <x v="2"/>
    <s v=""/>
    <s v="NO"/>
    <m/>
  </r>
  <r>
    <m/>
    <x v="2"/>
    <m/>
    <x v="0"/>
    <x v="10"/>
    <x v="147"/>
    <n v="1"/>
    <n v="55"/>
    <n v="55"/>
    <m/>
    <m/>
    <m/>
    <m/>
    <m/>
    <m/>
    <s v=""/>
    <n v="0"/>
    <m/>
    <m/>
    <x v="136"/>
    <x v="2"/>
    <s v=""/>
    <s v="NO"/>
    <m/>
  </r>
</pivotCacheRecords>
</file>

<file path=xl/pivotCache/pivotCacheRecords3.xml><?xml version="1.0" encoding="utf-8"?>
<pivotCacheRecords xmlns="http://schemas.openxmlformats.org/spreadsheetml/2006/main" xmlns:r="http://schemas.openxmlformats.org/officeDocument/2006/relationships" count="167">
  <r>
    <s v="MMR001CMP042"/>
    <x v="0"/>
    <s v="Chipwi KBC camp"/>
    <s v="Chipwi"/>
    <n v="163"/>
    <n v="790"/>
    <n v="0"/>
    <n v="0"/>
    <n v="0"/>
    <n v="326"/>
    <n v="163"/>
    <n v="163"/>
    <s v=""/>
    <n v="0"/>
  </r>
  <r>
    <s v="MMR001CMP046"/>
    <x v="0"/>
    <s v="Gant Gwin"/>
    <s v="Chipwi"/>
    <n v="0"/>
    <n v="0"/>
    <n v="0"/>
    <n v="0"/>
    <n v="0"/>
    <n v="0"/>
    <n v="0"/>
    <n v="0"/>
    <s v=""/>
    <n v="0"/>
  </r>
  <r>
    <s v="MMR001CMP043"/>
    <x v="0"/>
    <s v="Hpare Hkyer - BP6"/>
    <s v="Chipwi"/>
    <n v="160"/>
    <n v="830"/>
    <n v="0"/>
    <n v="0"/>
    <n v="0"/>
    <n v="320"/>
    <n v="160"/>
    <n v="160"/>
    <s v=""/>
    <n v="0"/>
  </r>
  <r>
    <s v="MMR001CMP045"/>
    <x v="0"/>
    <s v="Lan Jaw "/>
    <s v="Chipwi"/>
    <n v="0"/>
    <n v="0"/>
    <n v="0"/>
    <n v="0"/>
    <n v="0"/>
    <n v="0"/>
    <n v="0"/>
    <n v="0"/>
    <s v=""/>
    <n v="0"/>
  </r>
  <r>
    <s v="MMR001CMP195"/>
    <x v="0"/>
    <s v="Lhaovao Baptist Church (LBC)"/>
    <s v="Chipwi"/>
    <n v="207"/>
    <n v="850"/>
    <n v="0"/>
    <n v="0"/>
    <n v="0"/>
    <n v="414"/>
    <n v="207"/>
    <n v="207"/>
    <s v=""/>
    <n v="0"/>
  </r>
  <r>
    <s v="MMR001CMP225"/>
    <x v="0"/>
    <s v="Saw Zam"/>
    <s v="Chipwi"/>
    <n v="30"/>
    <n v="172"/>
    <n v="0"/>
    <n v="0"/>
    <n v="0"/>
    <n v="60"/>
    <n v="30"/>
    <n v="30"/>
    <s v=""/>
    <n v="0"/>
  </r>
  <r>
    <s v="MMR001CMP210"/>
    <x v="0"/>
    <s v="Pan Wa"/>
    <s v="Chipwi"/>
    <n v="57"/>
    <n v="273"/>
    <n v="0"/>
    <n v="0"/>
    <n v="0"/>
    <n v="114"/>
    <n v="57"/>
    <n v="57"/>
    <s v=""/>
    <n v="0"/>
  </r>
  <r>
    <s v="MMR001CMP115"/>
    <x v="0"/>
    <s v="Hkau Shau (BP 12)"/>
    <s v="Waingmaw"/>
    <n v="154"/>
    <n v="919"/>
    <n v="0"/>
    <n v="0"/>
    <n v="0"/>
    <n v="308"/>
    <n v="154"/>
    <n v="154"/>
    <s v=""/>
    <n v="0"/>
  </r>
  <r>
    <s v="MMR001CMP120"/>
    <x v="0"/>
    <s v="Pajau - Jan Mai"/>
    <s v="Waingmaw"/>
    <n v="163"/>
    <n v="909"/>
    <n v="0"/>
    <n v="0"/>
    <n v="0"/>
    <n v="326"/>
    <n v="163"/>
    <n v="163"/>
    <s v=""/>
    <n v="0"/>
  </r>
  <r>
    <s v="MMR001CMP160"/>
    <x v="0"/>
    <s v="Post 6 Camp"/>
    <s v="Waingmaw"/>
    <n v="91"/>
    <n v="560"/>
    <n v="0"/>
    <n v="0"/>
    <n v="0"/>
    <n v="182"/>
    <n v="91"/>
    <n v="91"/>
    <s v=""/>
    <n v="0"/>
  </r>
  <r>
    <s v="MMR001CMP113"/>
    <x v="0"/>
    <s v="Border Post 8"/>
    <s v="Waingmaw"/>
    <n v="125"/>
    <n v="484"/>
    <n v="0"/>
    <n v="0"/>
    <n v="0"/>
    <n v="250"/>
    <n v="125"/>
    <n v="125"/>
    <s v=""/>
    <n v="0"/>
  </r>
  <r>
    <s v="MMR001CMP041"/>
    <x v="0"/>
    <s v="Shing Jai"/>
    <s v="Waingmaw"/>
    <n v="181"/>
    <n v="1001"/>
    <n v="0"/>
    <n v="0"/>
    <n v="0"/>
    <n v="362"/>
    <n v="181"/>
    <n v="181"/>
    <s v=""/>
    <n v="0"/>
  </r>
  <r>
    <s v="MMR001CMP131"/>
    <x v="0"/>
    <s v="Nhkawng Pa "/>
    <s v="Momauk"/>
    <n v="355"/>
    <n v="1550"/>
    <n v="0"/>
    <n v="0"/>
    <n v="0"/>
    <n v="710"/>
    <n v="355"/>
    <n v="355"/>
    <s v=""/>
    <n v="0"/>
  </r>
  <r>
    <s v="MMR015CMP006"/>
    <x v="0"/>
    <s v="Mungji Pa Dabang (Baptist Church)         "/>
    <s v="Kutkai"/>
    <n v="41"/>
    <n v="230"/>
    <n v="0"/>
    <n v="0"/>
    <n v="0"/>
    <n v="82"/>
    <n v="41"/>
    <n v="41"/>
    <s v=""/>
    <n v="0"/>
  </r>
  <r>
    <s v="MMR015CMP005"/>
    <x v="0"/>
    <s v="Mung Baw "/>
    <s v="Muse"/>
    <n v="0"/>
    <n v="0"/>
    <n v="0"/>
    <n v="0"/>
    <n v="0"/>
    <n v="0"/>
    <n v="0"/>
    <n v="0"/>
    <s v=""/>
    <n v="0"/>
  </r>
  <r>
    <s v="MMR015CMP012"/>
    <x v="0"/>
    <s v="Munekoe Pa (Giwang) - Hka San (Mung  Go  Pa ) "/>
    <s v="Muse"/>
    <n v="0"/>
    <n v="0"/>
    <n v="0"/>
    <n v="0"/>
    <n v="0"/>
    <n v="0"/>
    <n v="0"/>
    <n v="0"/>
    <s v=""/>
    <n v="0"/>
  </r>
  <r>
    <s v="MMR001CMP129"/>
    <x v="0"/>
    <s v="Bum Tsit Pa "/>
    <s v="Mansi"/>
    <n v="365"/>
    <n v="1729"/>
    <n v="0"/>
    <n v="0"/>
    <n v="0"/>
    <n v="730"/>
    <n v="365"/>
    <n v="365"/>
    <s v=""/>
    <n v="0"/>
  </r>
  <r>
    <s v="MMR001CMP226"/>
    <x v="0"/>
    <s v="Bum Tsit Pa Camp II"/>
    <s v="Mansi"/>
    <n v="0"/>
    <n v="0"/>
    <n v="0"/>
    <n v="0"/>
    <n v="0"/>
    <n v="0"/>
    <n v="0"/>
    <n v="0"/>
    <s v=""/>
    <n v="0"/>
  </r>
  <r>
    <s v="MMR001CMP128"/>
    <x v="0"/>
    <s v="Lana Zup Ja "/>
    <s v="Mansi"/>
    <n v="544"/>
    <n v="2424"/>
    <n v="0"/>
    <n v="0"/>
    <n v="0"/>
    <n v="1088"/>
    <n v="544"/>
    <n v="544"/>
    <s v=""/>
    <n v="0"/>
  </r>
  <r>
    <s v="MMR001CMP135"/>
    <x v="0"/>
    <s v="Lung Kawk  ( Hka Hkye Zup)"/>
    <s v="Mansi"/>
    <n v="0"/>
    <n v="0"/>
    <n v="0"/>
    <n v="0"/>
    <n v="0"/>
    <n v="0"/>
    <n v="0"/>
    <n v="0"/>
    <s v=""/>
    <n v="0"/>
  </r>
  <r>
    <s v="MMR001CMP122"/>
    <x v="0"/>
    <s v="Hpun Lum Yang "/>
    <s v="Momauk"/>
    <n v="719"/>
    <n v="3664"/>
    <n v="0"/>
    <n v="0"/>
    <n v="0"/>
    <n v="1438"/>
    <n v="719"/>
    <n v="719"/>
    <s v=""/>
    <n v="0"/>
  </r>
  <r>
    <s v="MMR001CMP121"/>
    <x v="0"/>
    <s v="Je Yang Hka "/>
    <s v="Momauk"/>
    <n v="1490"/>
    <n v="8486"/>
    <n v="0"/>
    <n v="0"/>
    <n v="0"/>
    <n v="2980"/>
    <n v="1490"/>
    <n v="1490"/>
    <s v=""/>
    <n v="0"/>
  </r>
  <r>
    <s v="MMR001CMP126"/>
    <x v="0"/>
    <s v="Pa Kahtawng "/>
    <s v="Momauk"/>
    <n v="632"/>
    <n v="3551"/>
    <n v="0"/>
    <n v="0"/>
    <n v="0"/>
    <n v="1264"/>
    <n v="632"/>
    <n v="632"/>
    <s v=""/>
    <n v="0"/>
  </r>
  <r>
    <s v="MMR001CMP123"/>
    <x v="0"/>
    <s v="Dum Bung "/>
    <s v="Momauk"/>
    <n v="88"/>
    <n v="338"/>
    <n v="0"/>
    <n v="0"/>
    <n v="0"/>
    <n v="176"/>
    <n v="88"/>
    <n v="88"/>
    <s v=""/>
    <n v="0"/>
  </r>
  <r>
    <s v="MMR001CMP208"/>
    <x v="0"/>
    <s v="IDP Boarding School, A Len Bum"/>
    <s v="Waingmaw"/>
    <n v="0"/>
    <n v="872"/>
    <n v="0"/>
    <n v="0"/>
    <n v="0"/>
    <n v="0"/>
    <n v="0"/>
    <n v="0"/>
    <s v=""/>
    <n v="0"/>
  </r>
  <r>
    <s v="MMR001CMP117"/>
    <x v="0"/>
    <s v="Laiza Market 3 - Laiza Gat"/>
    <s v="Waingmaw"/>
    <n v="0"/>
    <n v="0"/>
    <n v="0"/>
    <n v="0"/>
    <n v="0"/>
    <n v="0"/>
    <n v="0"/>
    <n v="0"/>
    <s v=""/>
    <n v="0"/>
  </r>
  <r>
    <s v="MMR001CMP111"/>
    <x v="0"/>
    <s v="Zai Awng - Mung Ga Zup"/>
    <s v="Waingmaw"/>
    <n v="0"/>
    <n v="0"/>
    <n v="0"/>
    <n v="0"/>
    <n v="0"/>
    <n v="0"/>
    <n v="0"/>
    <n v="0"/>
    <s v=""/>
    <n v="0"/>
  </r>
  <r>
    <s v="MMR001CMP119"/>
    <x v="0"/>
    <s v="Maga Yang "/>
    <s v="Waingmaw"/>
    <n v="415"/>
    <n v="1549"/>
    <n v="0"/>
    <n v="0"/>
    <n v="0"/>
    <n v="830"/>
    <n v="415"/>
    <n v="415"/>
    <s v=""/>
    <n v="0"/>
  </r>
  <r>
    <s v="MMR015CMP009"/>
    <x v="0"/>
    <s v="Mandung - Jinghpaw"/>
    <s v="Manton"/>
    <n v="33"/>
    <n v="182"/>
    <n v="0"/>
    <n v="0"/>
    <n v="0"/>
    <n v="66"/>
    <n v="33"/>
    <n v="33"/>
    <s v=""/>
    <n v="0"/>
  </r>
  <r>
    <s v="MMR015CMP139"/>
    <x v="0"/>
    <s v="Nam Hkawng"/>
    <s v="Muse"/>
    <n v="9"/>
    <n v="44"/>
    <n v="0"/>
    <n v="0"/>
    <n v="0"/>
    <n v="18"/>
    <n v="9"/>
    <n v="9"/>
    <s v=""/>
    <n v="0"/>
  </r>
  <r>
    <s v="MMR001CMP071"/>
    <x v="0"/>
    <s v="Loi Je Baptist Church"/>
    <s v="Momauk"/>
    <n v="41"/>
    <n v="241"/>
    <n v="0"/>
    <n v="0"/>
    <n v="0"/>
    <n v="82"/>
    <n v="41"/>
    <n v="41"/>
    <s v=""/>
    <n v="0"/>
  </r>
  <r>
    <s v="MMR001CMP069"/>
    <x v="0"/>
    <s v="Loi Je Catholic Church"/>
    <s v="Momauk"/>
    <n v="129"/>
    <n v="640"/>
    <n v="0"/>
    <n v="0"/>
    <n v="0"/>
    <n v="258"/>
    <n v="129"/>
    <n v="129"/>
    <s v=""/>
    <n v="0"/>
  </r>
  <r>
    <s v="MMR001CMP070"/>
    <x v="0"/>
    <s v="Loi Je Lisu Camp"/>
    <s v="Momauk"/>
    <n v="204"/>
    <n v="578"/>
    <n v="0"/>
    <n v="0"/>
    <n v="0"/>
    <n v="408"/>
    <n v="204"/>
    <n v="204"/>
    <s v=""/>
    <n v="0"/>
  </r>
  <r>
    <s v="MMR001CMP073"/>
    <x v="0"/>
    <s v="Seng Ja "/>
    <s v="Momauk"/>
    <n v="43"/>
    <n v="269"/>
    <n v="0"/>
    <n v="0"/>
    <n v="0"/>
    <n v="86"/>
    <n v="43"/>
    <n v="43"/>
    <s v=""/>
    <n v="0"/>
  </r>
  <r>
    <s v="MMR001CMP072"/>
    <x v="0"/>
    <s v="Nyaung Na Pin "/>
    <s v="Momauk"/>
    <n v="48"/>
    <n v="293"/>
    <n v="0"/>
    <n v="0"/>
    <n v="0"/>
    <n v="96"/>
    <n v="48"/>
    <n v="48"/>
    <s v=""/>
    <n v="0"/>
  </r>
  <r>
    <s v="MMR001CMP221"/>
    <x v="0"/>
    <s v="Machanbaw - KBC"/>
    <s v="Machanbaw"/>
    <n v="0"/>
    <n v="0"/>
    <n v="0"/>
    <n v="0"/>
    <n v="0"/>
    <n v="0"/>
    <n v="0"/>
    <n v="0"/>
    <s v=""/>
    <n v="0"/>
  </r>
  <r>
    <s v="MMR001CMP227"/>
    <x v="0"/>
    <s v="Inn Lel Yan - Host Families"/>
    <s v="Puta-O"/>
    <n v="10"/>
    <n v="56"/>
    <n v="0"/>
    <n v="0"/>
    <n v="0"/>
    <n v="20"/>
    <n v="10"/>
    <n v="10"/>
    <s v=""/>
    <n v="0"/>
  </r>
  <r>
    <s v="MMR001CMP220"/>
    <x v="0"/>
    <s v="Naung Khaing"/>
    <s v="Puta-O"/>
    <n v="0"/>
    <n v="0"/>
    <n v="0"/>
    <n v="0"/>
    <n v="0"/>
    <n v="0"/>
    <n v="0"/>
    <n v="0"/>
    <s v=""/>
    <n v="0"/>
  </r>
  <r>
    <s v="MMR001CMP075"/>
    <x v="0"/>
    <s v="Tote Tan Ward"/>
    <s v="Puta-O"/>
    <n v="14"/>
    <n v="75"/>
    <n v="0"/>
    <n v="0"/>
    <n v="0"/>
    <n v="28"/>
    <n v="14"/>
    <n v="14"/>
    <s v=""/>
    <n v="0"/>
  </r>
  <r>
    <s v="MMR015CMP015"/>
    <x v="0"/>
    <s v="Kone Khem Camp"/>
    <s v="Kutkai"/>
    <n v="0"/>
    <n v="0"/>
    <n v="0"/>
    <n v="0"/>
    <n v="0"/>
    <n v="0"/>
    <n v="0"/>
    <n v="0"/>
    <s v=""/>
    <n v="0"/>
  </r>
  <r>
    <s v="MMR015CMP016"/>
    <x v="0"/>
    <s v="Kutkai downtown (KBC Church)"/>
    <s v="Kutkai"/>
    <n v="56"/>
    <n v="265"/>
    <n v="0"/>
    <n v="0"/>
    <n v="0"/>
    <n v="112"/>
    <n v="56"/>
    <n v="56"/>
    <s v=""/>
    <n v="0"/>
  </r>
  <r>
    <s v="MMR015CMP017"/>
    <x v="0"/>
    <s v="Kutkai downtown (RC Church)"/>
    <s v="Kutkai"/>
    <n v="28"/>
    <n v="132"/>
    <n v="0"/>
    <n v="0"/>
    <n v="0"/>
    <n v="56"/>
    <n v="28"/>
    <n v="28"/>
    <s v=""/>
    <n v="0"/>
  </r>
  <r>
    <s v="MMR015CMP018"/>
    <x v="0"/>
    <s v="Mine Yu Lay village ( Old)"/>
    <s v="Kutkai"/>
    <n v="76"/>
    <n v="338"/>
    <n v="0"/>
    <n v="0"/>
    <n v="0"/>
    <n v="152"/>
    <n v="76"/>
    <n v="76"/>
    <s v=""/>
    <n v="0"/>
  </r>
  <r>
    <s v="MMR015CMP007"/>
    <x v="0"/>
    <s v="Nam Hpak Ka Mare "/>
    <s v="Kutkai"/>
    <n v="57"/>
    <n v="267"/>
    <n v="0"/>
    <n v="0"/>
    <n v="0"/>
    <n v="114"/>
    <n v="57"/>
    <n v="57"/>
    <s v=""/>
    <n v="0"/>
  </r>
  <r>
    <s v="MMR015CMP020"/>
    <x v="0"/>
    <s v="Zup Aung Camp"/>
    <s v="Kutkai"/>
    <n v="201"/>
    <n v="1009"/>
    <n v="0"/>
    <n v="0"/>
    <n v="0"/>
    <n v="402"/>
    <n v="201"/>
    <n v="201"/>
    <s v=""/>
    <n v="0"/>
  </r>
  <r>
    <s v="MMR015CMP209"/>
    <x v="0"/>
    <s v="Mandung - RC"/>
    <s v="Manton"/>
    <n v="29"/>
    <n v="171"/>
    <n v="0"/>
    <n v="0"/>
    <n v="0"/>
    <n v="58"/>
    <n v="29"/>
    <n v="29"/>
    <s v=""/>
    <n v="0"/>
  </r>
  <r>
    <s v="MMR015CMP010"/>
    <x v="0"/>
    <s v="Howa"/>
    <s v="Muse"/>
    <n v="0"/>
    <n v="0"/>
    <n v="0"/>
    <n v="0"/>
    <n v="0"/>
    <n v="0"/>
    <n v="0"/>
    <n v="0"/>
    <s v=""/>
    <n v="0"/>
  </r>
  <r>
    <s v="MMR015CMP011"/>
    <x v="0"/>
    <s v="Nam Hkyet"/>
    <s v="Muse"/>
    <n v="0"/>
    <n v="0"/>
    <n v="0"/>
    <n v="0"/>
    <n v="0"/>
    <n v="0"/>
    <n v="0"/>
    <n v="0"/>
    <s v=""/>
    <n v="0"/>
  </r>
  <r>
    <s v="MMR015CMP004"/>
    <x v="0"/>
    <s v="Nam Hkam - Nay Win Ni (Palawng)"/>
    <s v="Namhkan"/>
    <n v="75"/>
    <n v="369"/>
    <n v="0"/>
    <n v="0"/>
    <n v="0"/>
    <n v="150"/>
    <n v="75"/>
    <n v="75"/>
    <s v=""/>
    <n v="0"/>
  </r>
  <r>
    <s v="MMR015CMP001"/>
    <x v="0"/>
    <s v="Nam Hkam (KBC Jaw Wang)"/>
    <s v="Namhkan"/>
    <n v="68"/>
    <n v="345"/>
    <n v="0"/>
    <n v="0"/>
    <n v="0"/>
    <n v="136"/>
    <n v="68"/>
    <n v="68"/>
    <s v=""/>
    <n v="0"/>
  </r>
  <r>
    <s v="MMR015CMP003"/>
    <x v="0"/>
    <s v="Nam Hkam Catholic Church ( St. Thomas I)"/>
    <s v="Namhkan"/>
    <n v="42"/>
    <n v="218"/>
    <n v="0"/>
    <n v="0"/>
    <n v="0"/>
    <n v="84"/>
    <n v="42"/>
    <n v="42"/>
    <s v=""/>
    <n v="0"/>
  </r>
  <r>
    <s v="MMR015CMP014"/>
    <x v="0"/>
    <s v="Nam Tu Baptist"/>
    <s v="Namtu"/>
    <n v="41"/>
    <n v="180"/>
    <n v="0"/>
    <n v="0"/>
    <n v="0"/>
    <n v="82"/>
    <n v="41"/>
    <n v="41"/>
    <s v=""/>
    <n v="0"/>
  </r>
  <r>
    <s v="MMR015CMP210"/>
    <x v="0"/>
    <s v="Nam Tu RC"/>
    <s v="Namtu"/>
    <n v="118"/>
    <n v="520"/>
    <n v="0"/>
    <n v="0"/>
    <n v="0"/>
    <n v="236"/>
    <n v="118"/>
    <n v="118"/>
    <s v=""/>
    <n v="0"/>
  </r>
  <r>
    <s v="MMR001CMP179"/>
    <x v="0"/>
    <s v="5 Ward Baptist Church(lon Khin)"/>
    <s v="Hpakant"/>
    <n v="0"/>
    <n v="0"/>
    <n v="0"/>
    <n v="0"/>
    <n v="0"/>
    <n v="0"/>
    <n v="0"/>
    <n v="0"/>
    <s v=""/>
    <n v="0"/>
  </r>
  <r>
    <s v="MMR001CMP168"/>
    <x v="0"/>
    <s v="5 Ward RC Church(lon Khin)"/>
    <s v="Hpakant"/>
    <n v="68"/>
    <n v="335"/>
    <n v="0"/>
    <n v="0"/>
    <n v="0"/>
    <n v="136"/>
    <n v="68"/>
    <n v="68"/>
    <s v=""/>
    <n v="0"/>
  </r>
  <r>
    <s v="MMR001CMP050"/>
    <x v="0"/>
    <s v="AD-2000 Tharthana Compound"/>
    <s v="Bhamo"/>
    <n v="236"/>
    <n v="1171"/>
    <n v="0"/>
    <n v="0"/>
    <n v="0"/>
    <n v="472"/>
    <n v="236"/>
    <n v="236"/>
    <s v=""/>
    <n v="0"/>
  </r>
  <r>
    <s v="MMR001CMP176"/>
    <x v="0"/>
    <s v="AG Church, Hmaw Si Sa"/>
    <s v="Hpakant"/>
    <n v="70"/>
    <n v="367"/>
    <n v="0"/>
    <n v="0"/>
    <n v="0"/>
    <n v="140"/>
    <n v="70"/>
    <n v="70"/>
    <s v=""/>
    <n v="0"/>
  </r>
  <r>
    <s v="MMR001CMP190"/>
    <x v="0"/>
    <s v="AG Church, Maw Wan"/>
    <s v="Hpakant"/>
    <n v="14"/>
    <n v="82"/>
    <n v="0"/>
    <n v="0"/>
    <n v="0"/>
    <n v="28"/>
    <n v="14"/>
    <n v="14"/>
    <s v=""/>
    <n v="0"/>
  </r>
  <r>
    <s v="MMR001CMP194"/>
    <x v="0"/>
    <s v="Aung Thar Church"/>
    <s v="Bhamo"/>
    <n v="12"/>
    <n v="52"/>
    <n v="0"/>
    <n v="0"/>
    <n v="0"/>
    <n v="24"/>
    <n v="12"/>
    <n v="12"/>
    <s v=""/>
    <n v="0"/>
  </r>
  <r>
    <s v="MMR001CMP216"/>
    <x v="0"/>
    <s v="Ban Hkung Yang"/>
    <s v="Mansi"/>
    <n v="0"/>
    <n v="0"/>
    <n v="0"/>
    <n v="0"/>
    <n v="0"/>
    <n v="0"/>
    <n v="0"/>
    <n v="0"/>
    <s v=""/>
    <n v="0"/>
  </r>
  <r>
    <s v="MMR001CMP169"/>
    <x v="0"/>
    <s v="Baptist Church, Hmaw Si Sar(Lon Khin)"/>
    <s v="Hpakant"/>
    <n v="36"/>
    <n v="227"/>
    <n v="0"/>
    <n v="0"/>
    <n v="0"/>
    <n v="72"/>
    <n v="36"/>
    <n v="36"/>
    <s v=""/>
    <n v="0"/>
  </r>
  <r>
    <s v="MMR001CMP188"/>
    <x v="0"/>
    <s v="Baptist Church, Naung Hmee VT"/>
    <s v="Hpakant"/>
    <n v="0"/>
    <n v="0"/>
    <n v="0"/>
    <n v="0"/>
    <n v="0"/>
    <n v="0"/>
    <n v="0"/>
    <n v="0"/>
    <s v=""/>
    <n v="0"/>
  </r>
  <r>
    <s v="MMR001CMP109"/>
    <x v="0"/>
    <s v="Chin Church, Seik Mu"/>
    <s v="Hpakant"/>
    <n v="6"/>
    <n v="31"/>
    <n v="0"/>
    <n v="0"/>
    <n v="0"/>
    <n v="12"/>
    <n v="6"/>
    <n v="6"/>
    <s v=""/>
    <n v="0"/>
  </r>
  <r>
    <s v="MMR001CMP174"/>
    <x v="0"/>
    <s v="Dhama Rakhita, Nyein Chan Tar Yar Ward(Lon Khin)"/>
    <s v="Hpakant"/>
    <n v="70"/>
    <n v="376"/>
    <n v="0"/>
    <n v="0"/>
    <n v="0"/>
    <n v="140"/>
    <n v="70"/>
    <n v="70"/>
    <s v=""/>
    <n v="0"/>
  </r>
  <r>
    <s v="MMR001CMP012"/>
    <x v="0"/>
    <e v="#N/A"/>
    <e v="#N/A"/>
    <e v="#N/A"/>
    <e v="#N/A"/>
    <n v="0"/>
    <n v="0"/>
    <n v="0"/>
    <e v="#N/A"/>
    <e v="#N/A"/>
    <e v="#N/A"/>
    <s v=""/>
    <n v="0"/>
  </r>
  <r>
    <s v="MMR001CMP010"/>
    <x v="0"/>
    <s v="Du Kahtawng Baptist"/>
    <s v="Myitkyina"/>
    <n v="42"/>
    <n v="184"/>
    <n v="0"/>
    <n v="0"/>
    <n v="0"/>
    <n v="84"/>
    <n v="42"/>
    <n v="42"/>
    <s v=""/>
    <n v="0"/>
  </r>
  <r>
    <s v="MMR001CMP011"/>
    <x v="0"/>
    <e v="#N/A"/>
    <e v="#N/A"/>
    <e v="#N/A"/>
    <e v="#N/A"/>
    <n v="0"/>
    <n v="0"/>
    <n v="0"/>
    <e v="#N/A"/>
    <e v="#N/A"/>
    <e v="#N/A"/>
    <s v=""/>
    <n v="0"/>
  </r>
  <r>
    <s v="MMR001CMP028"/>
    <x v="0"/>
    <s v="Hkat Cho "/>
    <s v="Waingmaw"/>
    <n v="103"/>
    <n v="504"/>
    <n v="0"/>
    <n v="0"/>
    <n v="0"/>
    <n v="206"/>
    <n v="103"/>
    <n v="103"/>
    <s v=""/>
    <n v="0"/>
  </r>
  <r>
    <s v="MMR001CMP148"/>
    <x v="0"/>
    <s v="Hlaing Naung Baptist"/>
    <s v="Hpakant"/>
    <n v="46"/>
    <n v="190"/>
    <n v="0"/>
    <n v="0"/>
    <n v="0"/>
    <n v="92"/>
    <n v="46"/>
    <n v="46"/>
    <s v=""/>
    <n v="0"/>
  </r>
  <r>
    <s v="MMR001CMP191"/>
    <x v="0"/>
    <s v="Hmaw Wan, Anglican"/>
    <s v="Hpakant"/>
    <n v="2"/>
    <n v="14"/>
    <n v="0"/>
    <n v="0"/>
    <n v="0"/>
    <n v="4"/>
    <n v="2"/>
    <n v="2"/>
    <s v=""/>
    <n v="0"/>
  </r>
  <r>
    <s v="MMR001CMP163"/>
    <x v="0"/>
    <s v="Host Families"/>
    <s v="Bhamo"/>
    <n v="190"/>
    <n v="928"/>
    <n v="0"/>
    <n v="0"/>
    <n v="0"/>
    <n v="380"/>
    <n v="190"/>
    <n v="190"/>
    <s v=""/>
    <n v="0"/>
  </r>
  <r>
    <s v="MMR001CMP196"/>
    <x v="0"/>
    <s v="Host Families"/>
    <s v="Mansi"/>
    <n v="80"/>
    <n v="290"/>
    <n v="0"/>
    <n v="0"/>
    <n v="0"/>
    <n v="160"/>
    <n v="80"/>
    <n v="80"/>
    <s v=""/>
    <n v="0"/>
  </r>
  <r>
    <s v="MMR001CMP197"/>
    <x v="0"/>
    <s v="Host Families"/>
    <s v="Momauk"/>
    <n v="223"/>
    <n v="1067"/>
    <n v="0"/>
    <n v="0"/>
    <n v="0"/>
    <n v="446"/>
    <n v="223"/>
    <n v="223"/>
    <s v=""/>
    <n v="0"/>
  </r>
  <r>
    <s v="MMR001CMP199"/>
    <x v="0"/>
    <s v="Host Families"/>
    <s v="Shwegu"/>
    <n v="0"/>
    <n v="0"/>
    <n v="0"/>
    <n v="0"/>
    <n v="0"/>
    <n v="0"/>
    <n v="0"/>
    <n v="0"/>
    <s v=""/>
    <n v="0"/>
  </r>
  <r>
    <s v="MMR015CMP022"/>
    <x v="0"/>
    <s v="Hpai Kawng Mare"/>
    <s v="Muse"/>
    <n v="32"/>
    <n v="187"/>
    <n v="0"/>
    <n v="0"/>
    <n v="0"/>
    <n v="64"/>
    <n v="32"/>
    <n v="32"/>
    <s v=""/>
    <n v="0"/>
  </r>
  <r>
    <s v="MMR001CMP229"/>
    <x v="0"/>
    <s v="Hpakant Baptist Church, Nam Ma Hpit"/>
    <s v="Hpakant"/>
    <n v="104"/>
    <n v="510"/>
    <n v="0"/>
    <n v="0"/>
    <n v="0"/>
    <n v="208"/>
    <n v="104"/>
    <n v="104"/>
    <s v=""/>
    <n v="0"/>
  </r>
  <r>
    <s v="MMR001CMP052"/>
    <x v="0"/>
    <s v="Htoi San Church"/>
    <s v="Bhamo"/>
    <n v="41"/>
    <n v="230"/>
    <n v="0"/>
    <n v="0"/>
    <n v="0"/>
    <n v="82"/>
    <n v="41"/>
    <n v="41"/>
    <s v=""/>
    <n v="0"/>
  </r>
  <r>
    <s v="MMR001CMP018"/>
    <x v="0"/>
    <s v="Jan Mai Kawng Baptist Church"/>
    <s v="Myitkyina"/>
    <n v="199"/>
    <n v="1118"/>
    <n v="0"/>
    <n v="0"/>
    <n v="0"/>
    <n v="398"/>
    <n v="199"/>
    <n v="199"/>
    <s v=""/>
    <n v="0"/>
  </r>
  <r>
    <s v="MMR001CMP019"/>
    <x v="0"/>
    <s v="Jan Mai Kawng Catholic Church"/>
    <s v="Myitkyina"/>
    <n v="120"/>
    <n v="579"/>
    <n v="0"/>
    <n v="0"/>
    <n v="0"/>
    <n v="240"/>
    <n v="120"/>
    <n v="120"/>
    <s v=""/>
    <n v="0"/>
  </r>
  <r>
    <s v="MMR001CMP200"/>
    <x v="0"/>
    <s v="Khun Sint Village"/>
    <s v="Momauk"/>
    <n v="3"/>
    <n v="18"/>
    <n v="0"/>
    <n v="0"/>
    <n v="0"/>
    <n v="6"/>
    <n v="3"/>
    <n v="3"/>
    <s v=""/>
    <n v="0"/>
  </r>
  <r>
    <s v="MMR001CMP013"/>
    <x v="0"/>
    <s v="Kyun Pin Thar Baptist Church"/>
    <s v="Myitkyina"/>
    <n v="45"/>
    <n v="209"/>
    <n v="0"/>
    <n v="0"/>
    <n v="0"/>
    <n v="90"/>
    <n v="45"/>
    <n v="45"/>
    <s v=""/>
    <n v="0"/>
  </r>
  <r>
    <s v="MMR001CMP078"/>
    <x v="0"/>
    <s v="Kyun Taw Baptist Church "/>
    <s v="Mogaung"/>
    <n v="13"/>
    <n v="70"/>
    <n v="0"/>
    <n v="0"/>
    <n v="0"/>
    <n v="26"/>
    <n v="13"/>
    <n v="13"/>
    <s v=""/>
    <n v="0"/>
  </r>
  <r>
    <s v="MMR001CMP074"/>
    <x v="0"/>
    <s v="La Ja"/>
    <s v="Khaunglanhpu"/>
    <n v="0"/>
    <n v="0"/>
    <n v="0"/>
    <n v="0"/>
    <n v="0"/>
    <n v="0"/>
    <n v="0"/>
    <n v="0"/>
    <s v=""/>
    <n v="0"/>
  </r>
  <r>
    <s v="MMR001CMP202"/>
    <x v="0"/>
    <s v="Lagatyan "/>
    <s v="Mansi"/>
    <n v="0"/>
    <n v="0"/>
    <n v="0"/>
    <n v="0"/>
    <n v="0"/>
    <n v="0"/>
    <n v="0"/>
    <n v="0"/>
    <s v=""/>
    <n v="0"/>
  </r>
  <r>
    <s v="MMR001CMP149"/>
    <x v="0"/>
    <e v="#N/A"/>
    <e v="#N/A"/>
    <e v="#N/A"/>
    <e v="#N/A"/>
    <n v="0"/>
    <n v="0"/>
    <n v="0"/>
    <e v="#N/A"/>
    <e v="#N/A"/>
    <e v="#N/A"/>
    <s v=""/>
    <n v="0"/>
  </r>
  <r>
    <s v="MMR001CMP147"/>
    <x v="0"/>
    <s v="Lawk Awng Mare D. (Sinbo Area)"/>
    <s v="Myitkyina"/>
    <n v="375"/>
    <n v="1691"/>
    <n v="0"/>
    <n v="0"/>
    <n v="0"/>
    <n v="750"/>
    <n v="375"/>
    <n v="375"/>
    <s v=""/>
    <n v="0"/>
  </r>
  <r>
    <s v="MMR001CMP015"/>
    <x v="0"/>
    <s v="Le Kone Bethlehem Church"/>
    <s v="Myitkyina"/>
    <n v="105"/>
    <n v="559"/>
    <n v="0"/>
    <n v="0"/>
    <n v="0"/>
    <n v="210"/>
    <n v="105"/>
    <n v="105"/>
    <s v=""/>
    <n v="0"/>
  </r>
  <r>
    <s v="MMR001CMP014"/>
    <x v="0"/>
    <s v="Le Kone Ziun Baptist Church "/>
    <s v="Myitkyina"/>
    <n v="138"/>
    <n v="703"/>
    <n v="0"/>
    <n v="0"/>
    <n v="0"/>
    <n v="276"/>
    <n v="138"/>
    <n v="138"/>
    <s v=""/>
    <n v="0"/>
  </r>
  <r>
    <s v="MMR001CMP181"/>
    <x v="0"/>
    <s v="Lisu Baptist Church, Maw Shan Vil,. Seik Mu"/>
    <s v="Hpakant"/>
    <n v="18"/>
    <n v="102"/>
    <n v="0"/>
    <n v="0"/>
    <n v="0"/>
    <n v="36"/>
    <n v="18"/>
    <n v="18"/>
    <s v=""/>
    <n v="0"/>
  </r>
  <r>
    <s v="MMR001CMP167"/>
    <x v="0"/>
    <s v="Lisu Baptist Church, Maw Wan Ward"/>
    <s v="Hpakant"/>
    <n v="12"/>
    <n v="60"/>
    <n v="0"/>
    <n v="0"/>
    <n v="0"/>
    <n v="24"/>
    <n v="12"/>
    <n v="12"/>
    <s v=""/>
    <n v="0"/>
  </r>
  <r>
    <s v="MMR001CMP049"/>
    <x v="0"/>
    <s v="Lisu Boarding-House"/>
    <s v="Bhamo"/>
    <n v="129"/>
    <n v="759"/>
    <n v="0"/>
    <n v="0"/>
    <n v="0"/>
    <n v="258"/>
    <n v="129"/>
    <n v="129"/>
    <s v=""/>
    <n v="0"/>
  </r>
  <r>
    <s v="MMR001CMP027"/>
    <x v="0"/>
    <s v="Mading Baptist Church"/>
    <s v="Waingmaw"/>
    <n v="30"/>
    <n v="176"/>
    <n v="0"/>
    <n v="0"/>
    <n v="0"/>
    <n v="60"/>
    <n v="30"/>
    <n v="30"/>
    <s v=""/>
    <n v="0"/>
  </r>
  <r>
    <s v="MMR001CMP064"/>
    <x v="0"/>
    <s v="Mai Khat "/>
    <s v="Momauk"/>
    <n v="0"/>
    <n v="0"/>
    <n v="0"/>
    <n v="0"/>
    <n v="0"/>
    <n v="0"/>
    <n v="0"/>
    <n v="0"/>
    <s v=""/>
    <n v="0"/>
  </r>
  <r>
    <s v="MMR001CMP031"/>
    <x v="0"/>
    <s v="Maina AG Church"/>
    <s v="Waingmaw"/>
    <n v="354"/>
    <n v="2060"/>
    <n v="0"/>
    <n v="0"/>
    <n v="0"/>
    <n v="708"/>
    <n v="354"/>
    <n v="354"/>
    <s v=""/>
    <n v="0"/>
  </r>
  <r>
    <s v="MMR001CMP029"/>
    <x v="0"/>
    <s v="Maina Catholic Church (St. Joseph)"/>
    <s v="Waingmaw"/>
    <n v="350"/>
    <n v="1837"/>
    <n v="0"/>
    <n v="0"/>
    <n v="0"/>
    <n v="700"/>
    <n v="350"/>
    <n v="350"/>
    <s v=""/>
    <n v="0"/>
  </r>
  <r>
    <s v="MMR001CMP040"/>
    <x v="0"/>
    <s v="Maina KBC (Bawng Ring)"/>
    <s v="Waingmaw"/>
    <n v="529"/>
    <n v="2755"/>
    <n v="0"/>
    <n v="0"/>
    <n v="0"/>
    <n v="1058"/>
    <n v="529"/>
    <n v="529"/>
    <s v=""/>
    <n v="0"/>
  </r>
  <r>
    <s v="MMR001CMP039"/>
    <x v="0"/>
    <s v="Maina Lawang Baptist Church"/>
    <s v="Waingmaw"/>
    <n v="49"/>
    <n v="217"/>
    <n v="0"/>
    <n v="0"/>
    <n v="0"/>
    <n v="98"/>
    <n v="49"/>
    <n v="49"/>
    <s v=""/>
    <n v="0"/>
  </r>
  <r>
    <s v="MMR001CMP218"/>
    <x v="0"/>
    <s v="Maing Khaung"/>
    <s v="Mansi"/>
    <n v="433"/>
    <n v="2154"/>
    <n v="0"/>
    <n v="0"/>
    <n v="0"/>
    <n v="866"/>
    <n v="433"/>
    <n v="433"/>
    <s v=""/>
    <n v="0"/>
  </r>
  <r>
    <s v="MMR001CMP223"/>
    <x v="0"/>
    <s v="Maing Khaung Catholic Church"/>
    <s v="Mansi"/>
    <n v="170"/>
    <n v="810"/>
    <n v="0"/>
    <n v="0"/>
    <n v="0"/>
    <n v="340"/>
    <n v="170"/>
    <n v="170"/>
    <s v=""/>
    <n v="0"/>
  </r>
  <r>
    <s v="MMR001CMP016"/>
    <x v="0"/>
    <s v="Maliyang Baptist Church"/>
    <s v="Myitkyina"/>
    <n v="61"/>
    <n v="304"/>
    <n v="0"/>
    <n v="0"/>
    <n v="0"/>
    <n v="122"/>
    <n v="61"/>
    <n v="61"/>
    <s v=""/>
    <n v="0"/>
  </r>
  <r>
    <s v="MMR001CMP062"/>
    <x v="0"/>
    <s v="Man Bung Catholic compound"/>
    <s v="Momauk"/>
    <n v="294"/>
    <n v="1326"/>
    <n v="0"/>
    <n v="0"/>
    <n v="0"/>
    <n v="588"/>
    <n v="294"/>
    <n v="294"/>
    <s v=""/>
    <n v="0"/>
  </r>
  <r>
    <s v="MMR001CMP008"/>
    <x v="0"/>
    <s v="Man Hkring Baptist Church"/>
    <s v="Myitkyina"/>
    <n v="103"/>
    <n v="586"/>
    <n v="0"/>
    <n v="0"/>
    <n v="0"/>
    <n v="206"/>
    <n v="103"/>
    <n v="103"/>
    <s v=""/>
    <n v="0"/>
  </r>
  <r>
    <s v="MMR001CMP063"/>
    <x v="0"/>
    <s v="Man Nawng "/>
    <s v="Momauk"/>
    <n v="0"/>
    <n v="0"/>
    <n v="0"/>
    <n v="0"/>
    <n v="0"/>
    <n v="0"/>
    <n v="0"/>
    <n v="0"/>
    <s v=""/>
    <n v="0"/>
  </r>
  <r>
    <s v="MMR001CMP198"/>
    <x v="0"/>
    <s v="Man Ting"/>
    <s v="Momauk"/>
    <n v="0"/>
    <n v="0"/>
    <n v="0"/>
    <n v="0"/>
    <n v="0"/>
    <n v="0"/>
    <n v="0"/>
    <n v="0"/>
    <s v=""/>
    <n v="0"/>
  </r>
  <r>
    <s v="MMR001CMP133"/>
    <x v="0"/>
    <s v="Man Wing Baptist Church"/>
    <s v="Mansi"/>
    <n v="127"/>
    <n v="649"/>
    <n v="0"/>
    <n v="0"/>
    <n v="0"/>
    <n v="254"/>
    <n v="127"/>
    <n v="127"/>
    <s v=""/>
    <n v="0"/>
  </r>
  <r>
    <s v="MMR001CMP132"/>
    <x v="0"/>
    <s v="Man Wing Catholic Church"/>
    <s v="Mansi"/>
    <n v="444"/>
    <n v="2314"/>
    <n v="0"/>
    <n v="0"/>
    <n v="0"/>
    <n v="888"/>
    <n v="444"/>
    <n v="444"/>
    <s v=""/>
    <n v="0"/>
  </r>
  <r>
    <s v="MMR001CMP228"/>
    <x v="0"/>
    <s v="Man Wing Catholic Church II"/>
    <s v="Mansi"/>
    <n v="156"/>
    <n v="712"/>
    <n v="0"/>
    <n v="0"/>
    <n v="0"/>
    <n v="312"/>
    <n v="156"/>
    <n v="156"/>
    <s v=""/>
    <n v="0"/>
  </r>
  <r>
    <s v="MMR001CMP134"/>
    <x v="0"/>
    <s v="Man Wing Host Families"/>
    <s v="Mansi"/>
    <n v="175"/>
    <n v="834"/>
    <n v="0"/>
    <n v="0"/>
    <n v="0"/>
    <n v="350"/>
    <n v="175"/>
    <n v="175"/>
    <s v=""/>
    <n v="0"/>
  </r>
  <r>
    <s v="MMR001CMP058"/>
    <x v="0"/>
    <s v="Mandalay Monestry"/>
    <s v="Momauk"/>
    <n v="0"/>
    <n v="0"/>
    <n v="0"/>
    <n v="0"/>
    <n v="0"/>
    <n v="0"/>
    <n v="0"/>
    <n v="0"/>
    <s v=""/>
    <n v="0"/>
  </r>
  <r>
    <s v="MMR001CMP077"/>
    <x v="0"/>
    <s v="Ma Hawng Baptist Church"/>
    <s v="Mogaung"/>
    <n v="16"/>
    <n v="79"/>
    <n v="0"/>
    <n v="0"/>
    <n v="0"/>
    <n v="32"/>
    <n v="16"/>
    <n v="16"/>
    <s v=""/>
    <n v="0"/>
  </r>
  <r>
    <s v="MMR001CMP066"/>
    <x v="0"/>
    <s v="Mansi Baptist Church"/>
    <s v="Mansi"/>
    <n v="185"/>
    <n v="830"/>
    <n v="0"/>
    <n v="0"/>
    <n v="0"/>
    <n v="370"/>
    <n v="185"/>
    <n v="185"/>
    <s v=""/>
    <n v="0"/>
  </r>
  <r>
    <s v="MMR001CMP020"/>
    <x v="0"/>
    <s v="Maw Hpawng Hka Nan Baptist Church"/>
    <s v="Myitkyina"/>
    <n v="23"/>
    <n v="94"/>
    <n v="0"/>
    <n v="0"/>
    <n v="0"/>
    <n v="46"/>
    <n v="23"/>
    <n v="23"/>
    <s v=""/>
    <n v="0"/>
  </r>
  <r>
    <s v="MMR001CMP021"/>
    <x v="0"/>
    <s v="Maw Hpawng Lhaovo Baptist Church"/>
    <s v="Myitkyina"/>
    <n v="21"/>
    <n v="131"/>
    <n v="0"/>
    <n v="0"/>
    <n v="0"/>
    <n v="42"/>
    <n v="21"/>
    <n v="21"/>
    <s v=""/>
    <n v="0"/>
  </r>
  <r>
    <s v="MMR001CMP091"/>
    <x v="0"/>
    <s v="Maw Wan, Mu-yin Baptist Church"/>
    <s v="Hpakant"/>
    <n v="4"/>
    <n v="15"/>
    <n v="0"/>
    <n v="0"/>
    <n v="0"/>
    <n v="8"/>
    <n v="4"/>
    <n v="4"/>
    <s v=""/>
    <n v="0"/>
  </r>
  <r>
    <s v="MMR001CMP056"/>
    <x v="0"/>
    <s v="Momauk Baptist Church"/>
    <s v="Momauk"/>
    <n v="453"/>
    <n v="2054"/>
    <n v="0"/>
    <n v="0"/>
    <n v="0"/>
    <n v="906"/>
    <n v="453"/>
    <n v="453"/>
    <s v=""/>
    <n v="0"/>
  </r>
  <r>
    <s v="MMR001CMP057"/>
    <x v="0"/>
    <s v="Momauk Catholic Church (St. Patrick)"/>
    <s v="Momauk"/>
    <n v="0"/>
    <n v="0"/>
    <n v="0"/>
    <n v="0"/>
    <n v="0"/>
    <n v="0"/>
    <n v="0"/>
    <n v="0"/>
    <s v=""/>
    <n v="0"/>
  </r>
  <r>
    <s v="MMR015CMP213"/>
    <x v="0"/>
    <s v="Muse Baptist Church"/>
    <s v="Muse"/>
    <n v="41"/>
    <n v="190"/>
    <n v="0"/>
    <n v="0"/>
    <n v="0"/>
    <n v="82"/>
    <n v="41"/>
    <n v="41"/>
    <s v=""/>
    <n v="0"/>
  </r>
  <r>
    <s v="MMR015CMP216"/>
    <x v="0"/>
    <s v="Muse Catholic Church"/>
    <s v="Muse"/>
    <n v="18"/>
    <n v="80"/>
    <n v="0"/>
    <n v="0"/>
    <n v="0"/>
    <n v="36"/>
    <n v="18"/>
    <n v="18"/>
    <s v=""/>
    <n v="0"/>
  </r>
  <r>
    <s v="MMR001CMP051"/>
    <x v="0"/>
    <s v="Mu-yin Baptist Church"/>
    <s v="Bhamo"/>
    <n v="13"/>
    <n v="57"/>
    <n v="0"/>
    <n v="0"/>
    <n v="0"/>
    <n v="26"/>
    <n v="13"/>
    <n v="13"/>
    <s v=""/>
    <n v="0"/>
  </r>
  <r>
    <s v="MMR001CMP017"/>
    <x v="0"/>
    <s v="Myay Myint Baptist Church"/>
    <s v="Myitkyina"/>
    <n v="0"/>
    <n v="0"/>
    <n v="0"/>
    <n v="0"/>
    <n v="0"/>
    <n v="0"/>
    <n v="0"/>
    <n v="0"/>
    <s v=""/>
    <n v="0"/>
  </r>
  <r>
    <s v="MMR001CMP061"/>
    <x v="0"/>
    <s v="Myo Thit "/>
    <s v="Momauk"/>
    <n v="47"/>
    <n v="153"/>
    <n v="0"/>
    <n v="0"/>
    <n v="0"/>
    <n v="94"/>
    <n v="47"/>
    <n v="47"/>
    <s v=""/>
    <n v="0"/>
  </r>
  <r>
    <s v="MMR015CMP214"/>
    <x v="0"/>
    <s v="Nam Hkam (KBC Jaw Wang) II"/>
    <s v="Namhkan"/>
    <n v="37"/>
    <n v="193"/>
    <n v="0"/>
    <n v="0"/>
    <n v="0"/>
    <n v="74"/>
    <n v="37"/>
    <n v="37"/>
    <s v=""/>
    <n v="0"/>
  </r>
  <r>
    <s v="MMR001CMP192"/>
    <x v="0"/>
    <s v="Nam Ma Phyit, COC"/>
    <s v="Hpakant"/>
    <n v="11"/>
    <n v="46"/>
    <n v="0"/>
    <n v="0"/>
    <n v="0"/>
    <n v="22"/>
    <n v="11"/>
    <n v="11"/>
    <s v=""/>
    <n v="0"/>
  </r>
  <r>
    <s v="MMR015CMP215"/>
    <x v="0"/>
    <s v="Namhkan - Pang Long KBC"/>
    <s v="Namhkan"/>
    <n v="116"/>
    <n v="557"/>
    <n v="0"/>
    <n v="0"/>
    <n v="0"/>
    <n v="232"/>
    <n v="116"/>
    <n v="116"/>
    <s v=""/>
    <n v="0"/>
  </r>
  <r>
    <s v="MMR001CMP024"/>
    <x v="0"/>
    <s v="Nan Kway St. John Catholic Church"/>
    <s v="Myitkyina"/>
    <n v="59"/>
    <n v="309"/>
    <n v="0"/>
    <n v="0"/>
    <n v="0"/>
    <n v="118"/>
    <n v="59"/>
    <n v="59"/>
    <s v=""/>
    <n v="0"/>
  </r>
  <r>
    <s v="MMR001CMP054"/>
    <x v="0"/>
    <s v="Nant Hlaing Church"/>
    <s v="Bhamo"/>
    <n v="15"/>
    <n v="68"/>
    <n v="0"/>
    <n v="0"/>
    <n v="0"/>
    <n v="30"/>
    <n v="15"/>
    <n v="15"/>
    <s v=""/>
    <n v="0"/>
  </r>
  <r>
    <s v="MMR001CMP103"/>
    <x v="0"/>
    <s v="Nant Ma Hpit Catholic Church"/>
    <s v="Hpakant"/>
    <n v="50"/>
    <n v="237"/>
    <n v="0"/>
    <n v="0"/>
    <n v="0"/>
    <n v="100"/>
    <n v="50"/>
    <n v="50"/>
    <s v=""/>
    <n v="0"/>
  </r>
  <r>
    <s v="MMR001CMP081"/>
    <x v="0"/>
    <s v="Nant Mun"/>
    <s v="Mohnyin"/>
    <n v="0"/>
    <n v="0"/>
    <n v="0"/>
    <n v="0"/>
    <n v="0"/>
    <n v="0"/>
    <n v="0"/>
    <n v="0"/>
    <s v=""/>
    <n v="0"/>
  </r>
  <r>
    <s v="MMR015CMP207"/>
    <x v="0"/>
    <s v="Narte"/>
    <s v="Hseni"/>
    <n v="67"/>
    <n v="392"/>
    <n v="0"/>
    <n v="0"/>
    <n v="0"/>
    <n v="134"/>
    <n v="67"/>
    <n v="67"/>
    <s v=""/>
    <n v="0"/>
  </r>
  <r>
    <s v="MMR001CMP079"/>
    <x v="0"/>
    <s v="Nat Gyi Kone Baptist Church "/>
    <s v="Mogaung"/>
    <n v="10"/>
    <n v="42"/>
    <n v="0"/>
    <n v="0"/>
    <n v="0"/>
    <n v="20"/>
    <n v="10"/>
    <n v="10"/>
    <s v=""/>
    <n v="0"/>
  </r>
  <r>
    <s v="MMR001CMP033"/>
    <x v="0"/>
    <s v="Nawng Hee Village"/>
    <s v="Waingmaw"/>
    <n v="19"/>
    <n v="86"/>
    <n v="0"/>
    <n v="0"/>
    <n v="0"/>
    <n v="38"/>
    <n v="19"/>
    <n v="19"/>
    <s v=""/>
    <n v="0"/>
  </r>
  <r>
    <s v="MMR001CMP152"/>
    <x v="0"/>
    <s v="Nawng Ing (Indawgyi) Baptist Church  "/>
    <s v="Mohnyin"/>
    <n v="33"/>
    <n v="160"/>
    <n v="0"/>
    <n v="0"/>
    <n v="0"/>
    <n v="66"/>
    <n v="33"/>
    <n v="33"/>
    <s v=""/>
    <n v="0"/>
  </r>
  <r>
    <s v="MMR001CMP059"/>
    <x v="0"/>
    <s v="Ni Thaw Ka Monestry"/>
    <s v="Momauk"/>
    <n v="0"/>
    <n v="0"/>
    <n v="0"/>
    <n v="0"/>
    <n v="0"/>
    <n v="0"/>
    <n v="0"/>
    <n v="0"/>
    <s v=""/>
    <n v="0"/>
  </r>
  <r>
    <s v="MMR001CMP002"/>
    <x v="0"/>
    <s v="Njang Dung Baptist Church "/>
    <s v="Myitkyina"/>
    <n v="68"/>
    <n v="298"/>
    <n v="0"/>
    <n v="0"/>
    <n v="0"/>
    <n v="136"/>
    <n v="68"/>
    <n v="68"/>
    <s v=""/>
    <n v="0"/>
  </r>
  <r>
    <s v="MMR001CMP162"/>
    <x v="0"/>
    <s v="Pa Dauk Myaing(Pa La Na)"/>
    <s v="Myitkyina"/>
    <n v="137"/>
    <n v="771"/>
    <n v="0"/>
    <n v="0"/>
    <n v="0"/>
    <n v="274"/>
    <n v="137"/>
    <n v="137"/>
    <s v=""/>
    <n v="0"/>
  </r>
  <r>
    <s v="MMR001CMP193"/>
    <x v="0"/>
    <s v="Phan Khar Kone"/>
    <s v="Bhamo"/>
    <n v="145"/>
    <n v="765"/>
    <n v="0"/>
    <n v="0"/>
    <n v="0"/>
    <n v="290"/>
    <n v="145"/>
    <n v="145"/>
    <s v=""/>
    <n v="0"/>
  </r>
  <r>
    <s v="MMR001CMP065"/>
    <x v="0"/>
    <s v="Phar Kay/Nant Waing "/>
    <s v="Momauk"/>
    <n v="0"/>
    <n v="0"/>
    <n v="0"/>
    <n v="0"/>
    <n v="0"/>
    <n v="0"/>
    <n v="0"/>
    <n v="0"/>
    <s v=""/>
    <n v="0"/>
  </r>
  <r>
    <s v="MMR001CMP032"/>
    <x v="0"/>
    <s v="Qtr. 2 Lhaovo Baptist Church"/>
    <s v="Waingmaw"/>
    <n v="130"/>
    <n v="542"/>
    <n v="0"/>
    <n v="0"/>
    <n v="0"/>
    <n v="260"/>
    <n v="130"/>
    <n v="130"/>
    <s v=""/>
    <n v="0"/>
  </r>
  <r>
    <s v="MMR001CMP025"/>
    <x v="0"/>
    <s v="Qtr. 2 Myoma Baptist Church"/>
    <s v="Waingmaw"/>
    <n v="66"/>
    <n v="338"/>
    <n v="0"/>
    <n v="0"/>
    <n v="0"/>
    <n v="132"/>
    <n v="66"/>
    <n v="66"/>
    <s v=""/>
    <n v="0"/>
  </r>
  <r>
    <s v="MMR001CMP030"/>
    <x v="0"/>
    <s v="Qtr. 3 Mu-yin  Baptist Church"/>
    <s v="Waingmaw"/>
    <n v="34"/>
    <n v="189"/>
    <n v="0"/>
    <n v="0"/>
    <n v="0"/>
    <n v="68"/>
    <n v="34"/>
    <n v="34"/>
    <s v=""/>
    <n v="0"/>
  </r>
  <r>
    <s v="MMR001CMP026"/>
    <x v="0"/>
    <s v="Qtr. 4 Monestry (Thargaya Thayett Taw)"/>
    <s v="Waingmaw"/>
    <n v="92"/>
    <n v="505"/>
    <n v="0"/>
    <n v="0"/>
    <n v="0"/>
    <n v="184"/>
    <n v="92"/>
    <n v="92"/>
    <s v=""/>
    <n v="0"/>
  </r>
  <r>
    <s v="MMR001CMP182"/>
    <x v="0"/>
    <s v="Rawan Baptist Church, Maw Shan Vil., Seik Mu"/>
    <s v="Hpakant"/>
    <n v="10"/>
    <n v="38"/>
    <n v="0"/>
    <n v="0"/>
    <n v="0"/>
    <n v="20"/>
    <n v="10"/>
    <n v="10"/>
    <s v=""/>
    <n v="0"/>
  </r>
  <r>
    <s v="MMR001CMP047"/>
    <x v="0"/>
    <s v="Robert Church"/>
    <s v="Bhamo"/>
    <n v="641"/>
    <n v="4010"/>
    <n v="0"/>
    <n v="0"/>
    <n v="0"/>
    <n v="1282"/>
    <n v="641"/>
    <n v="641"/>
    <s v=""/>
    <n v="0"/>
  </r>
  <r>
    <s v="MMR001CMP183"/>
    <x v="0"/>
    <s v="Sai Nai Baptish Church, Maw Shan Vil., Seki Mu"/>
    <s v="Hpakant"/>
    <n v="8"/>
    <n v="32"/>
    <n v="0"/>
    <n v="0"/>
    <n v="0"/>
    <n v="16"/>
    <n v="8"/>
    <n v="8"/>
    <s v=""/>
    <n v="0"/>
  </r>
  <r>
    <s v="MMR001CMP006"/>
    <x v="0"/>
    <s v="Shatapru Sut Ngai Tawng"/>
    <s v="Myitkyina"/>
    <n v="120"/>
    <n v="582"/>
    <n v="0"/>
    <n v="0"/>
    <n v="0"/>
    <n v="240"/>
    <n v="120"/>
    <n v="120"/>
    <s v=""/>
    <n v="0"/>
  </r>
  <r>
    <s v="MMR001CMP007"/>
    <x v="0"/>
    <s v="Shatapru Thida Aye Baptist Church"/>
    <s v="Myitkyina"/>
    <n v="23"/>
    <n v="113"/>
    <n v="0"/>
    <n v="0"/>
    <n v="0"/>
    <n v="46"/>
    <n v="23"/>
    <n v="23"/>
    <s v=""/>
    <n v="0"/>
  </r>
  <r>
    <s v="MMR001CMP067"/>
    <x v="0"/>
    <s v="Shwe Gu Baptist Church"/>
    <s v="Shwegu"/>
    <n v="91"/>
    <n v="344"/>
    <n v="0"/>
    <n v="0"/>
    <n v="0"/>
    <n v="182"/>
    <n v="91"/>
    <n v="91"/>
    <s v=""/>
    <n v="0"/>
  </r>
  <r>
    <s v="MMR001CMP068"/>
    <x v="0"/>
    <s v="Shwe Gu Catholic Church"/>
    <s v="Shwegu"/>
    <n v="46"/>
    <n v="199"/>
    <n v="0"/>
    <n v="0"/>
    <n v="0"/>
    <n v="92"/>
    <n v="46"/>
    <n v="46"/>
    <s v=""/>
    <n v="0"/>
  </r>
  <r>
    <s v="MMR001CMP009"/>
    <x v="0"/>
    <s v="Shwe Zet Baptist Church"/>
    <s v="Myitkyina"/>
    <n v="91"/>
    <n v="511"/>
    <n v="0"/>
    <n v="0"/>
    <n v="0"/>
    <n v="182"/>
    <n v="91"/>
    <n v="91"/>
    <s v=""/>
    <n v="0"/>
  </r>
  <r>
    <s v="MMR001CMP080"/>
    <x v="0"/>
    <s v="St. Patrick Catholic Church "/>
    <s v="Mohnyin"/>
    <n v="11"/>
    <n v="55"/>
    <n v="0"/>
    <n v="0"/>
    <n v="0"/>
    <n v="22"/>
    <n v="11"/>
    <n v="11"/>
    <s v=""/>
    <n v="0"/>
  </r>
  <r>
    <s v="MMR001CMP206"/>
    <x v="0"/>
    <s v="Sumprabum"/>
    <s v="Sumprabum"/>
    <n v="5"/>
    <n v="32"/>
    <n v="0"/>
    <n v="0"/>
    <n v="0"/>
    <n v="10"/>
    <n v="5"/>
    <n v="5"/>
    <s v=""/>
    <n v="0"/>
  </r>
  <r>
    <s v="MMR001CMP055"/>
    <x v="0"/>
    <s v="Ta Gun Taing Monastery (Shwe Kyi Na)"/>
    <s v="Bhamo"/>
    <n v="20"/>
    <n v="95"/>
    <n v="0"/>
    <n v="0"/>
    <n v="0"/>
    <n v="40"/>
    <n v="20"/>
    <n v="20"/>
    <s v=""/>
    <n v="0"/>
  </r>
  <r>
    <s v="MMR001CMP060"/>
    <x v="0"/>
    <s v="Tarli "/>
    <s v="Momauk"/>
    <n v="0"/>
    <n v="0"/>
    <n v="0"/>
    <n v="0"/>
    <n v="0"/>
    <n v="0"/>
    <n v="0"/>
    <n v="0"/>
    <s v=""/>
    <n v="0"/>
  </r>
  <r>
    <s v="MMR001CMP001"/>
    <x v="0"/>
    <s v="Tat Kone Baptist Church"/>
    <s v="Myitkyina"/>
    <n v="75"/>
    <n v="415"/>
    <n v="0"/>
    <n v="0"/>
    <n v="0"/>
    <n v="150"/>
    <n v="75"/>
    <n v="75"/>
    <s v=""/>
    <n v="0"/>
  </r>
  <r>
    <s v="MMR001CMP023"/>
    <x v="0"/>
    <s v="Tat Kone COC Baptist - Tat Kone Htoi San"/>
    <s v="Myitkyina"/>
    <n v="57"/>
    <n v="274"/>
    <n v="0"/>
    <n v="0"/>
    <n v="0"/>
    <n v="114"/>
    <n v="57"/>
    <n v="57"/>
    <s v=""/>
    <n v="0"/>
  </r>
  <r>
    <s v="MMR001CMP004"/>
    <x v="0"/>
    <s v="Tat Kone Emanuel Church"/>
    <s v="Myitkyina"/>
    <n v="16"/>
    <n v="77"/>
    <n v="0"/>
    <n v="0"/>
    <n v="0"/>
    <n v="32"/>
    <n v="16"/>
    <n v="16"/>
    <s v=""/>
    <n v="0"/>
  </r>
  <r>
    <s v="MMR001CMP003"/>
    <x v="0"/>
    <s v="Tat Kone Galile Baptist Church"/>
    <s v="Myitkyina"/>
    <n v="32"/>
    <n v="174"/>
    <n v="0"/>
    <n v="0"/>
    <n v="0"/>
    <n v="64"/>
    <n v="32"/>
    <n v="32"/>
    <s v=""/>
    <n v="0"/>
  </r>
  <r>
    <s v="MMR001CMP005"/>
    <x v="0"/>
    <s v="Tat Kone San Pya Baptist Church"/>
    <s v="Myitkyina"/>
    <n v="46"/>
    <n v="241"/>
    <n v="0"/>
    <n v="0"/>
    <n v="0"/>
    <n v="92"/>
    <n v="46"/>
    <n v="46"/>
    <s v=""/>
    <n v="0"/>
  </r>
  <r>
    <s v="MMR001CMP037"/>
    <x v="0"/>
    <s v="Thargaya Lisu Baptist Church"/>
    <s v="Waingmaw"/>
    <n v="46"/>
    <n v="191"/>
    <n v="0"/>
    <n v="0"/>
    <n v="0"/>
    <n v="92"/>
    <n v="46"/>
    <n v="46"/>
    <s v=""/>
    <n v="0"/>
  </r>
  <r>
    <s v="MMR001CMP224"/>
    <x v="0"/>
    <s v="Tharthana Ahlin Yaung New Monastery"/>
    <s v="Bhamo"/>
    <n v="0"/>
    <n v="0"/>
    <n v="0"/>
    <n v="0"/>
    <n v="0"/>
    <n v="0"/>
    <n v="0"/>
    <n v="0"/>
    <s v=""/>
    <n v="0"/>
  </r>
  <r>
    <s v="MMR001CMP038"/>
    <x v="0"/>
    <s v="Waingmaw AG Church"/>
    <s v="Waingmaw"/>
    <n v="71"/>
    <n v="302"/>
    <n v="0"/>
    <n v="0"/>
    <n v="0"/>
    <n v="142"/>
    <n v="71"/>
    <n v="71"/>
    <s v=""/>
    <n v="0"/>
  </r>
  <r>
    <s v="MMR001CMP036"/>
    <x v="0"/>
    <s v="Waingmaw Baptist Zonal Office"/>
    <s v="Waingmaw"/>
    <n v="0"/>
    <n v="0"/>
    <n v="0"/>
    <n v="0"/>
    <n v="0"/>
    <n v="0"/>
    <n v="0"/>
    <n v="0"/>
    <s v=""/>
    <n v="0"/>
  </r>
  <r>
    <s v="MMR001CMP184"/>
    <x v="0"/>
    <s v="Ward 2 Sai Taung Baptist Church, Seik Mu "/>
    <s v="Hpakant"/>
    <n v="32"/>
    <n v="173"/>
    <n v="0"/>
    <n v="0"/>
    <n v="0"/>
    <n v="64"/>
    <n v="32"/>
    <n v="32"/>
    <s v=""/>
    <n v="0"/>
  </r>
  <r>
    <s v="MMR001CMP116"/>
    <x v="0"/>
    <s v="Woi Chyai "/>
    <s v="Waingmaw"/>
    <n v="1439"/>
    <n v="7148"/>
    <n v="0"/>
    <n v="0"/>
    <n v="0"/>
    <n v="2878"/>
    <n v="1439"/>
    <n v="1439"/>
    <s v=""/>
    <n v="0"/>
  </r>
  <r>
    <s v="MMR001CMP022"/>
    <x v="0"/>
    <s v="Wun Tho Buddhist Monastery"/>
    <s v="Myitkyina"/>
    <n v="7"/>
    <n v="37"/>
    <n v="0"/>
    <n v="0"/>
    <n v="0"/>
    <n v="14"/>
    <n v="7"/>
    <n v="7"/>
    <s v=""/>
    <n v="0"/>
  </r>
  <r>
    <s v="MMR001CMP053"/>
    <x v="0"/>
    <s v="Yoe Kyi Monastery"/>
    <s v="Bhamo"/>
    <n v="13"/>
    <n v="73"/>
    <n v="0"/>
    <n v="0"/>
    <n v="0"/>
    <n v="26"/>
    <n v="13"/>
    <n v="13"/>
    <s v=""/>
    <n v="0"/>
  </r>
  <r>
    <s v="MMR001CMP105"/>
    <x v="0"/>
    <s v="Yumar Baptist Church"/>
    <s v="Hpakant"/>
    <n v="16"/>
    <n v="68"/>
    <n v="0"/>
    <n v="0"/>
    <n v="0"/>
    <n v="32"/>
    <n v="16"/>
    <n v="16"/>
    <s v=""/>
    <n v="0"/>
  </r>
</pivotCacheRecords>
</file>

<file path=xl/pivotCache/pivotCacheRecords4.xml><?xml version="1.0" encoding="utf-8"?>
<pivotCacheRecords xmlns="http://schemas.openxmlformats.org/spreadsheetml/2006/main" xmlns:r="http://schemas.openxmlformats.org/officeDocument/2006/relationships" count="606">
  <r>
    <x v="0"/>
    <x v="0"/>
    <x v="0"/>
    <s v="KBC"/>
    <s v="Kachin"/>
    <x v="0"/>
    <s v="Maina KBC (Bawng Ring)"/>
    <m/>
    <m/>
    <m/>
    <m/>
    <m/>
    <m/>
    <m/>
    <m/>
    <m/>
    <m/>
    <m/>
    <m/>
    <m/>
    <m/>
    <m/>
    <m/>
    <m/>
    <m/>
    <m/>
    <n v="17"/>
    <e v="#REF!"/>
    <e v="#REF!"/>
    <e v="#REF!"/>
    <m/>
    <m/>
    <m/>
    <m/>
    <m/>
    <m/>
    <m/>
    <m/>
    <m/>
    <m/>
    <n v="0"/>
    <m/>
    <m/>
    <m/>
    <m/>
    <m/>
    <m/>
    <m/>
    <s v="MMR001CMP040"/>
    <s v="Update date: 27/April/2017. Data source: Programme Unit_UNHCR"/>
  </r>
  <r>
    <x v="1"/>
    <x v="0"/>
    <x v="0"/>
    <s v="KMSS_Myitkyina"/>
    <s v="Kachin"/>
    <x v="1"/>
    <s v="Jan Mai Kawng Catholic Church"/>
    <m/>
    <m/>
    <m/>
    <n v="1"/>
    <n v="1"/>
    <n v="4"/>
    <n v="1"/>
    <n v="4"/>
    <n v="1"/>
    <m/>
    <n v="1"/>
    <n v="4"/>
    <m/>
    <m/>
    <m/>
    <m/>
    <n v="1"/>
    <m/>
    <m/>
    <m/>
    <m/>
    <m/>
    <m/>
    <m/>
    <m/>
    <m/>
    <m/>
    <m/>
    <m/>
    <m/>
    <m/>
    <m/>
    <m/>
    <m/>
    <m/>
    <m/>
    <m/>
    <m/>
    <m/>
    <m/>
    <m/>
    <s v="MMR001CMP019"/>
    <s v="Update date: 27/April/2017. Data source: Programme Unit_UNHCR"/>
  </r>
  <r>
    <x v="1"/>
    <x v="0"/>
    <x v="0"/>
    <s v="KMSS_Myitkyina"/>
    <s v="Kachin"/>
    <x v="0"/>
    <s v="Maina Catholic Church (St. Joseph)"/>
    <m/>
    <m/>
    <m/>
    <n v="6"/>
    <n v="6"/>
    <n v="10"/>
    <n v="6"/>
    <n v="18"/>
    <n v="6"/>
    <m/>
    <n v="6"/>
    <n v="17"/>
    <m/>
    <m/>
    <m/>
    <m/>
    <n v="6"/>
    <m/>
    <m/>
    <m/>
    <m/>
    <m/>
    <m/>
    <m/>
    <m/>
    <m/>
    <m/>
    <m/>
    <m/>
    <m/>
    <m/>
    <m/>
    <m/>
    <m/>
    <m/>
    <m/>
    <m/>
    <m/>
    <m/>
    <m/>
    <m/>
    <s v="MMR001CMP029"/>
    <s v="Update date: 27/April/2017. Data source: Programme Unit_UNHCR"/>
  </r>
  <r>
    <x v="2"/>
    <x v="0"/>
    <x v="0"/>
    <s v="KBC"/>
    <s v="Kachin"/>
    <x v="2"/>
    <s v="Maing Khaung"/>
    <m/>
    <m/>
    <m/>
    <n v="15"/>
    <n v="15"/>
    <n v="15"/>
    <n v="15"/>
    <n v="15"/>
    <n v="15"/>
    <m/>
    <n v="15"/>
    <n v="30"/>
    <m/>
    <m/>
    <m/>
    <m/>
    <n v="15"/>
    <m/>
    <m/>
    <n v="15"/>
    <e v="#REF!"/>
    <e v="#REF!"/>
    <e v="#REF!"/>
    <m/>
    <m/>
    <m/>
    <m/>
    <m/>
    <m/>
    <m/>
    <m/>
    <m/>
    <m/>
    <n v="0"/>
    <m/>
    <m/>
    <m/>
    <m/>
    <m/>
    <m/>
    <m/>
    <s v="MMR001CMP218"/>
    <s v="Update date: 27/April/2017. Data source: Programme Unit_UNHCR"/>
  </r>
  <r>
    <x v="2"/>
    <x v="0"/>
    <x v="1"/>
    <s v="Solidarites"/>
    <s v="Kachin"/>
    <x v="2"/>
    <s v="Maing Khaung"/>
    <m/>
    <n v="15"/>
    <m/>
    <m/>
    <n v="135"/>
    <m/>
    <m/>
    <m/>
    <m/>
    <m/>
    <n v="15"/>
    <m/>
    <m/>
    <m/>
    <m/>
    <m/>
    <n v="15"/>
    <m/>
    <m/>
    <m/>
    <e v="#REF!"/>
    <e v="#REF!"/>
    <e v="#REF!"/>
    <m/>
    <m/>
    <m/>
    <m/>
    <m/>
    <m/>
    <m/>
    <m/>
    <m/>
    <m/>
    <n v="0"/>
    <m/>
    <m/>
    <m/>
    <m/>
    <m/>
    <m/>
    <m/>
    <s v="MMR001CMP218"/>
    <s v="Update date: 15/May/2017. Data source: SI "/>
  </r>
  <r>
    <x v="3"/>
    <x v="0"/>
    <x v="1"/>
    <s v="Solidarites"/>
    <s v="Kachin"/>
    <x v="3"/>
    <s v="Hpun Lum Yang "/>
    <m/>
    <n v="73"/>
    <m/>
    <n v="73"/>
    <n v="657"/>
    <n v="146"/>
    <m/>
    <n v="146"/>
    <m/>
    <m/>
    <n v="73"/>
    <n v="146"/>
    <m/>
    <m/>
    <m/>
    <m/>
    <n v="73"/>
    <m/>
    <m/>
    <m/>
    <e v="#REF!"/>
    <e v="#REF!"/>
    <e v="#REF!"/>
    <m/>
    <m/>
    <m/>
    <m/>
    <m/>
    <m/>
    <m/>
    <m/>
    <m/>
    <m/>
    <n v="0"/>
    <m/>
    <m/>
    <m/>
    <m/>
    <m/>
    <m/>
    <m/>
    <s v="MMR001CMP122"/>
    <s v="Update date: 15/May/2017. Data source: SI "/>
  </r>
  <r>
    <x v="3"/>
    <x v="0"/>
    <x v="1"/>
    <s v="Solidarites"/>
    <s v="Kachin"/>
    <x v="0"/>
    <s v="Woi Chyai "/>
    <m/>
    <n v="10"/>
    <m/>
    <n v="10"/>
    <n v="90"/>
    <n v="20"/>
    <m/>
    <n v="20"/>
    <m/>
    <m/>
    <n v="10"/>
    <n v="20"/>
    <m/>
    <m/>
    <m/>
    <m/>
    <n v="10"/>
    <m/>
    <m/>
    <m/>
    <e v="#REF!"/>
    <e v="#REF!"/>
    <e v="#REF!"/>
    <m/>
    <m/>
    <m/>
    <m/>
    <m/>
    <m/>
    <m/>
    <m/>
    <m/>
    <m/>
    <n v="0"/>
    <m/>
    <m/>
    <m/>
    <m/>
    <m/>
    <m/>
    <m/>
    <s v="MMR001CMP116"/>
    <s v="Update date: 15/May/2017. Data source: SI "/>
  </r>
  <r>
    <x v="4"/>
    <x v="0"/>
    <x v="0"/>
    <s v="KMSS_Myitkyina"/>
    <s v="Kachin"/>
    <x v="0"/>
    <s v="Maina Catholic Church (St. Joseph)"/>
    <m/>
    <m/>
    <m/>
    <n v="9"/>
    <n v="9"/>
    <n v="35"/>
    <n v="9"/>
    <n v="35"/>
    <n v="9"/>
    <m/>
    <n v="9"/>
    <n v="35"/>
    <m/>
    <m/>
    <m/>
    <m/>
    <n v="9"/>
    <m/>
    <m/>
    <n v="9"/>
    <e v="#REF!"/>
    <e v="#REF!"/>
    <e v="#REF!"/>
    <m/>
    <m/>
    <m/>
    <m/>
    <m/>
    <m/>
    <m/>
    <m/>
    <m/>
    <m/>
    <n v="0"/>
    <m/>
    <m/>
    <m/>
    <m/>
    <m/>
    <m/>
    <m/>
    <s v="MMR001CMP029"/>
    <s v="Update date: 27/April/2017. Data source: Programme Unit_UNHCR"/>
  </r>
  <r>
    <x v="5"/>
    <x v="0"/>
    <x v="0"/>
    <s v="Shalom"/>
    <s v="Kachin"/>
    <x v="0"/>
    <s v="Maina AG Church"/>
    <m/>
    <m/>
    <m/>
    <n v="5"/>
    <n v="5"/>
    <n v="21"/>
    <n v="5"/>
    <n v="21"/>
    <n v="5"/>
    <m/>
    <n v="5"/>
    <n v="21"/>
    <m/>
    <m/>
    <m/>
    <m/>
    <n v="5"/>
    <m/>
    <m/>
    <m/>
    <e v="#REF!"/>
    <e v="#REF!"/>
    <e v="#REF!"/>
    <m/>
    <m/>
    <m/>
    <m/>
    <m/>
    <m/>
    <m/>
    <m/>
    <m/>
    <m/>
    <n v="0"/>
    <m/>
    <m/>
    <m/>
    <m/>
    <m/>
    <m/>
    <m/>
    <s v="MMR001CMP031"/>
    <s v="Update date: 27/April/2017. Data source: Programme Unit_UNHCR"/>
  </r>
  <r>
    <x v="5"/>
    <x v="0"/>
    <x v="0"/>
    <s v="Shalom"/>
    <s v="Kachin"/>
    <x v="0"/>
    <s v="Qtr. 4 Monestry (Thargaya Thayett Taw)"/>
    <m/>
    <m/>
    <m/>
    <n v="6"/>
    <n v="6"/>
    <n v="13"/>
    <n v="6"/>
    <n v="13"/>
    <n v="6"/>
    <m/>
    <n v="6"/>
    <n v="13"/>
    <m/>
    <m/>
    <m/>
    <m/>
    <n v="6"/>
    <m/>
    <m/>
    <m/>
    <e v="#REF!"/>
    <e v="#REF!"/>
    <e v="#REF!"/>
    <m/>
    <m/>
    <m/>
    <m/>
    <m/>
    <m/>
    <m/>
    <m/>
    <m/>
    <m/>
    <n v="0"/>
    <m/>
    <m/>
    <m/>
    <m/>
    <m/>
    <m/>
    <m/>
    <s v="MMR001CMP026"/>
    <s v="Update date: 27/April/2017. Data source: Programme Unit_UNHCR"/>
  </r>
  <r>
    <x v="5"/>
    <x v="0"/>
    <x v="0"/>
    <s v="Shalom"/>
    <s v="Kachin"/>
    <x v="0"/>
    <s v="Qtr. 2 Lhaovo Baptist Church"/>
    <m/>
    <m/>
    <m/>
    <n v="9"/>
    <n v="9"/>
    <n v="19"/>
    <n v="9"/>
    <n v="19"/>
    <n v="9"/>
    <m/>
    <n v="9"/>
    <n v="19"/>
    <m/>
    <m/>
    <m/>
    <m/>
    <n v="9"/>
    <m/>
    <m/>
    <n v="10"/>
    <e v="#REF!"/>
    <e v="#REF!"/>
    <e v="#REF!"/>
    <m/>
    <m/>
    <m/>
    <m/>
    <m/>
    <m/>
    <m/>
    <m/>
    <m/>
    <m/>
    <n v="0"/>
    <m/>
    <m/>
    <m/>
    <m/>
    <m/>
    <m/>
    <m/>
    <s v="MMR001CMP032"/>
    <s v="Update date: 27/April/2017. Data source: Programme Unit_UNHCR"/>
  </r>
  <r>
    <x v="5"/>
    <x v="0"/>
    <x v="0"/>
    <s v="Shalom"/>
    <s v="Kachin"/>
    <x v="0"/>
    <s v="Waingmaw AG Church"/>
    <m/>
    <m/>
    <m/>
    <n v="6"/>
    <n v="6"/>
    <n v="17"/>
    <n v="6"/>
    <n v="17"/>
    <n v="6"/>
    <m/>
    <n v="6"/>
    <n v="17"/>
    <m/>
    <m/>
    <m/>
    <m/>
    <n v="6"/>
    <m/>
    <m/>
    <m/>
    <e v="#REF!"/>
    <e v="#REF!"/>
    <e v="#REF!"/>
    <m/>
    <m/>
    <m/>
    <m/>
    <m/>
    <m/>
    <m/>
    <m/>
    <m/>
    <m/>
    <n v="0"/>
    <m/>
    <m/>
    <m/>
    <m/>
    <m/>
    <m/>
    <m/>
    <s v="MMR001CMP038"/>
    <s v="Update date: 27/April/2017. Data source: Programme Unit_UNHCR"/>
  </r>
  <r>
    <x v="5"/>
    <x v="0"/>
    <x v="0"/>
    <s v="Shalom"/>
    <s v="Kachin"/>
    <x v="0"/>
    <s v="Thargaya Lisu Baptist Church"/>
    <m/>
    <m/>
    <m/>
    <n v="1"/>
    <n v="1"/>
    <n v="4"/>
    <n v="1"/>
    <n v="4"/>
    <n v="1"/>
    <m/>
    <n v="1"/>
    <n v="4"/>
    <m/>
    <m/>
    <m/>
    <m/>
    <n v="1"/>
    <m/>
    <m/>
    <m/>
    <e v="#REF!"/>
    <e v="#REF!"/>
    <e v="#REF!"/>
    <m/>
    <m/>
    <m/>
    <m/>
    <m/>
    <m/>
    <m/>
    <m/>
    <m/>
    <m/>
    <n v="0"/>
    <m/>
    <m/>
    <m/>
    <m/>
    <m/>
    <m/>
    <m/>
    <s v="MMR001CMP037"/>
    <s v="Update date: 27/April/2017. Data source: Programme Unit_UNHCR"/>
  </r>
  <r>
    <x v="5"/>
    <x v="0"/>
    <x v="0"/>
    <s v="KBC"/>
    <s v="Kachin"/>
    <x v="2"/>
    <s v="Man Kawng Baptist Church"/>
    <m/>
    <m/>
    <m/>
    <n v="11"/>
    <n v="11"/>
    <n v="32"/>
    <n v="11"/>
    <n v="32"/>
    <n v="11"/>
    <m/>
    <n v="11"/>
    <n v="52"/>
    <m/>
    <m/>
    <m/>
    <m/>
    <n v="11"/>
    <m/>
    <m/>
    <n v="11"/>
    <e v="#REF!"/>
    <e v="#REF!"/>
    <e v="#REF!"/>
    <m/>
    <m/>
    <m/>
    <m/>
    <m/>
    <m/>
    <m/>
    <m/>
    <m/>
    <m/>
    <n v="0"/>
    <m/>
    <m/>
    <m/>
    <m/>
    <m/>
    <m/>
    <m/>
    <s v="MMR001CMP212"/>
    <s v="Update date: 27/April/2017. Data source: Programme Unit_UNHCR"/>
  </r>
  <r>
    <x v="6"/>
    <x v="0"/>
    <x v="1"/>
    <s v="Solidarites"/>
    <s v="Kachin"/>
    <x v="0"/>
    <s v="Je Yang Hka "/>
    <m/>
    <n v="38"/>
    <m/>
    <n v="38"/>
    <n v="342"/>
    <n v="76"/>
    <m/>
    <n v="76"/>
    <m/>
    <m/>
    <n v="38"/>
    <n v="76"/>
    <m/>
    <m/>
    <m/>
    <m/>
    <n v="38"/>
    <m/>
    <m/>
    <m/>
    <m/>
    <m/>
    <m/>
    <m/>
    <m/>
    <m/>
    <m/>
    <m/>
    <m/>
    <m/>
    <m/>
    <m/>
    <m/>
    <n v="0"/>
    <m/>
    <m/>
    <m/>
    <m/>
    <m/>
    <m/>
    <m/>
    <s v="MMR001CMP121"/>
    <s v="Update date: 15/May/2017. Data source: SI "/>
  </r>
  <r>
    <x v="6"/>
    <x v="0"/>
    <x v="0"/>
    <s v="KMSS_Bhamo"/>
    <s v="Kachin"/>
    <x v="2"/>
    <s v="Man Kawng Catholic Church"/>
    <m/>
    <m/>
    <m/>
    <n v="24"/>
    <n v="25"/>
    <n v="45"/>
    <n v="25"/>
    <n v="45"/>
    <n v="25"/>
    <m/>
    <n v="25"/>
    <n v="83"/>
    <m/>
    <m/>
    <m/>
    <m/>
    <n v="25"/>
    <m/>
    <m/>
    <m/>
    <m/>
    <m/>
    <m/>
    <m/>
    <m/>
    <m/>
    <m/>
    <m/>
    <m/>
    <m/>
    <m/>
    <m/>
    <m/>
    <n v="0"/>
    <m/>
    <m/>
    <m/>
    <m/>
    <m/>
    <m/>
    <m/>
    <s v="MMR001CMP213"/>
    <s v="Data source: KMSS_Bhamo. Data was received when the camps status was changed as &quot;Closed&quot;"/>
  </r>
  <r>
    <x v="6"/>
    <x v="0"/>
    <x v="0"/>
    <s v="KMSS_Bhamo"/>
    <s v="Kachin"/>
    <x v="2"/>
    <s v="Man Kawng Catholic Church"/>
    <m/>
    <m/>
    <m/>
    <n v="24"/>
    <n v="25"/>
    <n v="45"/>
    <n v="25"/>
    <n v="45"/>
    <n v="25"/>
    <m/>
    <n v="25"/>
    <n v="83"/>
    <m/>
    <m/>
    <m/>
    <m/>
    <m/>
    <m/>
    <m/>
    <m/>
    <m/>
    <m/>
    <m/>
    <m/>
    <m/>
    <m/>
    <m/>
    <m/>
    <m/>
    <m/>
    <m/>
    <m/>
    <m/>
    <n v="0"/>
    <m/>
    <m/>
    <m/>
    <m/>
    <m/>
    <m/>
    <m/>
    <s v="MMR001CMP213"/>
    <s v="Data source: KMSS_Bhamo. Data was received when the camps status was changed as &quot;Closed&quot;"/>
  </r>
  <r>
    <x v="7"/>
    <x v="0"/>
    <x v="0"/>
    <s v="KBC"/>
    <s v="Kachin"/>
    <x v="0"/>
    <s v="Maina KBC (Bawng Ring)"/>
    <m/>
    <m/>
    <m/>
    <n v="6"/>
    <n v="6"/>
    <n v="18"/>
    <n v="6"/>
    <n v="24"/>
    <n v="6"/>
    <m/>
    <n v="6"/>
    <n v="24"/>
    <m/>
    <m/>
    <m/>
    <m/>
    <n v="6"/>
    <m/>
    <m/>
    <n v="6"/>
    <m/>
    <m/>
    <m/>
    <m/>
    <m/>
    <m/>
    <m/>
    <m/>
    <m/>
    <m/>
    <m/>
    <m/>
    <m/>
    <n v="0"/>
    <m/>
    <m/>
    <m/>
    <m/>
    <m/>
    <m/>
    <m/>
    <s v="MMR001CMP040"/>
    <s v="Update date: 27/April/2017. Data source: Programme Unit_UNHCR"/>
  </r>
  <r>
    <x v="8"/>
    <x v="0"/>
    <x v="0"/>
    <s v="KMSS_Myitkyina"/>
    <s v="Kachin"/>
    <x v="0"/>
    <s v="Maina Catholic Church (St. Joseph)"/>
    <m/>
    <m/>
    <m/>
    <m/>
    <m/>
    <m/>
    <m/>
    <m/>
    <m/>
    <m/>
    <m/>
    <m/>
    <m/>
    <m/>
    <m/>
    <m/>
    <m/>
    <m/>
    <m/>
    <n v="10"/>
    <m/>
    <m/>
    <m/>
    <m/>
    <m/>
    <m/>
    <m/>
    <m/>
    <m/>
    <m/>
    <m/>
    <m/>
    <m/>
    <n v="0"/>
    <m/>
    <m/>
    <m/>
    <m/>
    <m/>
    <m/>
    <m/>
    <s v="MMR001CMP029"/>
    <s v="Update date: 27/April/2017. Data source: Programme Unit_UNHCR"/>
  </r>
  <r>
    <x v="9"/>
    <x v="0"/>
    <x v="0"/>
    <s v="KMSS_Myitkyina"/>
    <s v="Kachin"/>
    <x v="1"/>
    <s v="Pa Dauk Myaing(Pa La Na)"/>
    <m/>
    <m/>
    <m/>
    <n v="1"/>
    <n v="1"/>
    <n v="3"/>
    <n v="1"/>
    <n v="3"/>
    <n v="1"/>
    <m/>
    <n v="1"/>
    <n v="3"/>
    <m/>
    <m/>
    <m/>
    <m/>
    <n v="1"/>
    <m/>
    <m/>
    <m/>
    <m/>
    <m/>
    <m/>
    <m/>
    <m/>
    <m/>
    <m/>
    <m/>
    <m/>
    <m/>
    <m/>
    <m/>
    <m/>
    <n v="0"/>
    <m/>
    <m/>
    <m/>
    <m/>
    <m/>
    <m/>
    <m/>
    <s v="MMR001CMP162"/>
    <s v="Update date: 24/April/2017. Data source: KMSS_Myitkyina/under Feb_2017_CAR"/>
  </r>
  <r>
    <x v="9"/>
    <x v="0"/>
    <x v="0"/>
    <s v="KMSS_Myitkyina"/>
    <s v="Kachin"/>
    <x v="0"/>
    <s v="Maina Catholic Church (St. Joseph)"/>
    <m/>
    <m/>
    <m/>
    <n v="22"/>
    <n v="22"/>
    <n v="76"/>
    <n v="22"/>
    <n v="76"/>
    <n v="22"/>
    <m/>
    <n v="22"/>
    <n v="76"/>
    <m/>
    <m/>
    <m/>
    <m/>
    <n v="22"/>
    <m/>
    <m/>
    <m/>
    <m/>
    <m/>
    <m/>
    <m/>
    <m/>
    <m/>
    <m/>
    <m/>
    <m/>
    <m/>
    <m/>
    <m/>
    <m/>
    <n v="0"/>
    <m/>
    <m/>
    <m/>
    <m/>
    <m/>
    <m/>
    <m/>
    <s v="MMR001CMP029"/>
    <s v="Update date: 27/April/2017. Data source: Programme Unit_UNHCR"/>
  </r>
  <r>
    <x v="10"/>
    <x v="1"/>
    <x v="0"/>
    <s v="KBC"/>
    <s v="Kachin"/>
    <x v="4"/>
    <s v="Shwe Gu Baptist Church"/>
    <m/>
    <m/>
    <m/>
    <m/>
    <n v="50"/>
    <m/>
    <m/>
    <m/>
    <m/>
    <m/>
    <m/>
    <m/>
    <m/>
    <m/>
    <m/>
    <m/>
    <m/>
    <m/>
    <m/>
    <m/>
    <m/>
    <m/>
    <m/>
    <m/>
    <m/>
    <m/>
    <m/>
    <m/>
    <m/>
    <m/>
    <m/>
    <m/>
    <m/>
    <n v="0"/>
    <m/>
    <m/>
    <m/>
    <m/>
    <m/>
    <m/>
    <m/>
    <s v="MMR001CMP067"/>
    <s v="Update date: 27/April/2017. Data source: Programme Unit_UNHCR"/>
  </r>
  <r>
    <x v="11"/>
    <x v="1"/>
    <x v="0"/>
    <s v="KMSS_Bhamo"/>
    <s v="Kachin"/>
    <x v="2"/>
    <s v="Maing Khaung Catholic Church"/>
    <m/>
    <m/>
    <m/>
    <n v="25"/>
    <n v="25"/>
    <n v="25"/>
    <n v="25"/>
    <n v="45"/>
    <n v="25"/>
    <m/>
    <n v="25"/>
    <n v="83"/>
    <m/>
    <m/>
    <m/>
    <m/>
    <n v="25"/>
    <m/>
    <m/>
    <m/>
    <m/>
    <m/>
    <m/>
    <m/>
    <m/>
    <m/>
    <m/>
    <m/>
    <m/>
    <m/>
    <m/>
    <m/>
    <m/>
    <n v="0"/>
    <m/>
    <m/>
    <m/>
    <m/>
    <m/>
    <m/>
    <m/>
    <s v="MMR001CMP223"/>
    <s v="Update date: 27/April/2017. Data source: Programme Unit_UNHCR"/>
  </r>
  <r>
    <x v="12"/>
    <x v="1"/>
    <x v="0"/>
    <s v="KBC"/>
    <s v="Kachin"/>
    <x v="0"/>
    <s v="Maina KBC (Bawng Ring)"/>
    <m/>
    <m/>
    <m/>
    <n v="17"/>
    <n v="17"/>
    <n v="114"/>
    <n v="17"/>
    <n v="174"/>
    <n v="17"/>
    <m/>
    <n v="17"/>
    <n v="188"/>
    <m/>
    <m/>
    <m/>
    <m/>
    <n v="17"/>
    <m/>
    <m/>
    <n v="49"/>
    <m/>
    <m/>
    <m/>
    <m/>
    <m/>
    <m/>
    <m/>
    <m/>
    <m/>
    <m/>
    <m/>
    <m/>
    <m/>
    <n v="0"/>
    <m/>
    <m/>
    <m/>
    <m/>
    <m/>
    <m/>
    <m/>
    <s v="MMR001CMP040"/>
    <s v="Update date: 27/April/2017. Data source: Programme Unit_UNHCR"/>
  </r>
  <r>
    <x v="13"/>
    <x v="1"/>
    <x v="0"/>
    <s v="KBC"/>
    <s v="Kachin"/>
    <x v="1"/>
    <s v="Shatapru Thida Aye Baptist Church"/>
    <m/>
    <m/>
    <m/>
    <n v="4"/>
    <n v="4"/>
    <n v="10"/>
    <n v="4"/>
    <n v="14"/>
    <n v="4"/>
    <m/>
    <n v="4"/>
    <n v="14"/>
    <m/>
    <m/>
    <m/>
    <m/>
    <n v="4"/>
    <m/>
    <m/>
    <m/>
    <m/>
    <m/>
    <m/>
    <m/>
    <m/>
    <m/>
    <m/>
    <m/>
    <m/>
    <m/>
    <m/>
    <m/>
    <m/>
    <n v="0"/>
    <m/>
    <m/>
    <m/>
    <m/>
    <m/>
    <m/>
    <m/>
    <s v="MMR001CMP007"/>
    <s v="Update date: 27/April/2017. Data source: Programme Unit_UNHCR"/>
  </r>
  <r>
    <x v="13"/>
    <x v="1"/>
    <x v="0"/>
    <s v="KBC"/>
    <s v="Kachin"/>
    <x v="1"/>
    <s v="Njang Dung Baptist Church "/>
    <m/>
    <m/>
    <m/>
    <n v="4"/>
    <n v="4"/>
    <n v="8"/>
    <n v="4"/>
    <n v="11"/>
    <n v="4"/>
    <m/>
    <n v="4"/>
    <n v="11"/>
    <m/>
    <m/>
    <m/>
    <m/>
    <n v="4"/>
    <m/>
    <m/>
    <m/>
    <m/>
    <m/>
    <m/>
    <m/>
    <m/>
    <m/>
    <m/>
    <m/>
    <m/>
    <m/>
    <m/>
    <m/>
    <m/>
    <n v="0"/>
    <m/>
    <m/>
    <m/>
    <m/>
    <m/>
    <m/>
    <m/>
    <s v="MMR001CMP002"/>
    <s v="Update date: 27/April/2017. Data source: Programme Unit_UNHCR"/>
  </r>
  <r>
    <x v="13"/>
    <x v="1"/>
    <x v="0"/>
    <s v="KBC"/>
    <s v="Kachin"/>
    <x v="1"/>
    <s v="Tat Kone Galile Baptist Church"/>
    <m/>
    <m/>
    <m/>
    <n v="1"/>
    <n v="1"/>
    <n v="2"/>
    <n v="1"/>
    <n v="3"/>
    <n v="1"/>
    <m/>
    <n v="1"/>
    <n v="3"/>
    <m/>
    <m/>
    <m/>
    <m/>
    <n v="1"/>
    <m/>
    <m/>
    <m/>
    <m/>
    <m/>
    <m/>
    <m/>
    <m/>
    <m/>
    <m/>
    <m/>
    <m/>
    <m/>
    <m/>
    <m/>
    <m/>
    <n v="0"/>
    <m/>
    <m/>
    <m/>
    <m/>
    <m/>
    <m/>
    <m/>
    <s v="MMR001CMP003"/>
    <s v="Update date: 27/April/2017. Data source: Programme Unit_UNHCR"/>
  </r>
  <r>
    <x v="13"/>
    <x v="1"/>
    <x v="0"/>
    <s v="KBC"/>
    <s v="Kachin"/>
    <x v="1"/>
    <s v="Tat Kone San Pya Baptist Church"/>
    <m/>
    <m/>
    <m/>
    <n v="1"/>
    <n v="1"/>
    <n v="3"/>
    <n v="1"/>
    <n v="4"/>
    <n v="1"/>
    <m/>
    <n v="1"/>
    <n v="4"/>
    <m/>
    <m/>
    <m/>
    <m/>
    <n v="1"/>
    <m/>
    <m/>
    <m/>
    <m/>
    <m/>
    <m/>
    <m/>
    <m/>
    <m/>
    <m/>
    <m/>
    <m/>
    <m/>
    <m/>
    <m/>
    <m/>
    <n v="0"/>
    <m/>
    <m/>
    <m/>
    <m/>
    <m/>
    <m/>
    <m/>
    <s v="MMR001CMP005"/>
    <s v="Update date: 27/April/2017. Data source: Programme Unit_UNHCR"/>
  </r>
  <r>
    <x v="13"/>
    <x v="1"/>
    <x v="0"/>
    <s v="Shalom"/>
    <s v="Kachin"/>
    <x v="5"/>
    <s v="Mu-yin Baptist Church"/>
    <m/>
    <m/>
    <m/>
    <m/>
    <m/>
    <m/>
    <n v="8"/>
    <m/>
    <m/>
    <m/>
    <m/>
    <m/>
    <m/>
    <m/>
    <m/>
    <m/>
    <m/>
    <m/>
    <m/>
    <m/>
    <m/>
    <m/>
    <m/>
    <m/>
    <m/>
    <m/>
    <m/>
    <m/>
    <m/>
    <m/>
    <m/>
    <m/>
    <m/>
    <n v="0"/>
    <m/>
    <m/>
    <m/>
    <m/>
    <m/>
    <m/>
    <m/>
    <s v="MMR001CMP051"/>
    <s v="Update date: 27/April/2017. Data source: Programme Unit_UNHCR"/>
  </r>
  <r>
    <x v="14"/>
    <x v="1"/>
    <x v="0"/>
    <s v="KBC"/>
    <s v="Kachin"/>
    <x v="1"/>
    <s v="Le Kone Bethlehem Church"/>
    <m/>
    <m/>
    <m/>
    <n v="3"/>
    <n v="3"/>
    <n v="5"/>
    <n v="3"/>
    <n v="8"/>
    <n v="3"/>
    <m/>
    <n v="3"/>
    <n v="8"/>
    <m/>
    <m/>
    <m/>
    <m/>
    <n v="3"/>
    <m/>
    <m/>
    <m/>
    <m/>
    <m/>
    <m/>
    <m/>
    <m/>
    <m/>
    <m/>
    <m/>
    <m/>
    <m/>
    <m/>
    <m/>
    <m/>
    <n v="0"/>
    <m/>
    <m/>
    <m/>
    <m/>
    <m/>
    <m/>
    <m/>
    <s v="MMR001CMP015"/>
    <s v="Update date: 27/April/2017. Data source: Programme Unit_UNHCR"/>
  </r>
  <r>
    <x v="14"/>
    <x v="1"/>
    <x v="0"/>
    <s v="KBC"/>
    <s v="Kachin"/>
    <x v="1"/>
    <s v="Jan Mai Kawng Baptist Church"/>
    <m/>
    <m/>
    <m/>
    <n v="1"/>
    <n v="1"/>
    <n v="2"/>
    <n v="1"/>
    <n v="3"/>
    <n v="1"/>
    <m/>
    <n v="1"/>
    <n v="3"/>
    <m/>
    <m/>
    <m/>
    <m/>
    <n v="1"/>
    <m/>
    <m/>
    <m/>
    <m/>
    <m/>
    <m/>
    <m/>
    <m/>
    <m/>
    <m/>
    <m/>
    <m/>
    <m/>
    <m/>
    <m/>
    <m/>
    <n v="0"/>
    <m/>
    <m/>
    <m/>
    <m/>
    <m/>
    <m/>
    <m/>
    <s v="MMR001CMP018"/>
    <s v="Update date: 27/April/2017. Data source: Programme Unit_UNHCR"/>
  </r>
  <r>
    <x v="14"/>
    <x v="1"/>
    <x v="0"/>
    <s v="KBC"/>
    <s v="Kachin"/>
    <x v="1"/>
    <s v="Kyun Pin Thar Baptist Church"/>
    <m/>
    <m/>
    <m/>
    <n v="3"/>
    <n v="3"/>
    <n v="9"/>
    <n v="3"/>
    <n v="17"/>
    <n v="3"/>
    <m/>
    <n v="3"/>
    <n v="17"/>
    <m/>
    <m/>
    <m/>
    <m/>
    <n v="3"/>
    <m/>
    <m/>
    <m/>
    <m/>
    <m/>
    <m/>
    <m/>
    <m/>
    <m/>
    <m/>
    <m/>
    <m/>
    <m/>
    <m/>
    <m/>
    <m/>
    <n v="0"/>
    <m/>
    <m/>
    <m/>
    <m/>
    <m/>
    <m/>
    <m/>
    <s v="MMR001CMP013"/>
    <s v="Update date: 27/April/2017. Data source: Programme Unit_UNHCR"/>
  </r>
  <r>
    <x v="14"/>
    <x v="1"/>
    <x v="0"/>
    <s v="KBC"/>
    <s v="Kachin"/>
    <x v="1"/>
    <s v="Man Hkring Baptist Church"/>
    <m/>
    <m/>
    <m/>
    <n v="1"/>
    <n v="1"/>
    <n v="2"/>
    <n v="1"/>
    <n v="3"/>
    <n v="1"/>
    <m/>
    <n v="1"/>
    <n v="3"/>
    <m/>
    <m/>
    <m/>
    <m/>
    <n v="1"/>
    <m/>
    <m/>
    <m/>
    <m/>
    <m/>
    <m/>
    <m/>
    <m/>
    <m/>
    <m/>
    <m/>
    <m/>
    <m/>
    <m/>
    <m/>
    <m/>
    <n v="0"/>
    <m/>
    <m/>
    <m/>
    <m/>
    <m/>
    <m/>
    <m/>
    <s v="MMR001CMP008"/>
    <s v="Update date: 27/April/2017. Data source: Programme Unit_UNHCR"/>
  </r>
  <r>
    <x v="14"/>
    <x v="1"/>
    <x v="0"/>
    <s v="KBC"/>
    <s v="Kachin"/>
    <x v="1"/>
    <s v="Maliyang Baptist Church"/>
    <m/>
    <m/>
    <m/>
    <n v="1"/>
    <n v="1"/>
    <n v="2"/>
    <n v="1"/>
    <n v="3"/>
    <n v="1"/>
    <m/>
    <n v="1"/>
    <n v="3"/>
    <m/>
    <m/>
    <m/>
    <m/>
    <n v="1"/>
    <m/>
    <m/>
    <m/>
    <m/>
    <m/>
    <m/>
    <m/>
    <m/>
    <m/>
    <m/>
    <m/>
    <m/>
    <m/>
    <m/>
    <m/>
    <m/>
    <n v="0"/>
    <m/>
    <m/>
    <m/>
    <m/>
    <m/>
    <m/>
    <m/>
    <s v="MMR001CMP016"/>
    <s v="Update date: 27/April/2017. Data source: Programme Unit_UNHCR"/>
  </r>
  <r>
    <x v="15"/>
    <x v="1"/>
    <x v="0"/>
    <s v="KBC"/>
    <s v="Kachin"/>
    <x v="2"/>
    <s v="Maing Khaung"/>
    <m/>
    <m/>
    <m/>
    <n v="4"/>
    <n v="4"/>
    <n v="7"/>
    <n v="4"/>
    <n v="7"/>
    <n v="4"/>
    <m/>
    <n v="4"/>
    <n v="14"/>
    <m/>
    <m/>
    <m/>
    <m/>
    <n v="4"/>
    <m/>
    <m/>
    <m/>
    <m/>
    <m/>
    <m/>
    <m/>
    <m/>
    <m/>
    <m/>
    <m/>
    <m/>
    <m/>
    <m/>
    <m/>
    <m/>
    <n v="0"/>
    <m/>
    <m/>
    <m/>
    <m/>
    <m/>
    <m/>
    <m/>
    <s v="MMR001CMP218"/>
    <s v="Update date: 27/April/2017. Data source: Programme Unit_UNHCR"/>
  </r>
  <r>
    <x v="15"/>
    <x v="1"/>
    <x v="1"/>
    <s v="Solidarites"/>
    <s v="Kachin"/>
    <x v="2"/>
    <s v="Maing Khaung"/>
    <m/>
    <n v="2"/>
    <m/>
    <m/>
    <n v="18"/>
    <m/>
    <m/>
    <m/>
    <m/>
    <m/>
    <n v="2"/>
    <m/>
    <m/>
    <m/>
    <m/>
    <m/>
    <n v="2"/>
    <m/>
    <m/>
    <m/>
    <m/>
    <m/>
    <m/>
    <m/>
    <m/>
    <m/>
    <m/>
    <m/>
    <m/>
    <m/>
    <m/>
    <m/>
    <m/>
    <n v="0"/>
    <m/>
    <m/>
    <m/>
    <m/>
    <m/>
    <m/>
    <m/>
    <s v="MMR001CMP218"/>
    <s v="Update date: 15/May/2017. Data source: SI and confirmed by CCCM unit."/>
  </r>
  <r>
    <x v="15"/>
    <x v="1"/>
    <x v="0"/>
    <s v="KMSS_Bhamo"/>
    <s v="Kachin"/>
    <x v="2"/>
    <s v="Maing Khaung Catholic Church"/>
    <m/>
    <m/>
    <m/>
    <n v="1"/>
    <n v="1"/>
    <n v="2"/>
    <n v="1"/>
    <n v="2"/>
    <n v="1"/>
    <m/>
    <n v="1"/>
    <n v="3"/>
    <m/>
    <m/>
    <m/>
    <m/>
    <n v="1"/>
    <m/>
    <m/>
    <m/>
    <m/>
    <m/>
    <m/>
    <m/>
    <m/>
    <m/>
    <m/>
    <m/>
    <m/>
    <m/>
    <m/>
    <m/>
    <m/>
    <n v="0"/>
    <m/>
    <m/>
    <m/>
    <m/>
    <m/>
    <m/>
    <m/>
    <s v="MMR001CMP223"/>
    <s v="Update date: 27/April/2017. Data source: Programme Unit_UNHCR"/>
  </r>
  <r>
    <x v="16"/>
    <x v="1"/>
    <x v="0"/>
    <s v="KBC"/>
    <s v="Kachin"/>
    <x v="6"/>
    <s v="Shar Du Zut KBC church "/>
    <m/>
    <m/>
    <m/>
    <m/>
    <m/>
    <m/>
    <m/>
    <m/>
    <m/>
    <m/>
    <m/>
    <m/>
    <n v="62"/>
    <n v="33"/>
    <m/>
    <m/>
    <m/>
    <m/>
    <m/>
    <m/>
    <m/>
    <m/>
    <m/>
    <m/>
    <m/>
    <m/>
    <m/>
    <m/>
    <m/>
    <m/>
    <m/>
    <m/>
    <m/>
    <n v="1"/>
    <m/>
    <m/>
    <m/>
    <m/>
    <m/>
    <m/>
    <m/>
    <s v="MMR001CMP244"/>
    <s v="Update date: 27/April/2017. Data source: Programme Unit_UNHCR"/>
  </r>
  <r>
    <x v="17"/>
    <x v="2"/>
    <x v="1"/>
    <s v="Solidarites"/>
    <s v="Kachin"/>
    <x v="0"/>
    <s v="Hka Shi"/>
    <m/>
    <n v="55"/>
    <m/>
    <m/>
    <n v="495"/>
    <m/>
    <m/>
    <m/>
    <m/>
    <m/>
    <n v="55"/>
    <m/>
    <m/>
    <m/>
    <m/>
    <m/>
    <n v="55"/>
    <m/>
    <m/>
    <m/>
    <m/>
    <m/>
    <m/>
    <m/>
    <m/>
    <m/>
    <m/>
    <m/>
    <m/>
    <m/>
    <m/>
    <m/>
    <m/>
    <n v="0"/>
    <m/>
    <m/>
    <m/>
    <m/>
    <m/>
    <m/>
    <m/>
    <s v="MMR001CMP248"/>
    <s v="Update date: 15/May/2017. Data source: SI "/>
  </r>
  <r>
    <x v="17"/>
    <x v="2"/>
    <x v="1"/>
    <s v="Solidarites"/>
    <s v="Kachin"/>
    <x v="0"/>
    <s v="Sadung"/>
    <m/>
    <n v="91"/>
    <m/>
    <n v="92"/>
    <n v="546"/>
    <n v="184"/>
    <n v="170"/>
    <n v="184"/>
    <m/>
    <m/>
    <n v="91"/>
    <n v="184"/>
    <m/>
    <m/>
    <m/>
    <m/>
    <n v="91"/>
    <m/>
    <n v="85"/>
    <m/>
    <m/>
    <m/>
    <m/>
    <m/>
    <m/>
    <m/>
    <m/>
    <m/>
    <m/>
    <m/>
    <m/>
    <m/>
    <m/>
    <n v="0"/>
    <m/>
    <m/>
    <m/>
    <m/>
    <m/>
    <m/>
    <m/>
    <s v="MMR001CMP258"/>
    <s v="Update date: 15/May/2017. Data source: SI (IDP site)"/>
  </r>
  <r>
    <x v="18"/>
    <x v="2"/>
    <x v="1"/>
    <s v="Solidarites"/>
    <s v="Kachin"/>
    <x v="3"/>
    <s v="Hpun Lum Yang "/>
    <m/>
    <m/>
    <m/>
    <n v="8"/>
    <m/>
    <n v="16"/>
    <m/>
    <n v="16"/>
    <m/>
    <m/>
    <m/>
    <n v="16"/>
    <m/>
    <m/>
    <m/>
    <m/>
    <m/>
    <m/>
    <m/>
    <m/>
    <m/>
    <m/>
    <m/>
    <m/>
    <m/>
    <m/>
    <m/>
    <m/>
    <m/>
    <m/>
    <m/>
    <m/>
    <m/>
    <n v="0"/>
    <m/>
    <m/>
    <m/>
    <m/>
    <m/>
    <m/>
    <m/>
    <s v="MMR001CMP122"/>
    <s v="Update date: 15/May/2017. Data source: SI "/>
  </r>
  <r>
    <x v="18"/>
    <x v="2"/>
    <x v="1"/>
    <s v="Solidarites"/>
    <s v="Kachin"/>
    <x v="0"/>
    <s v="Je Yang Hka "/>
    <m/>
    <m/>
    <m/>
    <n v="6"/>
    <m/>
    <n v="12"/>
    <m/>
    <n v="12"/>
    <m/>
    <m/>
    <m/>
    <n v="12"/>
    <m/>
    <m/>
    <m/>
    <m/>
    <m/>
    <m/>
    <m/>
    <m/>
    <m/>
    <m/>
    <m/>
    <m/>
    <m/>
    <m/>
    <m/>
    <m/>
    <m/>
    <m/>
    <m/>
    <m/>
    <m/>
    <n v="0"/>
    <m/>
    <m/>
    <m/>
    <m/>
    <m/>
    <m/>
    <m/>
    <s v="MMR001CMP121"/>
    <s v="Update date: 15/May/2017. Data source: SI "/>
  </r>
  <r>
    <x v="19"/>
    <x v="2"/>
    <x v="0"/>
    <s v="Shalom"/>
    <s v="Kachin"/>
    <x v="7"/>
    <s v="Chipwi KBC camp"/>
    <m/>
    <m/>
    <m/>
    <m/>
    <m/>
    <m/>
    <m/>
    <m/>
    <m/>
    <m/>
    <m/>
    <m/>
    <n v="79"/>
    <n v="152"/>
    <m/>
    <m/>
    <m/>
    <m/>
    <m/>
    <m/>
    <m/>
    <m/>
    <m/>
    <m/>
    <m/>
    <m/>
    <m/>
    <m/>
    <m/>
    <m/>
    <m/>
    <m/>
    <m/>
    <n v="1"/>
    <m/>
    <m/>
    <m/>
    <m/>
    <m/>
    <m/>
    <m/>
    <s v="MMR001CMP042"/>
    <s v="3/May/2017: Update NFI distribution data. Data source: Shalom (CAR_March data)"/>
  </r>
  <r>
    <x v="19"/>
    <x v="2"/>
    <x v="1"/>
    <s v="Solidarites"/>
    <s v="Kachin"/>
    <x v="0"/>
    <s v="Woi Chyai "/>
    <m/>
    <m/>
    <m/>
    <n v="6"/>
    <m/>
    <n v="12"/>
    <m/>
    <n v="12"/>
    <m/>
    <m/>
    <m/>
    <n v="12"/>
    <m/>
    <m/>
    <m/>
    <m/>
    <m/>
    <m/>
    <m/>
    <m/>
    <m/>
    <m/>
    <m/>
    <m/>
    <m/>
    <m/>
    <m/>
    <m/>
    <m/>
    <m/>
    <m/>
    <m/>
    <m/>
    <n v="0"/>
    <m/>
    <m/>
    <m/>
    <m/>
    <m/>
    <m/>
    <m/>
    <s v="MMR001CMP116"/>
    <s v="Update date: 15/May/2017. Data source: SI "/>
  </r>
  <r>
    <x v="20"/>
    <x v="2"/>
    <x v="0"/>
    <s v="Shalom"/>
    <s v="Kachin"/>
    <x v="7"/>
    <s v="Lhaovao Baptist Church (LBC)"/>
    <m/>
    <m/>
    <m/>
    <m/>
    <m/>
    <m/>
    <m/>
    <m/>
    <m/>
    <m/>
    <m/>
    <m/>
    <n v="97"/>
    <n v="203"/>
    <m/>
    <m/>
    <m/>
    <m/>
    <m/>
    <m/>
    <m/>
    <m/>
    <m/>
    <m/>
    <m/>
    <m/>
    <m/>
    <m/>
    <m/>
    <m/>
    <m/>
    <m/>
    <m/>
    <n v="1"/>
    <m/>
    <m/>
    <m/>
    <m/>
    <m/>
    <m/>
    <m/>
    <s v="MMR001CMP195"/>
    <s v="3/May/2017: Update NFI distribution data. Data source: Shalom (CAR_March data)"/>
  </r>
  <r>
    <x v="21"/>
    <x v="2"/>
    <x v="0"/>
    <s v="KBC"/>
    <s v="Kachin"/>
    <x v="8"/>
    <s v="Ndup Yang"/>
    <m/>
    <m/>
    <m/>
    <m/>
    <m/>
    <m/>
    <m/>
    <n v="292"/>
    <m/>
    <m/>
    <m/>
    <m/>
    <m/>
    <m/>
    <m/>
    <m/>
    <m/>
    <m/>
    <m/>
    <m/>
    <m/>
    <m/>
    <m/>
    <m/>
    <m/>
    <m/>
    <m/>
    <m/>
    <m/>
    <m/>
    <m/>
    <m/>
    <m/>
    <n v="0"/>
    <m/>
    <m/>
    <m/>
    <m/>
    <m/>
    <m/>
    <m/>
    <s v="MMR001CMP238"/>
    <s v="2/June/2017: Update blanket data. Data source: KBC"/>
  </r>
  <r>
    <x v="22"/>
    <x v="2"/>
    <x v="0"/>
    <s v="KBC"/>
    <s v="Kachin"/>
    <x v="8"/>
    <s v="Salang Yang"/>
    <m/>
    <m/>
    <m/>
    <m/>
    <m/>
    <m/>
    <m/>
    <n v="134"/>
    <m/>
    <m/>
    <m/>
    <m/>
    <m/>
    <m/>
    <m/>
    <m/>
    <m/>
    <m/>
    <m/>
    <m/>
    <m/>
    <m/>
    <m/>
    <m/>
    <m/>
    <m/>
    <m/>
    <m/>
    <m/>
    <m/>
    <m/>
    <m/>
    <m/>
    <n v="0"/>
    <m/>
    <m/>
    <m/>
    <m/>
    <m/>
    <m/>
    <m/>
    <s v="MMR001CMP239"/>
    <s v="2/June/2017: Update blanket data. Data source: KBC"/>
  </r>
  <r>
    <x v="23"/>
    <x v="2"/>
    <x v="0"/>
    <s v="Shalom"/>
    <s v="Kachin"/>
    <x v="0"/>
    <s v="Nawng Hee Village"/>
    <m/>
    <m/>
    <m/>
    <n v="5"/>
    <n v="5"/>
    <n v="10"/>
    <n v="5"/>
    <n v="10"/>
    <n v="5"/>
    <m/>
    <n v="5"/>
    <n v="28"/>
    <m/>
    <m/>
    <m/>
    <m/>
    <n v="5"/>
    <m/>
    <m/>
    <m/>
    <m/>
    <m/>
    <m/>
    <m/>
    <m/>
    <m/>
    <m/>
    <m/>
    <m/>
    <m/>
    <m/>
    <m/>
    <m/>
    <n v="0"/>
    <m/>
    <m/>
    <m/>
    <m/>
    <m/>
    <m/>
    <m/>
    <s v="MMR001CMP033"/>
    <s v="3/May/2017: Update NFI distribution data. Data source: Shalom (CAR_March data)"/>
  </r>
  <r>
    <x v="24"/>
    <x v="2"/>
    <x v="2"/>
    <s v="NRC"/>
    <s v="Shan_North"/>
    <x v="9"/>
    <s v="Kutkai downtown (RC Church)"/>
    <m/>
    <m/>
    <m/>
    <m/>
    <m/>
    <m/>
    <m/>
    <m/>
    <m/>
    <m/>
    <m/>
    <m/>
    <n v="540"/>
    <m/>
    <m/>
    <n v="135"/>
    <m/>
    <m/>
    <m/>
    <m/>
    <m/>
    <m/>
    <m/>
    <m/>
    <m/>
    <m/>
    <m/>
    <m/>
    <m/>
    <m/>
    <m/>
    <m/>
    <m/>
    <n v="1"/>
    <m/>
    <m/>
    <m/>
    <m/>
    <m/>
    <m/>
    <m/>
    <s v="MMR015CMP017"/>
    <s v="Update date: 16/May/2017. Data source: NRC"/>
  </r>
  <r>
    <x v="25"/>
    <x v="3"/>
    <x v="2"/>
    <s v="NRC"/>
    <s v="Kachin"/>
    <x v="2"/>
    <s v="Maing Khaung Catholic Church"/>
    <m/>
    <m/>
    <m/>
    <m/>
    <m/>
    <m/>
    <m/>
    <m/>
    <m/>
    <m/>
    <m/>
    <m/>
    <n v="144"/>
    <m/>
    <m/>
    <n v="36"/>
    <m/>
    <m/>
    <m/>
    <m/>
    <m/>
    <m/>
    <m/>
    <m/>
    <m/>
    <m/>
    <m/>
    <m/>
    <m/>
    <m/>
    <m/>
    <m/>
    <m/>
    <n v="1"/>
    <m/>
    <m/>
    <m/>
    <m/>
    <m/>
    <m/>
    <m/>
    <s v="MMR001CMP223"/>
    <s v="Update date: 16/May/2017. Data source: NRC"/>
  </r>
  <r>
    <x v="26"/>
    <x v="3"/>
    <x v="0"/>
    <s v="Shalom"/>
    <s v="Kachin"/>
    <x v="0"/>
    <s v="Qtr. 2 Lhaovo Baptist Church"/>
    <m/>
    <m/>
    <m/>
    <n v="17"/>
    <n v="17"/>
    <n v="58"/>
    <n v="17"/>
    <n v="58"/>
    <n v="17"/>
    <m/>
    <n v="17"/>
    <n v="76"/>
    <m/>
    <m/>
    <m/>
    <m/>
    <n v="17"/>
    <m/>
    <m/>
    <n v="15"/>
    <m/>
    <m/>
    <m/>
    <m/>
    <m/>
    <m/>
    <m/>
    <m/>
    <m/>
    <m/>
    <m/>
    <m/>
    <m/>
    <n v="0"/>
    <m/>
    <m/>
    <m/>
    <m/>
    <m/>
    <m/>
    <m/>
    <s v="MMR001CMP032"/>
    <s v="Update date: 2/June/2017. Data source: CAR_April"/>
  </r>
  <r>
    <x v="27"/>
    <x v="3"/>
    <x v="1"/>
    <s v="Solidarites"/>
    <s v="Kachin"/>
    <x v="0"/>
    <s v="Qtr. 2 Lhaovo Baptist Church"/>
    <m/>
    <n v="10"/>
    <m/>
    <m/>
    <n v="90"/>
    <m/>
    <m/>
    <m/>
    <m/>
    <m/>
    <n v="10"/>
    <m/>
    <m/>
    <m/>
    <m/>
    <m/>
    <n v="10"/>
    <m/>
    <m/>
    <m/>
    <m/>
    <m/>
    <m/>
    <m/>
    <m/>
    <m/>
    <m/>
    <m/>
    <m/>
    <m/>
    <m/>
    <m/>
    <m/>
    <n v="0"/>
    <m/>
    <m/>
    <m/>
    <m/>
    <m/>
    <m/>
    <m/>
    <s v="MMR001CMP032"/>
    <s v="Update date: 15/May/2017. Data source: SI "/>
  </r>
  <r>
    <x v="28"/>
    <x v="4"/>
    <x v="0"/>
    <s v="Shalom"/>
    <s v="Kachin"/>
    <x v="0"/>
    <s v="Hkat Cho "/>
    <m/>
    <m/>
    <m/>
    <n v="3"/>
    <n v="3"/>
    <n v="9"/>
    <n v="3"/>
    <n v="10"/>
    <n v="5"/>
    <m/>
    <n v="5"/>
    <n v="28"/>
    <m/>
    <m/>
    <m/>
    <m/>
    <m/>
    <m/>
    <m/>
    <m/>
    <m/>
    <m/>
    <m/>
    <m/>
    <m/>
    <m/>
    <m/>
    <m/>
    <m/>
    <m/>
    <m/>
    <m/>
    <m/>
    <n v="0"/>
    <m/>
    <m/>
    <m/>
    <m/>
    <m/>
    <m/>
    <m/>
    <s v="MMR001CMP028"/>
    <m/>
  </r>
  <r>
    <x v="28"/>
    <x v="4"/>
    <x v="0"/>
    <s v="Shalom"/>
    <s v="Kachin"/>
    <x v="0"/>
    <s v="Thargaya Lisu Baptist Church"/>
    <m/>
    <m/>
    <m/>
    <n v="1"/>
    <n v="1"/>
    <n v="3"/>
    <n v="1"/>
    <n v="3"/>
    <n v="1"/>
    <m/>
    <n v="1"/>
    <n v="3"/>
    <m/>
    <m/>
    <m/>
    <m/>
    <m/>
    <m/>
    <m/>
    <m/>
    <m/>
    <m/>
    <m/>
    <m/>
    <m/>
    <m/>
    <m/>
    <m/>
    <m/>
    <m/>
    <m/>
    <m/>
    <m/>
    <n v="0"/>
    <m/>
    <m/>
    <m/>
    <m/>
    <m/>
    <m/>
    <m/>
    <s v="MMR001CMP037"/>
    <m/>
  </r>
  <r>
    <x v="28"/>
    <x v="4"/>
    <x v="0"/>
    <s v="Shalom"/>
    <s v="Kachin"/>
    <x v="0"/>
    <s v="Nawng Hee Village"/>
    <m/>
    <m/>
    <m/>
    <n v="1"/>
    <n v="1"/>
    <n v="2"/>
    <n v="1"/>
    <n v="2"/>
    <n v="1"/>
    <m/>
    <n v="1"/>
    <n v="3"/>
    <m/>
    <m/>
    <m/>
    <m/>
    <m/>
    <m/>
    <m/>
    <m/>
    <m/>
    <m/>
    <m/>
    <m/>
    <m/>
    <m/>
    <m/>
    <m/>
    <m/>
    <m/>
    <m/>
    <m/>
    <m/>
    <n v="0"/>
    <m/>
    <m/>
    <m/>
    <m/>
    <m/>
    <m/>
    <m/>
    <s v="MMR001CMP033"/>
    <m/>
  </r>
  <r>
    <x v="28"/>
    <x v="4"/>
    <x v="0"/>
    <s v="Shalom"/>
    <s v="Kachin"/>
    <x v="0"/>
    <s v="Waingmaw AG Church"/>
    <m/>
    <m/>
    <m/>
    <n v="2"/>
    <n v="2"/>
    <n v="7"/>
    <n v="6"/>
    <n v="7"/>
    <n v="2"/>
    <m/>
    <n v="2"/>
    <n v="9"/>
    <m/>
    <m/>
    <m/>
    <m/>
    <m/>
    <m/>
    <m/>
    <m/>
    <m/>
    <m/>
    <m/>
    <m/>
    <m/>
    <m/>
    <m/>
    <m/>
    <m/>
    <m/>
    <m/>
    <m/>
    <m/>
    <n v="0"/>
    <m/>
    <m/>
    <m/>
    <m/>
    <m/>
    <m/>
    <m/>
    <s v="MMR001CMP038"/>
    <m/>
  </r>
  <r>
    <x v="29"/>
    <x v="4"/>
    <x v="2"/>
    <s v="NRC"/>
    <s v="Kachin"/>
    <x v="5"/>
    <s v="Pang Hkawng Yang"/>
    <m/>
    <m/>
    <m/>
    <m/>
    <m/>
    <n v="54"/>
    <n v="6"/>
    <n v="108"/>
    <n v="54"/>
    <m/>
    <m/>
    <n v="54"/>
    <m/>
    <m/>
    <m/>
    <m/>
    <m/>
    <m/>
    <m/>
    <m/>
    <m/>
    <m/>
    <m/>
    <m/>
    <m/>
    <m/>
    <m/>
    <m/>
    <m/>
    <m/>
    <m/>
    <m/>
    <m/>
    <n v="0"/>
    <m/>
    <m/>
    <m/>
    <m/>
    <m/>
    <m/>
    <m/>
    <s v=""/>
    <s v="Update date: 3/Jul/2017. Data source NRC. Distribution for Storm affected villages."/>
  </r>
  <r>
    <x v="30"/>
    <x v="4"/>
    <x v="2"/>
    <s v="NRC"/>
    <s v="Kachin"/>
    <x v="2"/>
    <s v="Man Kawng Catholic Church"/>
    <m/>
    <m/>
    <m/>
    <m/>
    <m/>
    <m/>
    <m/>
    <n v="350"/>
    <n v="38"/>
    <m/>
    <m/>
    <n v="175"/>
    <m/>
    <m/>
    <m/>
    <m/>
    <m/>
    <m/>
    <m/>
    <m/>
    <m/>
    <m/>
    <m/>
    <m/>
    <m/>
    <m/>
    <m/>
    <m/>
    <m/>
    <m/>
    <m/>
    <m/>
    <m/>
    <n v="0"/>
    <m/>
    <m/>
    <m/>
    <m/>
    <m/>
    <m/>
    <m/>
    <s v="MMR001CMP213"/>
    <m/>
  </r>
  <r>
    <x v="31"/>
    <x v="4"/>
    <x v="2"/>
    <s v="NRC"/>
    <s v="Shan_North"/>
    <x v="10"/>
    <s v="Nam Sa Larp"/>
    <m/>
    <m/>
    <m/>
    <m/>
    <m/>
    <n v="57"/>
    <m/>
    <m/>
    <n v="57"/>
    <m/>
    <m/>
    <n v="57"/>
    <m/>
    <m/>
    <m/>
    <m/>
    <m/>
    <m/>
    <m/>
    <m/>
    <m/>
    <m/>
    <m/>
    <m/>
    <m/>
    <m/>
    <m/>
    <m/>
    <m/>
    <m/>
    <m/>
    <m/>
    <m/>
    <n v="0"/>
    <m/>
    <m/>
    <m/>
    <m/>
    <m/>
    <m/>
    <m/>
    <s v="MMR015CMP218"/>
    <s v="3/Jul/2017: Updated NFI distribution. Data source NRC."/>
  </r>
  <r>
    <x v="32"/>
    <x v="4"/>
    <x v="2"/>
    <s v="NRC"/>
    <s v="Shan_North"/>
    <x v="9"/>
    <s v="Kutkai downtown (KBC Church-2)"/>
    <m/>
    <m/>
    <m/>
    <m/>
    <m/>
    <n v="46"/>
    <n v="12"/>
    <n v="92"/>
    <n v="46"/>
    <m/>
    <m/>
    <n v="46"/>
    <m/>
    <m/>
    <m/>
    <m/>
    <m/>
    <m/>
    <m/>
    <m/>
    <m/>
    <m/>
    <m/>
    <m/>
    <m/>
    <m/>
    <m/>
    <m/>
    <m/>
    <m/>
    <m/>
    <m/>
    <m/>
    <n v="0"/>
    <m/>
    <m/>
    <m/>
    <m/>
    <m/>
    <m/>
    <m/>
    <s v="MMR015CMP245"/>
    <s v="3/Jul/2017: Updated NFI distribution. Data source NRC."/>
  </r>
  <r>
    <x v="33"/>
    <x v="4"/>
    <x v="2"/>
    <s v="NRC"/>
    <s v="Shan_North"/>
    <x v="9"/>
    <s v="Man Loi"/>
    <m/>
    <m/>
    <m/>
    <m/>
    <m/>
    <n v="24"/>
    <n v="9"/>
    <n v="48"/>
    <n v="24"/>
    <m/>
    <m/>
    <n v="24"/>
    <m/>
    <m/>
    <m/>
    <m/>
    <m/>
    <m/>
    <m/>
    <m/>
    <m/>
    <m/>
    <m/>
    <m/>
    <m/>
    <m/>
    <m/>
    <m/>
    <m/>
    <m/>
    <m/>
    <m/>
    <m/>
    <n v="0"/>
    <m/>
    <m/>
    <m/>
    <m/>
    <m/>
    <m/>
    <m/>
    <s v="MMR015CMP246"/>
    <s v="3/Jul/2017: Updated NFI distribution. Data source NRC."/>
  </r>
  <r>
    <x v="33"/>
    <x v="4"/>
    <x v="2"/>
    <s v="NRC"/>
    <s v="Shan_North"/>
    <x v="9"/>
    <s v="Kutkai downtown (KBC Church-2)"/>
    <m/>
    <m/>
    <m/>
    <m/>
    <m/>
    <m/>
    <n v="24"/>
    <m/>
    <m/>
    <m/>
    <m/>
    <m/>
    <m/>
    <m/>
    <m/>
    <m/>
    <m/>
    <m/>
    <m/>
    <m/>
    <m/>
    <m/>
    <m/>
    <m/>
    <m/>
    <m/>
    <m/>
    <m/>
    <m/>
    <m/>
    <m/>
    <m/>
    <m/>
    <n v="0"/>
    <m/>
    <m/>
    <m/>
    <m/>
    <m/>
    <m/>
    <m/>
    <s v="MMR015CMP245"/>
    <m/>
  </r>
  <r>
    <x v="34"/>
    <x v="4"/>
    <x v="2"/>
    <s v="NRC"/>
    <s v="Shan_North"/>
    <x v="9"/>
    <s v="Mai Yu Lay New (Ta'ang)"/>
    <m/>
    <m/>
    <m/>
    <m/>
    <m/>
    <n v="143"/>
    <n v="62"/>
    <n v="286"/>
    <n v="143"/>
    <m/>
    <m/>
    <n v="143"/>
    <m/>
    <m/>
    <m/>
    <m/>
    <m/>
    <m/>
    <m/>
    <m/>
    <m/>
    <m/>
    <m/>
    <m/>
    <m/>
    <m/>
    <m/>
    <m/>
    <m/>
    <m/>
    <m/>
    <m/>
    <m/>
    <n v="0"/>
    <m/>
    <m/>
    <m/>
    <m/>
    <m/>
    <m/>
    <m/>
    <s v="MMR015CMP220"/>
    <s v="3/Jul/2017: Updated NFI distribution. Data source NRC."/>
  </r>
  <r>
    <x v="35"/>
    <x v="4"/>
    <x v="2"/>
    <s v="NRC"/>
    <s v="Shan_North"/>
    <x v="11"/>
    <s v="Nam Tu Baptist"/>
    <m/>
    <m/>
    <m/>
    <m/>
    <m/>
    <n v="46"/>
    <n v="9"/>
    <n v="46"/>
    <n v="46"/>
    <m/>
    <m/>
    <n v="46"/>
    <m/>
    <m/>
    <m/>
    <m/>
    <m/>
    <m/>
    <m/>
    <m/>
    <m/>
    <m/>
    <m/>
    <m/>
    <m/>
    <m/>
    <m/>
    <m/>
    <m/>
    <m/>
    <m/>
    <m/>
    <m/>
    <n v="0"/>
    <m/>
    <m/>
    <m/>
    <m/>
    <m/>
    <m/>
    <m/>
    <s v="MMR015CMP014"/>
    <s v="3/Jul/2017: Updated NFI distribution. Data source NRC."/>
  </r>
  <r>
    <x v="35"/>
    <x v="4"/>
    <x v="2"/>
    <s v="NRC"/>
    <s v="Shan_North"/>
    <x v="11"/>
    <s v="Lisu Church Namtu"/>
    <m/>
    <m/>
    <m/>
    <m/>
    <m/>
    <n v="25"/>
    <n v="5"/>
    <n v="25"/>
    <n v="25"/>
    <m/>
    <m/>
    <n v="25"/>
    <m/>
    <m/>
    <m/>
    <m/>
    <m/>
    <m/>
    <m/>
    <m/>
    <m/>
    <m/>
    <m/>
    <m/>
    <m/>
    <m/>
    <m/>
    <m/>
    <m/>
    <m/>
    <m/>
    <m/>
    <m/>
    <n v="0"/>
    <m/>
    <m/>
    <m/>
    <m/>
    <m/>
    <m/>
    <m/>
    <s v="MMR015CMP232"/>
    <s v="3/Jul/2017: Updated NFI distribution. Data source NRC."/>
  </r>
  <r>
    <x v="35"/>
    <x v="4"/>
    <x v="2"/>
    <s v="NRC"/>
    <s v="Shan_North"/>
    <x v="11"/>
    <s v="Pan Ta Pyae"/>
    <m/>
    <m/>
    <m/>
    <m/>
    <m/>
    <n v="16"/>
    <n v="3"/>
    <n v="16"/>
    <n v="16"/>
    <m/>
    <m/>
    <n v="16"/>
    <m/>
    <m/>
    <m/>
    <m/>
    <m/>
    <m/>
    <m/>
    <m/>
    <m/>
    <m/>
    <m/>
    <m/>
    <m/>
    <m/>
    <m/>
    <m/>
    <m/>
    <m/>
    <m/>
    <m/>
    <m/>
    <n v="0"/>
    <m/>
    <m/>
    <m/>
    <m/>
    <m/>
    <m/>
    <m/>
    <s v="MMR015CMP221"/>
    <s v="3/Jul/2017: Updated NFI distribution. Data source NRC."/>
  </r>
  <r>
    <x v="35"/>
    <x v="4"/>
    <x v="2"/>
    <s v="NRC"/>
    <s v="Shan_North"/>
    <x v="11"/>
    <s v="Kyu Sot"/>
    <m/>
    <m/>
    <m/>
    <m/>
    <m/>
    <n v="60"/>
    <m/>
    <n v="60"/>
    <n v="60"/>
    <m/>
    <m/>
    <n v="60"/>
    <m/>
    <m/>
    <m/>
    <m/>
    <m/>
    <m/>
    <m/>
    <m/>
    <m/>
    <m/>
    <m/>
    <m/>
    <m/>
    <m/>
    <m/>
    <m/>
    <m/>
    <m/>
    <m/>
    <m/>
    <m/>
    <n v="0"/>
    <m/>
    <m/>
    <m/>
    <m/>
    <m/>
    <m/>
    <m/>
    <s v="MMR015CMP248"/>
    <s v="3/Jul/2017: Updated NFI distribution. Data source NRC."/>
  </r>
  <r>
    <x v="36"/>
    <x v="5"/>
    <x v="2"/>
    <s v="KBC"/>
    <s v="Kachin"/>
    <x v="5"/>
    <s v="Host Families"/>
    <m/>
    <m/>
    <m/>
    <m/>
    <m/>
    <n v="79"/>
    <m/>
    <n v="158"/>
    <n v="79"/>
    <m/>
    <m/>
    <n v="79"/>
    <m/>
    <m/>
    <m/>
    <m/>
    <m/>
    <m/>
    <m/>
    <m/>
    <m/>
    <m/>
    <m/>
    <m/>
    <m/>
    <m/>
    <m/>
    <m/>
    <m/>
    <m/>
    <m/>
    <m/>
    <m/>
    <n v="0"/>
    <m/>
    <m/>
    <m/>
    <m/>
    <m/>
    <m/>
    <m/>
    <s v="MMR001CMP199"/>
    <m/>
  </r>
  <r>
    <x v="37"/>
    <x v="5"/>
    <x v="2"/>
    <s v="KBC"/>
    <s v="Kachin"/>
    <x v="2"/>
    <s v="Man Wing Catholic Church II"/>
    <m/>
    <m/>
    <m/>
    <m/>
    <m/>
    <n v="143"/>
    <m/>
    <n v="27"/>
    <n v="83"/>
    <m/>
    <m/>
    <n v="143"/>
    <m/>
    <m/>
    <m/>
    <m/>
    <m/>
    <n v="167"/>
    <m/>
    <m/>
    <m/>
    <m/>
    <m/>
    <m/>
    <m/>
    <m/>
    <m/>
    <m/>
    <m/>
    <m/>
    <m/>
    <m/>
    <m/>
    <n v="0"/>
    <m/>
    <m/>
    <m/>
    <m/>
    <m/>
    <m/>
    <m/>
    <s v="MMR001CMP228"/>
    <m/>
  </r>
  <r>
    <x v="37"/>
    <x v="5"/>
    <x v="2"/>
    <s v="KBC"/>
    <s v="Kachin"/>
    <x v="2"/>
    <s v="Man Wing Baptist Church"/>
    <m/>
    <m/>
    <m/>
    <m/>
    <m/>
    <n v="40"/>
    <m/>
    <m/>
    <m/>
    <m/>
    <m/>
    <n v="39"/>
    <m/>
    <m/>
    <m/>
    <m/>
    <m/>
    <n v="139"/>
    <m/>
    <m/>
    <m/>
    <m/>
    <m/>
    <m/>
    <m/>
    <m/>
    <m/>
    <m/>
    <m/>
    <m/>
    <m/>
    <m/>
    <m/>
    <n v="0"/>
    <m/>
    <m/>
    <m/>
    <m/>
    <m/>
    <m/>
    <m/>
    <s v="MMR001CMP133"/>
    <m/>
  </r>
  <r>
    <x v="38"/>
    <x v="5"/>
    <x v="3"/>
    <m/>
    <s v="Kachin"/>
    <x v="12"/>
    <s v="Tanai"/>
    <n v="288"/>
    <m/>
    <m/>
    <m/>
    <m/>
    <m/>
    <m/>
    <m/>
    <m/>
    <m/>
    <m/>
    <m/>
    <m/>
    <m/>
    <m/>
    <m/>
    <m/>
    <m/>
    <m/>
    <m/>
    <m/>
    <m/>
    <m/>
    <m/>
    <m/>
    <m/>
    <m/>
    <m/>
    <m/>
    <m/>
    <m/>
    <m/>
    <m/>
    <n v="0"/>
    <m/>
    <m/>
    <m/>
    <m/>
    <m/>
    <m/>
    <m/>
    <s v=""/>
    <s v="Data source Metta"/>
  </r>
  <r>
    <x v="38"/>
    <x v="5"/>
    <x v="4"/>
    <m/>
    <s v="Kachin"/>
    <x v="12"/>
    <s v="Tanai"/>
    <m/>
    <m/>
    <m/>
    <m/>
    <m/>
    <n v="255"/>
    <n v="255"/>
    <n v="255"/>
    <m/>
    <m/>
    <m/>
    <m/>
    <m/>
    <m/>
    <m/>
    <m/>
    <m/>
    <m/>
    <m/>
    <m/>
    <m/>
    <m/>
    <m/>
    <m/>
    <m/>
    <m/>
    <m/>
    <m/>
    <m/>
    <m/>
    <m/>
    <m/>
    <m/>
    <n v="0"/>
    <m/>
    <m/>
    <m/>
    <m/>
    <m/>
    <m/>
    <m/>
    <s v=""/>
    <s v="Data source MRCS"/>
  </r>
  <r>
    <x v="39"/>
    <x v="5"/>
    <x v="2"/>
    <s v="KBC"/>
    <s v="Kachin"/>
    <x v="5"/>
    <s v="Ta Gun Taing Monastery (Shwe Kyi Na)"/>
    <m/>
    <m/>
    <m/>
    <m/>
    <m/>
    <n v="20"/>
    <m/>
    <n v="40"/>
    <n v="20"/>
    <m/>
    <m/>
    <n v="20"/>
    <m/>
    <m/>
    <m/>
    <m/>
    <m/>
    <m/>
    <m/>
    <m/>
    <m/>
    <m/>
    <m/>
    <m/>
    <m/>
    <m/>
    <m/>
    <m/>
    <m/>
    <m/>
    <m/>
    <m/>
    <m/>
    <n v="0"/>
    <m/>
    <m/>
    <m/>
    <m/>
    <m/>
    <m/>
    <m/>
    <s v="MMR001CMP055"/>
    <m/>
  </r>
  <r>
    <x v="40"/>
    <x v="5"/>
    <x v="2"/>
    <s v="KBC"/>
    <s v="Kachin"/>
    <x v="5"/>
    <s v="Nant Hlaing Church"/>
    <m/>
    <m/>
    <m/>
    <m/>
    <m/>
    <m/>
    <m/>
    <m/>
    <n v="22"/>
    <m/>
    <m/>
    <m/>
    <m/>
    <m/>
    <m/>
    <m/>
    <m/>
    <m/>
    <m/>
    <m/>
    <m/>
    <m/>
    <m/>
    <m/>
    <m/>
    <m/>
    <m/>
    <m/>
    <m/>
    <m/>
    <m/>
    <m/>
    <m/>
    <n v="0"/>
    <m/>
    <m/>
    <m/>
    <m/>
    <m/>
    <m/>
    <m/>
    <s v="MMR001CMP054"/>
    <m/>
  </r>
  <r>
    <x v="40"/>
    <x v="5"/>
    <x v="2"/>
    <s v="KBC"/>
    <s v="Kachin"/>
    <x v="5"/>
    <s v="Yoe Kyi Monastery"/>
    <m/>
    <m/>
    <m/>
    <m/>
    <m/>
    <m/>
    <m/>
    <m/>
    <n v="14"/>
    <m/>
    <m/>
    <m/>
    <m/>
    <m/>
    <m/>
    <m/>
    <m/>
    <m/>
    <m/>
    <m/>
    <m/>
    <m/>
    <m/>
    <m/>
    <m/>
    <m/>
    <m/>
    <m/>
    <m/>
    <m/>
    <m/>
    <m/>
    <m/>
    <n v="0"/>
    <m/>
    <m/>
    <m/>
    <m/>
    <m/>
    <m/>
    <m/>
    <s v="MMR001CMP053"/>
    <m/>
  </r>
  <r>
    <x v="41"/>
    <x v="6"/>
    <x v="0"/>
    <s v="Shalom"/>
    <s v="Kachin"/>
    <x v="1"/>
    <s v="Ka Bu Dam CoC"/>
    <m/>
    <m/>
    <m/>
    <n v="17"/>
    <n v="14"/>
    <n v="25"/>
    <n v="17"/>
    <n v="38"/>
    <n v="17"/>
    <m/>
    <n v="17"/>
    <n v="26"/>
    <m/>
    <m/>
    <m/>
    <m/>
    <n v="17"/>
    <m/>
    <m/>
    <n v="17"/>
    <m/>
    <m/>
    <m/>
    <m/>
    <m/>
    <m/>
    <m/>
    <m/>
    <m/>
    <m/>
    <m/>
    <m/>
    <m/>
    <n v="0"/>
    <m/>
    <m/>
    <m/>
    <m/>
    <m/>
    <m/>
    <m/>
    <s v="MMR001CMP256"/>
    <m/>
  </r>
  <r>
    <x v="42"/>
    <x v="7"/>
    <x v="2"/>
    <s v="NRC"/>
    <s v="Kachin"/>
    <x v="3"/>
    <s v="Loi Je Lisu Camp"/>
    <m/>
    <m/>
    <m/>
    <m/>
    <m/>
    <m/>
    <n v="2"/>
    <m/>
    <m/>
    <m/>
    <m/>
    <m/>
    <m/>
    <m/>
    <m/>
    <m/>
    <m/>
    <m/>
    <m/>
    <m/>
    <m/>
    <m/>
    <m/>
    <m/>
    <m/>
    <m/>
    <m/>
    <m/>
    <m/>
    <m/>
    <m/>
    <m/>
    <m/>
    <n v="0"/>
    <m/>
    <m/>
    <m/>
    <m/>
    <m/>
    <m/>
    <m/>
    <s v="MMR001CMP070"/>
    <m/>
  </r>
  <r>
    <x v="42"/>
    <x v="7"/>
    <x v="2"/>
    <s v="NRC"/>
    <s v="Kachin"/>
    <x v="5"/>
    <s v="Ta Gun Taing Monastery (Shwe Kyi Na)"/>
    <m/>
    <m/>
    <m/>
    <m/>
    <m/>
    <m/>
    <n v="2"/>
    <m/>
    <m/>
    <m/>
    <m/>
    <m/>
    <m/>
    <m/>
    <m/>
    <m/>
    <m/>
    <m/>
    <m/>
    <m/>
    <m/>
    <m/>
    <m/>
    <m/>
    <m/>
    <m/>
    <m/>
    <m/>
    <m/>
    <m/>
    <m/>
    <m/>
    <m/>
    <n v="0"/>
    <m/>
    <m/>
    <m/>
    <m/>
    <m/>
    <m/>
    <m/>
    <s v="MMR001CMP055"/>
    <m/>
  </r>
  <r>
    <x v="43"/>
    <x v="7"/>
    <x v="2"/>
    <s v="KBC"/>
    <s v="Kachin"/>
    <x v="4"/>
    <s v="Pan Hkawn Yang village"/>
    <m/>
    <m/>
    <m/>
    <m/>
    <m/>
    <n v="60"/>
    <n v="10"/>
    <n v="60"/>
    <m/>
    <n v="60"/>
    <n v="30"/>
    <n v="60"/>
    <m/>
    <m/>
    <m/>
    <m/>
    <m/>
    <n v="60"/>
    <m/>
    <m/>
    <m/>
    <m/>
    <m/>
    <m/>
    <m/>
    <m/>
    <m/>
    <m/>
    <m/>
    <m/>
    <m/>
    <m/>
    <m/>
    <n v="0"/>
    <m/>
    <m/>
    <m/>
    <m/>
    <m/>
    <m/>
    <m/>
    <s v=""/>
    <m/>
  </r>
  <r>
    <x v="44"/>
    <x v="7"/>
    <x v="1"/>
    <s v="Solidarites"/>
    <s v="Kachin"/>
    <x v="4"/>
    <s v="Yel Lay village"/>
    <m/>
    <m/>
    <m/>
    <m/>
    <m/>
    <n v="10"/>
    <m/>
    <n v="10"/>
    <n v="5"/>
    <m/>
    <m/>
    <n v="10"/>
    <m/>
    <m/>
    <m/>
    <m/>
    <m/>
    <m/>
    <m/>
    <m/>
    <m/>
    <m/>
    <m/>
    <m/>
    <m/>
    <m/>
    <m/>
    <m/>
    <m/>
    <m/>
    <m/>
    <m/>
    <m/>
    <n v="0"/>
    <m/>
    <m/>
    <m/>
    <m/>
    <m/>
    <m/>
    <m/>
    <s v=""/>
    <m/>
  </r>
  <r>
    <x v="44"/>
    <x v="7"/>
    <x v="1"/>
    <s v="Solidarites"/>
    <s v="Kachin"/>
    <x v="4"/>
    <s v="Moe Sein Tune village"/>
    <m/>
    <m/>
    <m/>
    <m/>
    <m/>
    <n v="4"/>
    <m/>
    <n v="4"/>
    <n v="2"/>
    <m/>
    <m/>
    <n v="4"/>
    <m/>
    <m/>
    <m/>
    <m/>
    <m/>
    <m/>
    <m/>
    <m/>
    <m/>
    <m/>
    <m/>
    <m/>
    <m/>
    <m/>
    <m/>
    <m/>
    <m/>
    <m/>
    <m/>
    <m/>
    <m/>
    <n v="0"/>
    <m/>
    <m/>
    <m/>
    <m/>
    <m/>
    <m/>
    <m/>
    <s v=""/>
    <m/>
  </r>
  <r>
    <x v="44"/>
    <x v="7"/>
    <x v="2"/>
    <s v="NRC"/>
    <s v="Kachin"/>
    <x v="2"/>
    <s v="Maing Khaung"/>
    <m/>
    <m/>
    <m/>
    <m/>
    <m/>
    <m/>
    <m/>
    <m/>
    <m/>
    <m/>
    <m/>
    <m/>
    <m/>
    <m/>
    <m/>
    <m/>
    <m/>
    <n v="166"/>
    <m/>
    <m/>
    <m/>
    <m/>
    <m/>
    <m/>
    <m/>
    <m/>
    <m/>
    <m/>
    <m/>
    <m/>
    <m/>
    <m/>
    <m/>
    <n v="0"/>
    <m/>
    <m/>
    <m/>
    <m/>
    <m/>
    <m/>
    <m/>
    <s v="MMR001CMP218"/>
    <m/>
  </r>
  <r>
    <x v="44"/>
    <x v="7"/>
    <x v="2"/>
    <s v="NRC"/>
    <s v="Kachin"/>
    <x v="2"/>
    <s v="Mai Hkawng KBC Camp-2"/>
    <m/>
    <m/>
    <m/>
    <m/>
    <m/>
    <m/>
    <m/>
    <m/>
    <m/>
    <m/>
    <m/>
    <m/>
    <m/>
    <m/>
    <m/>
    <m/>
    <m/>
    <n v="64"/>
    <m/>
    <m/>
    <m/>
    <m/>
    <m/>
    <m/>
    <m/>
    <m/>
    <m/>
    <m/>
    <m/>
    <m/>
    <m/>
    <m/>
    <m/>
    <n v="0"/>
    <m/>
    <m/>
    <m/>
    <m/>
    <m/>
    <m/>
    <m/>
    <s v=""/>
    <m/>
  </r>
  <r>
    <x v="45"/>
    <x v="7"/>
    <x v="1"/>
    <s v="Solidarites"/>
    <s v="Kachin"/>
    <x v="4"/>
    <s v="Lat Pan La village"/>
    <m/>
    <m/>
    <m/>
    <m/>
    <m/>
    <n v="14"/>
    <m/>
    <n v="14"/>
    <n v="7"/>
    <m/>
    <m/>
    <n v="14"/>
    <m/>
    <m/>
    <m/>
    <m/>
    <m/>
    <m/>
    <m/>
    <m/>
    <m/>
    <m/>
    <m/>
    <m/>
    <m/>
    <m/>
    <m/>
    <m/>
    <m/>
    <m/>
    <m/>
    <m/>
    <m/>
    <n v="0"/>
    <m/>
    <m/>
    <m/>
    <m/>
    <m/>
    <m/>
    <m/>
    <s v=""/>
    <m/>
  </r>
  <r>
    <x v="45"/>
    <x v="7"/>
    <x v="1"/>
    <s v="Solidarites"/>
    <s v="Kachin"/>
    <x v="4"/>
    <s v="Man ma Lin village"/>
    <m/>
    <m/>
    <m/>
    <m/>
    <m/>
    <n v="8"/>
    <m/>
    <n v="8"/>
    <n v="4"/>
    <m/>
    <m/>
    <n v="8"/>
    <m/>
    <m/>
    <m/>
    <m/>
    <m/>
    <m/>
    <m/>
    <m/>
    <m/>
    <m/>
    <m/>
    <m/>
    <m/>
    <m/>
    <m/>
    <m/>
    <m/>
    <m/>
    <m/>
    <m/>
    <m/>
    <n v="0"/>
    <m/>
    <m/>
    <m/>
    <m/>
    <m/>
    <m/>
    <m/>
    <s v=""/>
    <m/>
  </r>
  <r>
    <x v="45"/>
    <x v="7"/>
    <x v="1"/>
    <s v="Solidarites"/>
    <s v="Kachin"/>
    <x v="5"/>
    <s v="Min Jong Kone Ward"/>
    <m/>
    <m/>
    <m/>
    <m/>
    <m/>
    <n v="12"/>
    <m/>
    <n v="12"/>
    <n v="6"/>
    <m/>
    <m/>
    <n v="12"/>
    <m/>
    <m/>
    <m/>
    <m/>
    <m/>
    <m/>
    <m/>
    <m/>
    <m/>
    <m/>
    <m/>
    <m/>
    <m/>
    <m/>
    <m/>
    <m/>
    <m/>
    <m/>
    <m/>
    <m/>
    <m/>
    <n v="0"/>
    <m/>
    <m/>
    <m/>
    <m/>
    <m/>
    <m/>
    <m/>
    <s v=""/>
    <m/>
  </r>
  <r>
    <x v="45"/>
    <x v="7"/>
    <x v="1"/>
    <s v="Solidarites"/>
    <s v="Kachin"/>
    <x v="5"/>
    <s v="Pauk Kone Ward"/>
    <m/>
    <m/>
    <m/>
    <m/>
    <m/>
    <n v="68"/>
    <m/>
    <n v="68"/>
    <n v="34"/>
    <m/>
    <m/>
    <n v="68"/>
    <m/>
    <m/>
    <m/>
    <m/>
    <m/>
    <m/>
    <m/>
    <m/>
    <m/>
    <m/>
    <m/>
    <m/>
    <m/>
    <m/>
    <m/>
    <m/>
    <m/>
    <m/>
    <m/>
    <m/>
    <m/>
    <n v="0"/>
    <m/>
    <m/>
    <m/>
    <m/>
    <m/>
    <m/>
    <m/>
    <s v=""/>
    <m/>
  </r>
  <r>
    <x v="45"/>
    <x v="7"/>
    <x v="1"/>
    <s v="Solidarites"/>
    <s v="Kachin"/>
    <x v="5"/>
    <s v="Khun Thar Ward"/>
    <m/>
    <m/>
    <m/>
    <m/>
    <m/>
    <n v="166"/>
    <m/>
    <n v="166"/>
    <n v="83"/>
    <m/>
    <m/>
    <n v="166"/>
    <m/>
    <m/>
    <m/>
    <m/>
    <m/>
    <m/>
    <m/>
    <m/>
    <m/>
    <m/>
    <m/>
    <m/>
    <m/>
    <m/>
    <m/>
    <m/>
    <m/>
    <m/>
    <m/>
    <m/>
    <m/>
    <n v="0"/>
    <m/>
    <m/>
    <m/>
    <m/>
    <m/>
    <m/>
    <m/>
    <s v=""/>
    <m/>
  </r>
  <r>
    <x v="46"/>
    <x v="7"/>
    <x v="1"/>
    <s v="Solidarites"/>
    <s v="Kachin"/>
    <x v="5"/>
    <s v="Host Families"/>
    <m/>
    <n v="131"/>
    <m/>
    <n v="141"/>
    <m/>
    <m/>
    <m/>
    <m/>
    <m/>
    <m/>
    <m/>
    <m/>
    <m/>
    <m/>
    <m/>
    <m/>
    <m/>
    <m/>
    <m/>
    <m/>
    <m/>
    <m/>
    <m/>
    <m/>
    <m/>
    <m/>
    <m/>
    <m/>
    <m/>
    <m/>
    <m/>
    <m/>
    <m/>
    <n v="0"/>
    <m/>
    <m/>
    <m/>
    <m/>
    <m/>
    <m/>
    <m/>
    <s v="MMR001CMP199"/>
    <m/>
  </r>
  <r>
    <x v="47"/>
    <x v="7"/>
    <x v="1"/>
    <s v="Solidarites"/>
    <s v="Kachin"/>
    <x v="1"/>
    <s v="Pamati AG church"/>
    <m/>
    <n v="29"/>
    <m/>
    <m/>
    <m/>
    <m/>
    <m/>
    <m/>
    <m/>
    <m/>
    <m/>
    <m/>
    <m/>
    <m/>
    <m/>
    <m/>
    <m/>
    <m/>
    <m/>
    <m/>
    <m/>
    <m/>
    <m/>
    <m/>
    <m/>
    <m/>
    <m/>
    <m/>
    <m/>
    <m/>
    <m/>
    <m/>
    <m/>
    <n v="0"/>
    <m/>
    <m/>
    <m/>
    <m/>
    <m/>
    <m/>
    <m/>
    <s v=""/>
    <m/>
  </r>
  <r>
    <x v="48"/>
    <x v="8"/>
    <x v="0"/>
    <s v="KMSS_Bhamo"/>
    <s v="Kachin"/>
    <x v="5"/>
    <s v="Loi Je RC camp"/>
    <m/>
    <m/>
    <m/>
    <m/>
    <m/>
    <m/>
    <n v="15"/>
    <m/>
    <m/>
    <m/>
    <m/>
    <m/>
    <m/>
    <m/>
    <m/>
    <m/>
    <m/>
    <m/>
    <m/>
    <m/>
    <m/>
    <m/>
    <m/>
    <m/>
    <m/>
    <m/>
    <m/>
    <m/>
    <m/>
    <m/>
    <m/>
    <m/>
    <m/>
    <n v="0"/>
    <m/>
    <m/>
    <m/>
    <m/>
    <m/>
    <m/>
    <m/>
    <s v=""/>
    <m/>
  </r>
  <r>
    <x v="49"/>
    <x v="8"/>
    <x v="0"/>
    <s v="Shalom"/>
    <s v="Kachin"/>
    <x v="0"/>
    <s v="Waignmaw lhavo zonal"/>
    <m/>
    <m/>
    <m/>
    <n v="4"/>
    <n v="4"/>
    <n v="6"/>
    <n v="4"/>
    <n v="4"/>
    <n v="3"/>
    <m/>
    <n v="3"/>
    <n v="5"/>
    <m/>
    <m/>
    <m/>
    <m/>
    <n v="4"/>
    <m/>
    <m/>
    <m/>
    <m/>
    <m/>
    <m/>
    <m/>
    <m/>
    <m/>
    <m/>
    <m/>
    <m/>
    <m/>
    <m/>
    <m/>
    <m/>
    <n v="0"/>
    <m/>
    <m/>
    <m/>
    <m/>
    <m/>
    <m/>
    <m/>
    <s v=""/>
    <m/>
  </r>
  <r>
    <x v="49"/>
    <x v="8"/>
    <x v="0"/>
    <s v="Shalom"/>
    <s v="Kachin"/>
    <x v="0"/>
    <s v="Waignmaw AG"/>
    <m/>
    <m/>
    <m/>
    <n v="3"/>
    <n v="3"/>
    <n v="6"/>
    <n v="3"/>
    <n v="8"/>
    <n v="2"/>
    <m/>
    <n v="2"/>
    <n v="8"/>
    <m/>
    <m/>
    <m/>
    <m/>
    <n v="3"/>
    <m/>
    <m/>
    <m/>
    <m/>
    <m/>
    <m/>
    <m/>
    <m/>
    <m/>
    <m/>
    <m/>
    <m/>
    <m/>
    <m/>
    <m/>
    <m/>
    <n v="0"/>
    <m/>
    <m/>
    <m/>
    <m/>
    <m/>
    <m/>
    <m/>
    <s v=""/>
    <m/>
  </r>
  <r>
    <x v="50"/>
    <x v="8"/>
    <x v="1"/>
    <s v="Solidarites"/>
    <s v="Kachin"/>
    <x v="12"/>
    <s v="Tanai RC church (kinsa Ra)"/>
    <m/>
    <n v="31"/>
    <m/>
    <m/>
    <m/>
    <m/>
    <m/>
    <m/>
    <m/>
    <m/>
    <m/>
    <m/>
    <m/>
    <m/>
    <m/>
    <m/>
    <m/>
    <m/>
    <m/>
    <m/>
    <m/>
    <m/>
    <m/>
    <m/>
    <m/>
    <m/>
    <m/>
    <m/>
    <m/>
    <m/>
    <m/>
    <m/>
    <m/>
    <n v="0"/>
    <m/>
    <m/>
    <m/>
    <m/>
    <m/>
    <m/>
    <m/>
    <s v=""/>
    <m/>
  </r>
  <r>
    <x v="51"/>
    <x v="9"/>
    <x v="5"/>
    <s v="UNHCR"/>
    <s v="Kachin"/>
    <x v="1"/>
    <s v="Maw Hpawng Hka Nan Baptist Church"/>
    <m/>
    <m/>
    <m/>
    <n v="1"/>
    <n v="1"/>
    <n v="3"/>
    <n v="1"/>
    <s v=" "/>
    <n v="1"/>
    <m/>
    <n v="1"/>
    <n v="3"/>
    <m/>
    <m/>
    <m/>
    <m/>
    <n v="1"/>
    <m/>
    <m/>
    <m/>
    <m/>
    <m/>
    <m/>
    <m/>
    <m/>
    <m/>
    <m/>
    <m/>
    <m/>
    <m/>
    <m/>
    <m/>
    <m/>
    <n v="0"/>
    <m/>
    <m/>
    <m/>
    <m/>
    <m/>
    <m/>
    <m/>
    <s v="MMR001CMP020"/>
    <m/>
  </r>
  <r>
    <x v="51"/>
    <x v="9"/>
    <x v="5"/>
    <s v="UNHCR"/>
    <s v="Kachin"/>
    <x v="0"/>
    <s v="Qtr. 2 Lhaovo Baptist Church"/>
    <m/>
    <m/>
    <m/>
    <n v="4"/>
    <n v="4"/>
    <n v="6"/>
    <n v="4"/>
    <n v="4"/>
    <n v="3"/>
    <m/>
    <n v="3"/>
    <n v="5"/>
    <m/>
    <m/>
    <m/>
    <m/>
    <n v="4"/>
    <m/>
    <m/>
    <m/>
    <m/>
    <m/>
    <m/>
    <m/>
    <m/>
    <m/>
    <m/>
    <m/>
    <m/>
    <m/>
    <m/>
    <m/>
    <m/>
    <n v="0"/>
    <m/>
    <m/>
    <m/>
    <m/>
    <m/>
    <m/>
    <m/>
    <s v="MMR001CMP032"/>
    <m/>
  </r>
  <r>
    <x v="51"/>
    <x v="9"/>
    <x v="5"/>
    <s v="UNHCR"/>
    <s v="Kachin"/>
    <x v="0"/>
    <s v="Waingmaw AG Church"/>
    <m/>
    <m/>
    <m/>
    <n v="2"/>
    <n v="2"/>
    <n v="3"/>
    <n v="2"/>
    <n v="5"/>
    <n v="1"/>
    <m/>
    <n v="1"/>
    <n v="5"/>
    <m/>
    <m/>
    <m/>
    <m/>
    <n v="2"/>
    <m/>
    <m/>
    <m/>
    <m/>
    <m/>
    <m/>
    <m/>
    <m/>
    <m/>
    <m/>
    <m/>
    <m/>
    <m/>
    <m/>
    <m/>
    <m/>
    <n v="0"/>
    <m/>
    <m/>
    <m/>
    <m/>
    <m/>
    <m/>
    <m/>
    <s v="MMR001CMP038"/>
    <m/>
  </r>
  <r>
    <x v="52"/>
    <x v="9"/>
    <x v="6"/>
    <s v="UNHCR"/>
    <s v="Kachin"/>
    <x v="3"/>
    <s v="Je Yang Hka "/>
    <m/>
    <m/>
    <m/>
    <m/>
    <m/>
    <m/>
    <m/>
    <n v="3170"/>
    <m/>
    <m/>
    <m/>
    <m/>
    <m/>
    <n v="2536"/>
    <m/>
    <m/>
    <m/>
    <m/>
    <m/>
    <m/>
    <m/>
    <m/>
    <m/>
    <m/>
    <m/>
    <m/>
    <m/>
    <m/>
    <m/>
    <m/>
    <m/>
    <m/>
    <m/>
    <n v="1"/>
    <m/>
    <m/>
    <m/>
    <m/>
    <m/>
    <m/>
    <m/>
    <s v="MMR001CMP121"/>
    <s v="21/Dec/2017: Updated NFI distribution. Data source KMSS-M"/>
  </r>
  <r>
    <x v="53"/>
    <x v="9"/>
    <x v="6"/>
    <s v="UNHCR"/>
    <s v="Kachin"/>
    <x v="0"/>
    <s v="Post 6 Camp"/>
    <m/>
    <m/>
    <m/>
    <m/>
    <m/>
    <m/>
    <m/>
    <n v="182"/>
    <m/>
    <m/>
    <m/>
    <m/>
    <n v="137"/>
    <n v="264"/>
    <m/>
    <m/>
    <m/>
    <m/>
    <m/>
    <m/>
    <m/>
    <m/>
    <m/>
    <m/>
    <m/>
    <m/>
    <m/>
    <m/>
    <m/>
    <m/>
    <m/>
    <m/>
    <m/>
    <n v="1"/>
    <m/>
    <m/>
    <m/>
    <m/>
    <m/>
    <m/>
    <m/>
    <s v="MMR001CMP160"/>
    <s v="21/Dec/2017: Updated NFI distribution. Data source KMSS-M"/>
  </r>
  <r>
    <x v="54"/>
    <x v="9"/>
    <x v="6"/>
    <s v="UNHCR"/>
    <s v="Kachin"/>
    <x v="3"/>
    <s v="Dum Bung "/>
    <m/>
    <m/>
    <m/>
    <m/>
    <m/>
    <m/>
    <m/>
    <n v="196"/>
    <m/>
    <m/>
    <m/>
    <m/>
    <n v="195"/>
    <n v="214"/>
    <m/>
    <m/>
    <m/>
    <m/>
    <m/>
    <m/>
    <m/>
    <m/>
    <m/>
    <m/>
    <m/>
    <m/>
    <m/>
    <m/>
    <m/>
    <m/>
    <m/>
    <m/>
    <m/>
    <n v="1"/>
    <m/>
    <m/>
    <m/>
    <m/>
    <m/>
    <m/>
    <m/>
    <s v="MMR001CMP123"/>
    <s v="21/Dec/2017: Updated NFI distribution. Data source KMSS-M"/>
  </r>
  <r>
    <x v="55"/>
    <x v="9"/>
    <x v="6"/>
    <s v="UNHCR"/>
    <s v="Kachin"/>
    <x v="0"/>
    <s v="Border Post 8"/>
    <m/>
    <m/>
    <m/>
    <m/>
    <m/>
    <m/>
    <m/>
    <n v="304"/>
    <m/>
    <m/>
    <m/>
    <m/>
    <n v="348"/>
    <n v="269"/>
    <m/>
    <m/>
    <m/>
    <m/>
    <m/>
    <m/>
    <m/>
    <m/>
    <m/>
    <m/>
    <m/>
    <m/>
    <m/>
    <m/>
    <m/>
    <m/>
    <m/>
    <m/>
    <m/>
    <n v="1"/>
    <m/>
    <m/>
    <m/>
    <m/>
    <m/>
    <m/>
    <m/>
    <s v="MMR001CMP113"/>
    <s v="21/Dec/2017: Updated NFI distribution. Data source KMSS-M"/>
  </r>
  <r>
    <x v="56"/>
    <x v="9"/>
    <x v="2"/>
    <s v="NRC"/>
    <s v="Kachin"/>
    <x v="3"/>
    <s v="Daw Hpum Yang Boarder Camp"/>
    <n v="69"/>
    <m/>
    <m/>
    <m/>
    <m/>
    <m/>
    <m/>
    <m/>
    <m/>
    <m/>
    <m/>
    <m/>
    <m/>
    <m/>
    <m/>
    <m/>
    <m/>
    <m/>
    <m/>
    <m/>
    <m/>
    <m/>
    <m/>
    <m/>
    <m/>
    <m/>
    <m/>
    <m/>
    <m/>
    <m/>
    <m/>
    <m/>
    <m/>
    <n v="0"/>
    <m/>
    <m/>
    <m/>
    <m/>
    <m/>
    <m/>
    <m/>
    <s v=""/>
    <m/>
  </r>
  <r>
    <x v="57"/>
    <x v="10"/>
    <x v="7"/>
    <s v="RI"/>
    <s v="Shan_North"/>
    <x v="11"/>
    <s v="Kyu Sot"/>
    <m/>
    <m/>
    <m/>
    <m/>
    <m/>
    <m/>
    <m/>
    <m/>
    <m/>
    <m/>
    <m/>
    <m/>
    <m/>
    <m/>
    <n v="60"/>
    <m/>
    <m/>
    <m/>
    <m/>
    <m/>
    <m/>
    <m/>
    <m/>
    <m/>
    <m/>
    <m/>
    <m/>
    <m/>
    <m/>
    <m/>
    <m/>
    <m/>
    <m/>
    <n v="1"/>
    <m/>
    <m/>
    <m/>
    <m/>
    <m/>
    <m/>
    <m/>
    <s v="MMR015CMP248"/>
    <m/>
  </r>
  <r>
    <x v="57"/>
    <x v="10"/>
    <x v="7"/>
    <s v="RI"/>
    <s v="Shan_North"/>
    <x v="11"/>
    <s v="Nam Tu Baptist"/>
    <m/>
    <m/>
    <m/>
    <m/>
    <m/>
    <m/>
    <m/>
    <m/>
    <m/>
    <m/>
    <m/>
    <m/>
    <m/>
    <m/>
    <n v="46"/>
    <m/>
    <m/>
    <m/>
    <m/>
    <m/>
    <m/>
    <m/>
    <m/>
    <m/>
    <m/>
    <m/>
    <m/>
    <m/>
    <m/>
    <m/>
    <m/>
    <m/>
    <m/>
    <n v="1"/>
    <m/>
    <m/>
    <m/>
    <m/>
    <m/>
    <m/>
    <m/>
    <s v="MMR015CMP014"/>
    <m/>
  </r>
  <r>
    <x v="58"/>
    <x v="10"/>
    <x v="0"/>
    <s v="Shalom"/>
    <s v="Kachin"/>
    <x v="1"/>
    <s v="Ka Bu Dam CoC"/>
    <m/>
    <m/>
    <m/>
    <m/>
    <m/>
    <m/>
    <m/>
    <n v="50"/>
    <m/>
    <m/>
    <m/>
    <m/>
    <n v="36"/>
    <n v="13"/>
    <m/>
    <m/>
    <m/>
    <m/>
    <m/>
    <m/>
    <m/>
    <m/>
    <m/>
    <m/>
    <m/>
    <m/>
    <m/>
    <m/>
    <m/>
    <m/>
    <m/>
    <m/>
    <m/>
    <n v="1"/>
    <m/>
    <m/>
    <m/>
    <m/>
    <m/>
    <m/>
    <m/>
    <s v="MMR001CMP256"/>
    <m/>
  </r>
  <r>
    <x v="59"/>
    <x v="10"/>
    <x v="7"/>
    <s v="RI"/>
    <s v="Shan_North"/>
    <x v="13"/>
    <s v="Muse Baptist Church"/>
    <m/>
    <m/>
    <m/>
    <m/>
    <m/>
    <m/>
    <m/>
    <m/>
    <m/>
    <m/>
    <m/>
    <m/>
    <m/>
    <m/>
    <n v="43"/>
    <m/>
    <m/>
    <m/>
    <m/>
    <m/>
    <m/>
    <m/>
    <m/>
    <m/>
    <m/>
    <m/>
    <m/>
    <m/>
    <m/>
    <m/>
    <m/>
    <m/>
    <m/>
    <n v="1"/>
    <m/>
    <m/>
    <m/>
    <m/>
    <m/>
    <m/>
    <m/>
    <s v="MMR015CMP213"/>
    <m/>
  </r>
  <r>
    <x v="59"/>
    <x v="10"/>
    <x v="7"/>
    <s v="RI"/>
    <s v="Shan_North"/>
    <x v="13"/>
    <s v="Muse Catholic Church"/>
    <m/>
    <m/>
    <m/>
    <m/>
    <m/>
    <m/>
    <m/>
    <m/>
    <m/>
    <m/>
    <m/>
    <m/>
    <m/>
    <m/>
    <n v="22"/>
    <m/>
    <m/>
    <m/>
    <m/>
    <m/>
    <m/>
    <m/>
    <m/>
    <m/>
    <m/>
    <m/>
    <m/>
    <m/>
    <m/>
    <m/>
    <m/>
    <m/>
    <m/>
    <n v="1"/>
    <m/>
    <m/>
    <m/>
    <m/>
    <m/>
    <m/>
    <m/>
    <s v="MMR015CMP216"/>
    <m/>
  </r>
  <r>
    <x v="60"/>
    <x v="11"/>
    <x v="4"/>
    <m/>
    <s v="Kachin"/>
    <x v="3"/>
    <s v="Loi Je Baptist Church"/>
    <m/>
    <m/>
    <m/>
    <m/>
    <m/>
    <m/>
    <m/>
    <m/>
    <m/>
    <m/>
    <m/>
    <m/>
    <m/>
    <m/>
    <m/>
    <n v="93"/>
    <m/>
    <m/>
    <m/>
    <m/>
    <m/>
    <m/>
    <m/>
    <m/>
    <m/>
    <m/>
    <m/>
    <m/>
    <m/>
    <m/>
    <m/>
    <m/>
    <m/>
    <n v="1"/>
    <m/>
    <m/>
    <m/>
    <m/>
    <m/>
    <m/>
    <m/>
    <s v="MMR001CMP071"/>
    <m/>
  </r>
  <r>
    <x v="60"/>
    <x v="11"/>
    <x v="4"/>
    <m/>
    <s v="Kachin"/>
    <x v="3"/>
    <s v="Loi Je Catholic Church"/>
    <m/>
    <m/>
    <m/>
    <m/>
    <m/>
    <m/>
    <m/>
    <m/>
    <m/>
    <m/>
    <m/>
    <m/>
    <m/>
    <m/>
    <m/>
    <n v="143"/>
    <m/>
    <m/>
    <m/>
    <m/>
    <m/>
    <m/>
    <m/>
    <m/>
    <m/>
    <m/>
    <m/>
    <m/>
    <m/>
    <m/>
    <m/>
    <m/>
    <m/>
    <n v="1"/>
    <m/>
    <m/>
    <m/>
    <m/>
    <m/>
    <m/>
    <m/>
    <s v="MMR001CMP069"/>
    <m/>
  </r>
  <r>
    <x v="60"/>
    <x v="11"/>
    <x v="4"/>
    <m/>
    <s v="Kachin"/>
    <x v="3"/>
    <s v="Loi Je Lisu Camp"/>
    <m/>
    <m/>
    <m/>
    <m/>
    <m/>
    <m/>
    <m/>
    <m/>
    <m/>
    <m/>
    <m/>
    <m/>
    <m/>
    <m/>
    <m/>
    <n v="474"/>
    <m/>
    <m/>
    <m/>
    <m/>
    <m/>
    <m/>
    <m/>
    <m/>
    <m/>
    <m/>
    <m/>
    <m/>
    <m/>
    <m/>
    <m/>
    <m/>
    <m/>
    <n v="1"/>
    <m/>
    <m/>
    <m/>
    <m/>
    <m/>
    <m/>
    <m/>
    <s v="MMR001CMP070"/>
    <m/>
  </r>
  <r>
    <x v="60"/>
    <x v="11"/>
    <x v="4"/>
    <m/>
    <s v="Kachin"/>
    <x v="3"/>
    <s v="Nyaung Na Pin "/>
    <m/>
    <m/>
    <m/>
    <m/>
    <m/>
    <m/>
    <m/>
    <m/>
    <m/>
    <m/>
    <m/>
    <m/>
    <m/>
    <m/>
    <m/>
    <n v="122"/>
    <m/>
    <m/>
    <m/>
    <m/>
    <m/>
    <m/>
    <m/>
    <m/>
    <m/>
    <m/>
    <m/>
    <m/>
    <m/>
    <m/>
    <m/>
    <m/>
    <m/>
    <n v="1"/>
    <m/>
    <m/>
    <m/>
    <m/>
    <m/>
    <m/>
    <m/>
    <s v="MMR001CMP072"/>
    <m/>
  </r>
  <r>
    <x v="60"/>
    <x v="11"/>
    <x v="4"/>
    <m/>
    <s v="Kachin"/>
    <x v="3"/>
    <s v="Seng Ja "/>
    <m/>
    <m/>
    <m/>
    <m/>
    <m/>
    <m/>
    <m/>
    <m/>
    <m/>
    <m/>
    <m/>
    <m/>
    <m/>
    <m/>
    <m/>
    <n v="101"/>
    <m/>
    <m/>
    <m/>
    <m/>
    <m/>
    <m/>
    <m/>
    <m/>
    <m/>
    <m/>
    <m/>
    <m/>
    <m/>
    <m/>
    <m/>
    <m/>
    <m/>
    <n v="1"/>
    <m/>
    <m/>
    <m/>
    <m/>
    <m/>
    <m/>
    <m/>
    <s v="MMR001CMP073"/>
    <m/>
  </r>
  <r>
    <x v="61"/>
    <x v="11"/>
    <x v="7"/>
    <s v="RI"/>
    <s v="Shan_North"/>
    <x v="11"/>
    <s v="B.E.H.S(1)"/>
    <m/>
    <m/>
    <m/>
    <n v="15"/>
    <m/>
    <m/>
    <m/>
    <m/>
    <m/>
    <m/>
    <m/>
    <m/>
    <m/>
    <m/>
    <n v="15"/>
    <m/>
    <m/>
    <m/>
    <m/>
    <m/>
    <m/>
    <m/>
    <m/>
    <m/>
    <m/>
    <m/>
    <m/>
    <m/>
    <m/>
    <m/>
    <m/>
    <m/>
    <m/>
    <n v="1"/>
    <m/>
    <m/>
    <m/>
    <m/>
    <m/>
    <m/>
    <m/>
    <s v=""/>
    <m/>
  </r>
  <r>
    <x v="62"/>
    <x v="11"/>
    <x v="8"/>
    <s v="UNFPA"/>
    <s v="Shan_North"/>
    <x v="14"/>
    <s v="Namhkan - Pang Long KBC"/>
    <m/>
    <m/>
    <n v="10"/>
    <m/>
    <m/>
    <m/>
    <m/>
    <m/>
    <m/>
    <m/>
    <m/>
    <m/>
    <m/>
    <m/>
    <m/>
    <m/>
    <m/>
    <m/>
    <m/>
    <m/>
    <m/>
    <m/>
    <m/>
    <m/>
    <m/>
    <m/>
    <m/>
    <m/>
    <m/>
    <m/>
    <m/>
    <m/>
    <m/>
    <n v="0"/>
    <m/>
    <m/>
    <m/>
    <m/>
    <m/>
    <m/>
    <m/>
    <s v="MMR015CMP215"/>
    <m/>
  </r>
  <r>
    <x v="63"/>
    <x v="11"/>
    <x v="8"/>
    <s v="UNFPA"/>
    <s v="Shan_North"/>
    <x v="14"/>
    <s v="Namhkan - Pang Long KBC"/>
    <m/>
    <m/>
    <n v="8"/>
    <m/>
    <m/>
    <m/>
    <m/>
    <m/>
    <m/>
    <m/>
    <m/>
    <m/>
    <m/>
    <m/>
    <m/>
    <m/>
    <m/>
    <m/>
    <m/>
    <m/>
    <m/>
    <m/>
    <m/>
    <m/>
    <m/>
    <m/>
    <m/>
    <m/>
    <m/>
    <m/>
    <m/>
    <m/>
    <m/>
    <n v="0"/>
    <m/>
    <m/>
    <m/>
    <m/>
    <m/>
    <m/>
    <m/>
    <s v="MMR015CMP215"/>
    <m/>
  </r>
  <r>
    <x v="64"/>
    <x v="11"/>
    <x v="4"/>
    <m/>
    <s v="Kachin"/>
    <x v="5"/>
    <s v="AD-2000 Tharthana Compound"/>
    <m/>
    <m/>
    <m/>
    <m/>
    <m/>
    <m/>
    <m/>
    <m/>
    <m/>
    <m/>
    <m/>
    <m/>
    <m/>
    <m/>
    <m/>
    <n v="257"/>
    <m/>
    <m/>
    <m/>
    <m/>
    <m/>
    <m/>
    <m/>
    <m/>
    <m/>
    <m/>
    <m/>
    <m/>
    <m/>
    <m/>
    <m/>
    <m/>
    <m/>
    <n v="1"/>
    <m/>
    <m/>
    <m/>
    <m/>
    <m/>
    <m/>
    <m/>
    <s v="MMR001CMP050"/>
    <m/>
  </r>
  <r>
    <x v="64"/>
    <x v="11"/>
    <x v="4"/>
    <m/>
    <s v="Kachin"/>
    <x v="5"/>
    <s v="Lisu Boarding-House"/>
    <m/>
    <m/>
    <m/>
    <m/>
    <m/>
    <m/>
    <m/>
    <m/>
    <m/>
    <m/>
    <m/>
    <m/>
    <m/>
    <m/>
    <m/>
    <n v="130"/>
    <m/>
    <m/>
    <m/>
    <m/>
    <m/>
    <m/>
    <m/>
    <m/>
    <m/>
    <m/>
    <m/>
    <m/>
    <m/>
    <m/>
    <m/>
    <m/>
    <m/>
    <n v="1"/>
    <m/>
    <m/>
    <m/>
    <m/>
    <m/>
    <m/>
    <m/>
    <s v="MMR001CMP049"/>
    <m/>
  </r>
  <r>
    <x v="64"/>
    <x v="11"/>
    <x v="4"/>
    <m/>
    <s v="Kachin"/>
    <x v="5"/>
    <s v="Nant Hlaing Church"/>
    <m/>
    <m/>
    <m/>
    <m/>
    <m/>
    <m/>
    <m/>
    <m/>
    <m/>
    <m/>
    <m/>
    <m/>
    <m/>
    <m/>
    <m/>
    <n v="21"/>
    <m/>
    <m/>
    <m/>
    <m/>
    <m/>
    <m/>
    <m/>
    <m/>
    <m/>
    <m/>
    <m/>
    <m/>
    <m/>
    <m/>
    <m/>
    <m/>
    <m/>
    <n v="1"/>
    <m/>
    <m/>
    <m/>
    <m/>
    <m/>
    <m/>
    <m/>
    <s v="MMR001CMP054"/>
    <m/>
  </r>
  <r>
    <x v="64"/>
    <x v="11"/>
    <x v="4"/>
    <m/>
    <s v="Kachin"/>
    <x v="5"/>
    <s v="Phan Khar Kone"/>
    <m/>
    <m/>
    <m/>
    <m/>
    <m/>
    <m/>
    <m/>
    <m/>
    <m/>
    <m/>
    <m/>
    <m/>
    <m/>
    <m/>
    <m/>
    <n v="144"/>
    <m/>
    <m/>
    <m/>
    <m/>
    <m/>
    <m/>
    <m/>
    <m/>
    <m/>
    <m/>
    <m/>
    <m/>
    <m/>
    <m/>
    <m/>
    <m/>
    <m/>
    <n v="1"/>
    <m/>
    <m/>
    <m/>
    <m/>
    <m/>
    <m/>
    <m/>
    <s v="MMR001CMP193"/>
    <m/>
  </r>
  <r>
    <x v="64"/>
    <x v="11"/>
    <x v="4"/>
    <m/>
    <s v="Kachin"/>
    <x v="5"/>
    <s v="Ta Gun Taing Monastery (Shwe Kyi Na)"/>
    <m/>
    <m/>
    <m/>
    <m/>
    <m/>
    <m/>
    <m/>
    <m/>
    <m/>
    <m/>
    <m/>
    <m/>
    <m/>
    <m/>
    <m/>
    <n v="20"/>
    <m/>
    <m/>
    <m/>
    <m/>
    <m/>
    <m/>
    <m/>
    <m/>
    <m/>
    <m/>
    <m/>
    <m/>
    <m/>
    <m/>
    <m/>
    <m/>
    <m/>
    <n v="1"/>
    <m/>
    <m/>
    <m/>
    <m/>
    <m/>
    <m/>
    <m/>
    <s v="MMR001CMP055"/>
    <m/>
  </r>
  <r>
    <x v="64"/>
    <x v="11"/>
    <x v="4"/>
    <m/>
    <s v="Kachin"/>
    <x v="5"/>
    <s v="Yoe Kyi Monastery"/>
    <m/>
    <m/>
    <m/>
    <m/>
    <m/>
    <m/>
    <m/>
    <m/>
    <m/>
    <m/>
    <m/>
    <m/>
    <m/>
    <m/>
    <m/>
    <n v="14"/>
    <m/>
    <m/>
    <m/>
    <m/>
    <m/>
    <m/>
    <m/>
    <m/>
    <m/>
    <m/>
    <m/>
    <m/>
    <m/>
    <m/>
    <m/>
    <m/>
    <m/>
    <n v="1"/>
    <m/>
    <m/>
    <m/>
    <m/>
    <m/>
    <m/>
    <m/>
    <s v="MMR001CMP053"/>
    <m/>
  </r>
  <r>
    <x v="64"/>
    <x v="11"/>
    <x v="4"/>
    <m/>
    <s v="Kachin"/>
    <x v="5"/>
    <s v="Mu-yin Baptist Church"/>
    <m/>
    <m/>
    <m/>
    <m/>
    <m/>
    <m/>
    <m/>
    <m/>
    <m/>
    <m/>
    <m/>
    <m/>
    <m/>
    <m/>
    <m/>
    <n v="13"/>
    <m/>
    <m/>
    <m/>
    <m/>
    <m/>
    <m/>
    <m/>
    <m/>
    <m/>
    <m/>
    <m/>
    <m/>
    <m/>
    <m/>
    <m/>
    <m/>
    <m/>
    <n v="1"/>
    <m/>
    <m/>
    <m/>
    <m/>
    <m/>
    <m/>
    <m/>
    <s v="MMR001CMP051"/>
    <m/>
  </r>
  <r>
    <x v="64"/>
    <x v="11"/>
    <x v="4"/>
    <m/>
    <s v="Kachin"/>
    <x v="5"/>
    <s v="Htoi San Church"/>
    <m/>
    <m/>
    <m/>
    <m/>
    <m/>
    <m/>
    <m/>
    <m/>
    <m/>
    <m/>
    <m/>
    <m/>
    <m/>
    <m/>
    <m/>
    <n v="39"/>
    <m/>
    <m/>
    <m/>
    <m/>
    <m/>
    <m/>
    <m/>
    <m/>
    <m/>
    <m/>
    <m/>
    <m/>
    <m/>
    <m/>
    <m/>
    <m/>
    <m/>
    <n v="1"/>
    <m/>
    <m/>
    <m/>
    <m/>
    <m/>
    <m/>
    <m/>
    <s v="MMR001CMP052"/>
    <m/>
  </r>
  <r>
    <x v="64"/>
    <x v="11"/>
    <x v="4"/>
    <m/>
    <s v="Kachin"/>
    <x v="5"/>
    <s v="Robert Church"/>
    <m/>
    <m/>
    <m/>
    <m/>
    <m/>
    <m/>
    <m/>
    <m/>
    <m/>
    <m/>
    <m/>
    <m/>
    <m/>
    <m/>
    <m/>
    <n v="508"/>
    <m/>
    <m/>
    <m/>
    <m/>
    <m/>
    <m/>
    <m/>
    <m/>
    <m/>
    <m/>
    <m/>
    <m/>
    <m/>
    <m/>
    <m/>
    <m/>
    <m/>
    <n v="1"/>
    <m/>
    <m/>
    <m/>
    <m/>
    <m/>
    <m/>
    <m/>
    <s v="MMR001CMP047"/>
    <m/>
  </r>
  <r>
    <x v="64"/>
    <x v="11"/>
    <x v="4"/>
    <m/>
    <s v="Kachin"/>
    <x v="3"/>
    <s v="Mandalay Monestry"/>
    <m/>
    <m/>
    <m/>
    <m/>
    <m/>
    <m/>
    <m/>
    <m/>
    <m/>
    <m/>
    <m/>
    <m/>
    <m/>
    <m/>
    <m/>
    <n v="5"/>
    <m/>
    <m/>
    <m/>
    <m/>
    <m/>
    <m/>
    <m/>
    <m/>
    <m/>
    <m/>
    <m/>
    <m/>
    <m/>
    <m/>
    <m/>
    <m/>
    <m/>
    <n v="1"/>
    <m/>
    <m/>
    <m/>
    <m/>
    <m/>
    <m/>
    <m/>
    <s v="MMR001CMP058"/>
    <m/>
  </r>
  <r>
    <x v="64"/>
    <x v="11"/>
    <x v="4"/>
    <m/>
    <s v="Kachin"/>
    <x v="3"/>
    <s v="Man Bung Catholic compound"/>
    <m/>
    <m/>
    <m/>
    <m/>
    <m/>
    <m/>
    <m/>
    <m/>
    <m/>
    <m/>
    <m/>
    <m/>
    <m/>
    <m/>
    <m/>
    <n v="223"/>
    <m/>
    <m/>
    <m/>
    <m/>
    <m/>
    <m/>
    <m/>
    <m/>
    <m/>
    <m/>
    <m/>
    <m/>
    <m/>
    <m/>
    <m/>
    <m/>
    <m/>
    <n v="1"/>
    <m/>
    <m/>
    <m/>
    <m/>
    <m/>
    <m/>
    <m/>
    <s v="MMR001CMP062"/>
    <m/>
  </r>
  <r>
    <x v="64"/>
    <x v="11"/>
    <x v="4"/>
    <m/>
    <s v="Kachin"/>
    <x v="3"/>
    <s v="Momauk Baptist Church"/>
    <m/>
    <m/>
    <m/>
    <m/>
    <m/>
    <m/>
    <m/>
    <m/>
    <m/>
    <m/>
    <m/>
    <m/>
    <m/>
    <m/>
    <m/>
    <n v="383"/>
    <m/>
    <m/>
    <m/>
    <m/>
    <m/>
    <m/>
    <m/>
    <m/>
    <m/>
    <m/>
    <m/>
    <m/>
    <m/>
    <m/>
    <m/>
    <m/>
    <m/>
    <n v="1"/>
    <m/>
    <m/>
    <m/>
    <m/>
    <m/>
    <m/>
    <m/>
    <s v="MMR001CMP056"/>
    <m/>
  </r>
  <r>
    <x v="64"/>
    <x v="11"/>
    <x v="4"/>
    <m/>
    <s v="Kachin"/>
    <x v="1"/>
    <s v="Jan Mai Kawng Baptist Church"/>
    <m/>
    <m/>
    <m/>
    <m/>
    <m/>
    <m/>
    <m/>
    <m/>
    <m/>
    <m/>
    <m/>
    <m/>
    <m/>
    <m/>
    <m/>
    <n v="202"/>
    <m/>
    <m/>
    <m/>
    <m/>
    <m/>
    <m/>
    <m/>
    <m/>
    <m/>
    <m/>
    <m/>
    <m/>
    <m/>
    <m/>
    <m/>
    <m/>
    <m/>
    <n v="1"/>
    <m/>
    <m/>
    <m/>
    <m/>
    <m/>
    <m/>
    <m/>
    <s v="MMR001CMP018"/>
    <m/>
  </r>
  <r>
    <x v="64"/>
    <x v="11"/>
    <x v="4"/>
    <m/>
    <s v="Kachin"/>
    <x v="1"/>
    <s v="Jan Mai Kawng Catholic Church"/>
    <m/>
    <m/>
    <m/>
    <m/>
    <m/>
    <m/>
    <m/>
    <m/>
    <m/>
    <m/>
    <m/>
    <m/>
    <m/>
    <m/>
    <m/>
    <n v="86"/>
    <m/>
    <m/>
    <m/>
    <m/>
    <m/>
    <m/>
    <m/>
    <m/>
    <m/>
    <m/>
    <m/>
    <m/>
    <m/>
    <m/>
    <m/>
    <m/>
    <m/>
    <n v="1"/>
    <m/>
    <m/>
    <m/>
    <m/>
    <m/>
    <m/>
    <m/>
    <s v="MMR001CMP019"/>
    <m/>
  </r>
  <r>
    <x v="64"/>
    <x v="11"/>
    <x v="4"/>
    <m/>
    <s v="Kachin"/>
    <x v="1"/>
    <s v="Kyun Pin Thar Baptist Church"/>
    <m/>
    <m/>
    <m/>
    <m/>
    <m/>
    <m/>
    <m/>
    <m/>
    <m/>
    <m/>
    <m/>
    <m/>
    <m/>
    <m/>
    <m/>
    <n v="17"/>
    <m/>
    <m/>
    <m/>
    <m/>
    <m/>
    <m/>
    <m/>
    <m/>
    <m/>
    <m/>
    <m/>
    <m/>
    <m/>
    <m/>
    <m/>
    <m/>
    <m/>
    <n v="1"/>
    <m/>
    <m/>
    <m/>
    <m/>
    <m/>
    <m/>
    <m/>
    <s v="MMR001CMP013"/>
    <m/>
  </r>
  <r>
    <x v="64"/>
    <x v="11"/>
    <x v="4"/>
    <m/>
    <s v="Kachin"/>
    <x v="1"/>
    <s v="Le Kone Bethlehem Church"/>
    <m/>
    <m/>
    <m/>
    <m/>
    <m/>
    <m/>
    <m/>
    <m/>
    <m/>
    <m/>
    <m/>
    <m/>
    <m/>
    <m/>
    <m/>
    <n v="30"/>
    <m/>
    <m/>
    <m/>
    <m/>
    <m/>
    <m/>
    <m/>
    <m/>
    <m/>
    <m/>
    <m/>
    <m/>
    <m/>
    <m/>
    <m/>
    <m/>
    <m/>
    <n v="1"/>
    <m/>
    <m/>
    <m/>
    <m/>
    <m/>
    <m/>
    <m/>
    <s v="MMR001CMP015"/>
    <m/>
  </r>
  <r>
    <x v="64"/>
    <x v="11"/>
    <x v="4"/>
    <m/>
    <s v="Kachin"/>
    <x v="1"/>
    <s v="Le Kone Ziun Baptist Church "/>
    <m/>
    <m/>
    <m/>
    <m/>
    <m/>
    <m/>
    <m/>
    <m/>
    <m/>
    <m/>
    <m/>
    <m/>
    <m/>
    <m/>
    <m/>
    <n v="86"/>
    <m/>
    <m/>
    <m/>
    <m/>
    <m/>
    <m/>
    <m/>
    <m/>
    <m/>
    <m/>
    <m/>
    <m/>
    <m/>
    <m/>
    <m/>
    <m/>
    <m/>
    <n v="1"/>
    <m/>
    <m/>
    <m/>
    <m/>
    <m/>
    <m/>
    <m/>
    <s v="MMR001CMP014"/>
    <m/>
  </r>
  <r>
    <x v="64"/>
    <x v="11"/>
    <x v="4"/>
    <m/>
    <s v="Kachin"/>
    <x v="1"/>
    <s v="Maliyang Baptist Church"/>
    <m/>
    <m/>
    <m/>
    <m/>
    <m/>
    <m/>
    <m/>
    <m/>
    <m/>
    <m/>
    <m/>
    <m/>
    <m/>
    <m/>
    <m/>
    <n v="61"/>
    <m/>
    <m/>
    <m/>
    <m/>
    <m/>
    <m/>
    <m/>
    <m/>
    <m/>
    <m/>
    <m/>
    <m/>
    <m/>
    <m/>
    <m/>
    <m/>
    <m/>
    <n v="1"/>
    <m/>
    <m/>
    <m/>
    <m/>
    <m/>
    <m/>
    <m/>
    <s v="MMR001CMP016"/>
    <m/>
  </r>
  <r>
    <x v="64"/>
    <x v="11"/>
    <x v="4"/>
    <m/>
    <s v="Kachin"/>
    <x v="1"/>
    <s v="Man Hkring Baptist Church"/>
    <m/>
    <m/>
    <m/>
    <m/>
    <m/>
    <m/>
    <m/>
    <m/>
    <m/>
    <m/>
    <m/>
    <m/>
    <m/>
    <m/>
    <m/>
    <n v="103"/>
    <m/>
    <m/>
    <m/>
    <m/>
    <m/>
    <m/>
    <m/>
    <m/>
    <m/>
    <m/>
    <m/>
    <m/>
    <m/>
    <m/>
    <m/>
    <m/>
    <m/>
    <n v="1"/>
    <m/>
    <m/>
    <m/>
    <m/>
    <m/>
    <m/>
    <m/>
    <s v="MMR001CMP008"/>
    <m/>
  </r>
  <r>
    <x v="64"/>
    <x v="11"/>
    <x v="4"/>
    <m/>
    <s v="Kachin"/>
    <x v="1"/>
    <s v="Maw Hpawng Hka Nan Baptist Church"/>
    <m/>
    <m/>
    <m/>
    <m/>
    <m/>
    <m/>
    <m/>
    <m/>
    <m/>
    <m/>
    <m/>
    <m/>
    <m/>
    <m/>
    <m/>
    <n v="24"/>
    <m/>
    <m/>
    <m/>
    <m/>
    <m/>
    <m/>
    <m/>
    <m/>
    <m/>
    <m/>
    <m/>
    <m/>
    <m/>
    <m/>
    <m/>
    <m/>
    <m/>
    <n v="1"/>
    <m/>
    <m/>
    <m/>
    <m/>
    <m/>
    <m/>
    <m/>
    <s v="MMR001CMP020"/>
    <m/>
  </r>
  <r>
    <x v="64"/>
    <x v="11"/>
    <x v="4"/>
    <m/>
    <s v="Kachin"/>
    <x v="1"/>
    <s v="Maw Hpawng Lhaovo Baptist Church"/>
    <m/>
    <m/>
    <m/>
    <m/>
    <m/>
    <m/>
    <m/>
    <m/>
    <m/>
    <m/>
    <m/>
    <m/>
    <m/>
    <m/>
    <m/>
    <n v="14"/>
    <m/>
    <m/>
    <m/>
    <m/>
    <m/>
    <m/>
    <m/>
    <m/>
    <m/>
    <m/>
    <m/>
    <m/>
    <m/>
    <m/>
    <m/>
    <m/>
    <m/>
    <n v="1"/>
    <m/>
    <m/>
    <m/>
    <m/>
    <m/>
    <m/>
    <m/>
    <s v="MMR001CMP021"/>
    <m/>
  </r>
  <r>
    <x v="64"/>
    <x v="11"/>
    <x v="4"/>
    <m/>
    <s v="Kachin"/>
    <x v="1"/>
    <s v="Nan Kway St. John Catholic Church"/>
    <m/>
    <m/>
    <m/>
    <m/>
    <m/>
    <m/>
    <m/>
    <m/>
    <m/>
    <m/>
    <m/>
    <m/>
    <m/>
    <m/>
    <m/>
    <n v="60"/>
    <m/>
    <m/>
    <m/>
    <m/>
    <m/>
    <m/>
    <m/>
    <m/>
    <m/>
    <m/>
    <m/>
    <m/>
    <m/>
    <m/>
    <m/>
    <m/>
    <m/>
    <n v="1"/>
    <m/>
    <m/>
    <m/>
    <m/>
    <m/>
    <m/>
    <m/>
    <s v="MMR001CMP024"/>
    <m/>
  </r>
  <r>
    <x v="64"/>
    <x v="11"/>
    <x v="4"/>
    <m/>
    <s v="Kachin"/>
    <x v="1"/>
    <s v="Njang Dung Baptist Church "/>
    <m/>
    <m/>
    <m/>
    <m/>
    <m/>
    <m/>
    <m/>
    <m/>
    <m/>
    <m/>
    <m/>
    <m/>
    <m/>
    <m/>
    <m/>
    <n v="66"/>
    <m/>
    <m/>
    <m/>
    <m/>
    <m/>
    <m/>
    <m/>
    <m/>
    <m/>
    <m/>
    <m/>
    <m/>
    <m/>
    <m/>
    <m/>
    <m/>
    <m/>
    <n v="1"/>
    <m/>
    <m/>
    <m/>
    <m/>
    <m/>
    <m/>
    <m/>
    <s v="MMR001CMP002"/>
    <m/>
  </r>
  <r>
    <x v="64"/>
    <x v="11"/>
    <x v="4"/>
    <m/>
    <s v="Kachin"/>
    <x v="1"/>
    <s v="Pa Dauk Myaing(Pa La Na)"/>
    <m/>
    <m/>
    <m/>
    <m/>
    <m/>
    <m/>
    <m/>
    <m/>
    <m/>
    <m/>
    <m/>
    <m/>
    <m/>
    <m/>
    <m/>
    <n v="46"/>
    <m/>
    <m/>
    <m/>
    <m/>
    <m/>
    <m/>
    <m/>
    <m/>
    <m/>
    <m/>
    <m/>
    <m/>
    <m/>
    <m/>
    <m/>
    <m/>
    <m/>
    <n v="1"/>
    <m/>
    <m/>
    <m/>
    <m/>
    <m/>
    <m/>
    <m/>
    <s v="MMR001CMP162"/>
    <m/>
  </r>
  <r>
    <x v="64"/>
    <x v="11"/>
    <x v="4"/>
    <m/>
    <s v="Kachin"/>
    <x v="1"/>
    <s v="Shatapru Sut Ngai Tawng"/>
    <m/>
    <m/>
    <m/>
    <m/>
    <m/>
    <m/>
    <m/>
    <m/>
    <m/>
    <m/>
    <m/>
    <m/>
    <m/>
    <m/>
    <m/>
    <n v="119"/>
    <m/>
    <m/>
    <m/>
    <m/>
    <m/>
    <m/>
    <m/>
    <m/>
    <m/>
    <m/>
    <m/>
    <m/>
    <m/>
    <m/>
    <m/>
    <m/>
    <m/>
    <n v="1"/>
    <m/>
    <m/>
    <m/>
    <m/>
    <m/>
    <m/>
    <m/>
    <s v="MMR001CMP006"/>
    <m/>
  </r>
  <r>
    <x v="64"/>
    <x v="11"/>
    <x v="4"/>
    <m/>
    <s v="Kachin"/>
    <x v="1"/>
    <s v="Shatapru Thida Aye Baptist Church"/>
    <m/>
    <m/>
    <m/>
    <m/>
    <m/>
    <m/>
    <m/>
    <m/>
    <m/>
    <m/>
    <m/>
    <m/>
    <m/>
    <m/>
    <m/>
    <n v="23"/>
    <m/>
    <m/>
    <m/>
    <m/>
    <m/>
    <m/>
    <m/>
    <m/>
    <m/>
    <m/>
    <m/>
    <m/>
    <m/>
    <m/>
    <m/>
    <m/>
    <m/>
    <n v="1"/>
    <m/>
    <m/>
    <m/>
    <m/>
    <m/>
    <m/>
    <m/>
    <s v="MMR001CMP007"/>
    <m/>
  </r>
  <r>
    <x v="64"/>
    <x v="11"/>
    <x v="4"/>
    <m/>
    <s v="Kachin"/>
    <x v="1"/>
    <s v="Shwe Zet Baptist Church"/>
    <m/>
    <m/>
    <m/>
    <m/>
    <m/>
    <m/>
    <m/>
    <m/>
    <m/>
    <m/>
    <m/>
    <m/>
    <m/>
    <m/>
    <m/>
    <n v="91"/>
    <m/>
    <m/>
    <m/>
    <m/>
    <m/>
    <m/>
    <m/>
    <m/>
    <m/>
    <m/>
    <m/>
    <m/>
    <m/>
    <m/>
    <m/>
    <m/>
    <m/>
    <n v="1"/>
    <m/>
    <m/>
    <m/>
    <m/>
    <m/>
    <m/>
    <m/>
    <s v="MMR001CMP009"/>
    <m/>
  </r>
  <r>
    <x v="64"/>
    <x v="11"/>
    <x v="4"/>
    <m/>
    <s v="Kachin"/>
    <x v="1"/>
    <s v="Tat Kone Baptist Church"/>
    <m/>
    <m/>
    <m/>
    <m/>
    <m/>
    <m/>
    <m/>
    <m/>
    <m/>
    <m/>
    <m/>
    <m/>
    <m/>
    <m/>
    <m/>
    <n v="69"/>
    <m/>
    <m/>
    <m/>
    <m/>
    <m/>
    <m/>
    <m/>
    <m/>
    <m/>
    <m/>
    <m/>
    <m/>
    <m/>
    <m/>
    <m/>
    <m/>
    <m/>
    <n v="1"/>
    <m/>
    <m/>
    <m/>
    <m/>
    <m/>
    <m/>
    <m/>
    <s v="MMR001CMP001"/>
    <m/>
  </r>
  <r>
    <x v="64"/>
    <x v="11"/>
    <x v="4"/>
    <m/>
    <s v="Kachin"/>
    <x v="1"/>
    <s v="Tat Kone Emanuel Church"/>
    <m/>
    <m/>
    <m/>
    <m/>
    <m/>
    <m/>
    <m/>
    <m/>
    <m/>
    <m/>
    <m/>
    <m/>
    <m/>
    <m/>
    <m/>
    <n v="7"/>
    <m/>
    <m/>
    <m/>
    <m/>
    <m/>
    <m/>
    <m/>
    <m/>
    <m/>
    <m/>
    <m/>
    <m/>
    <m/>
    <m/>
    <m/>
    <m/>
    <m/>
    <n v="1"/>
    <m/>
    <m/>
    <m/>
    <m/>
    <m/>
    <m/>
    <m/>
    <s v="MMR001CMP004"/>
    <m/>
  </r>
  <r>
    <x v="64"/>
    <x v="11"/>
    <x v="4"/>
    <m/>
    <s v="Kachin"/>
    <x v="1"/>
    <s v="Tat Kone Galile Baptist Church"/>
    <m/>
    <m/>
    <m/>
    <m/>
    <m/>
    <m/>
    <m/>
    <m/>
    <m/>
    <m/>
    <m/>
    <m/>
    <m/>
    <m/>
    <m/>
    <n v="30"/>
    <m/>
    <m/>
    <m/>
    <m/>
    <m/>
    <m/>
    <m/>
    <m/>
    <m/>
    <m/>
    <m/>
    <m/>
    <m/>
    <m/>
    <m/>
    <m/>
    <m/>
    <n v="1"/>
    <m/>
    <m/>
    <m/>
    <m/>
    <m/>
    <m/>
    <m/>
    <s v="MMR001CMP003"/>
    <m/>
  </r>
  <r>
    <x v="64"/>
    <x v="11"/>
    <x v="4"/>
    <m/>
    <s v="Kachin"/>
    <x v="1"/>
    <s v="Tat Kone San Pya Baptist Church"/>
    <m/>
    <m/>
    <m/>
    <m/>
    <m/>
    <m/>
    <m/>
    <m/>
    <m/>
    <m/>
    <m/>
    <m/>
    <m/>
    <m/>
    <m/>
    <n v="46"/>
    <m/>
    <m/>
    <m/>
    <m/>
    <m/>
    <m/>
    <m/>
    <m/>
    <m/>
    <m/>
    <m/>
    <m/>
    <m/>
    <m/>
    <m/>
    <m/>
    <m/>
    <n v="1"/>
    <m/>
    <m/>
    <m/>
    <m/>
    <m/>
    <m/>
    <m/>
    <s v="MMR001CMP005"/>
    <m/>
  </r>
  <r>
    <x v="64"/>
    <x v="11"/>
    <x v="4"/>
    <m/>
    <s v="Kachin"/>
    <x v="1"/>
    <s v="Tat Kone COC Baptist - Tat Kone Htoi San"/>
    <m/>
    <m/>
    <m/>
    <m/>
    <m/>
    <m/>
    <m/>
    <m/>
    <m/>
    <m/>
    <m/>
    <m/>
    <m/>
    <m/>
    <m/>
    <n v="54"/>
    <m/>
    <m/>
    <m/>
    <m/>
    <m/>
    <m/>
    <m/>
    <m/>
    <m/>
    <m/>
    <m/>
    <m/>
    <m/>
    <m/>
    <m/>
    <m/>
    <m/>
    <n v="1"/>
    <m/>
    <m/>
    <m/>
    <m/>
    <m/>
    <m/>
    <m/>
    <s v="MMR001CMP023"/>
    <m/>
  </r>
  <r>
    <x v="64"/>
    <x v="11"/>
    <x v="4"/>
    <m/>
    <s v="Kachin"/>
    <x v="1"/>
    <s v="Du Kahtawng Baptist"/>
    <m/>
    <m/>
    <m/>
    <m/>
    <m/>
    <m/>
    <m/>
    <m/>
    <m/>
    <m/>
    <m/>
    <m/>
    <m/>
    <m/>
    <m/>
    <n v="20"/>
    <m/>
    <m/>
    <m/>
    <m/>
    <m/>
    <m/>
    <m/>
    <m/>
    <m/>
    <m/>
    <m/>
    <m/>
    <m/>
    <m/>
    <m/>
    <m/>
    <m/>
    <n v="1"/>
    <m/>
    <m/>
    <m/>
    <m/>
    <m/>
    <m/>
    <m/>
    <s v="MMR001CMP010"/>
    <m/>
  </r>
  <r>
    <x v="64"/>
    <x v="11"/>
    <x v="4"/>
    <m/>
    <s v="Kachin"/>
    <x v="15"/>
    <s v="Nawng Ing (Indawgyi) Baptist Church  "/>
    <m/>
    <m/>
    <m/>
    <m/>
    <m/>
    <m/>
    <m/>
    <m/>
    <m/>
    <m/>
    <m/>
    <m/>
    <m/>
    <m/>
    <m/>
    <n v="23"/>
    <m/>
    <m/>
    <m/>
    <m/>
    <m/>
    <m/>
    <m/>
    <m/>
    <m/>
    <m/>
    <m/>
    <m/>
    <m/>
    <m/>
    <m/>
    <m/>
    <m/>
    <n v="1"/>
    <m/>
    <m/>
    <m/>
    <m/>
    <m/>
    <m/>
    <m/>
    <s v="MMR001CMP152"/>
    <m/>
  </r>
  <r>
    <x v="64"/>
    <x v="11"/>
    <x v="4"/>
    <m/>
    <s v="Kachin"/>
    <x v="15"/>
    <s v="St. Patrick Catholic Church "/>
    <m/>
    <m/>
    <m/>
    <m/>
    <m/>
    <m/>
    <m/>
    <m/>
    <m/>
    <m/>
    <m/>
    <m/>
    <m/>
    <m/>
    <m/>
    <n v="11"/>
    <m/>
    <m/>
    <m/>
    <m/>
    <m/>
    <m/>
    <m/>
    <m/>
    <m/>
    <m/>
    <m/>
    <m/>
    <m/>
    <m/>
    <m/>
    <m/>
    <m/>
    <n v="1"/>
    <m/>
    <m/>
    <m/>
    <m/>
    <m/>
    <m/>
    <m/>
    <s v="MMR001CMP080"/>
    <m/>
  </r>
  <r>
    <x v="64"/>
    <x v="11"/>
    <x v="4"/>
    <m/>
    <s v="Kachin"/>
    <x v="15"/>
    <s v="Aup Kyin Shan "/>
    <m/>
    <m/>
    <m/>
    <m/>
    <m/>
    <m/>
    <m/>
    <m/>
    <m/>
    <m/>
    <m/>
    <m/>
    <m/>
    <m/>
    <m/>
    <n v="54"/>
    <m/>
    <m/>
    <m/>
    <m/>
    <m/>
    <m/>
    <m/>
    <m/>
    <m/>
    <m/>
    <m/>
    <m/>
    <m/>
    <m/>
    <m/>
    <m/>
    <m/>
    <n v="1"/>
    <m/>
    <m/>
    <m/>
    <m/>
    <m/>
    <m/>
    <m/>
    <s v=""/>
    <m/>
  </r>
  <r>
    <x v="64"/>
    <x v="11"/>
    <x v="4"/>
    <s v="ICRC"/>
    <s v="Kachin"/>
    <x v="4"/>
    <s v="Shwe Gu Baptist Church"/>
    <m/>
    <m/>
    <m/>
    <m/>
    <m/>
    <m/>
    <m/>
    <m/>
    <m/>
    <m/>
    <m/>
    <m/>
    <n v="344"/>
    <n v="602"/>
    <n v="1032"/>
    <n v="172"/>
    <m/>
    <m/>
    <m/>
    <m/>
    <m/>
    <m/>
    <m/>
    <m/>
    <m/>
    <m/>
    <m/>
    <m/>
    <m/>
    <m/>
    <m/>
    <m/>
    <m/>
    <n v="1"/>
    <m/>
    <m/>
    <m/>
    <m/>
    <m/>
    <m/>
    <m/>
    <s v="MMR001CMP067"/>
    <m/>
  </r>
  <r>
    <x v="64"/>
    <x v="11"/>
    <x v="4"/>
    <s v="ICRC"/>
    <s v="Kachin"/>
    <x v="4"/>
    <s v="Shwe Gu Catholic Church"/>
    <m/>
    <m/>
    <m/>
    <m/>
    <m/>
    <m/>
    <m/>
    <m/>
    <m/>
    <m/>
    <m/>
    <m/>
    <n v="212"/>
    <n v="371"/>
    <n v="636"/>
    <n v="106"/>
    <m/>
    <m/>
    <m/>
    <m/>
    <m/>
    <m/>
    <m/>
    <m/>
    <m/>
    <m/>
    <m/>
    <m/>
    <m/>
    <m/>
    <m/>
    <m/>
    <m/>
    <n v="1"/>
    <m/>
    <m/>
    <m/>
    <m/>
    <m/>
    <m/>
    <m/>
    <s v="MMR001CMP068"/>
    <m/>
  </r>
  <r>
    <x v="64"/>
    <x v="11"/>
    <x v="9"/>
    <s v="UNFPA"/>
    <s v="Shan_North"/>
    <x v="14"/>
    <s v="Nam Hkam - Nay Win Ni (Palawng)"/>
    <m/>
    <m/>
    <n v="7"/>
    <m/>
    <m/>
    <m/>
    <m/>
    <m/>
    <m/>
    <m/>
    <m/>
    <m/>
    <m/>
    <m/>
    <m/>
    <m/>
    <m/>
    <m/>
    <m/>
    <m/>
    <m/>
    <m/>
    <m/>
    <m/>
    <m/>
    <m/>
    <m/>
    <m/>
    <m/>
    <m/>
    <m/>
    <m/>
    <m/>
    <n v="0"/>
    <m/>
    <m/>
    <m/>
    <m/>
    <m/>
    <m/>
    <m/>
    <s v="MMR015CMP004"/>
    <m/>
  </r>
  <r>
    <x v="65"/>
    <x v="11"/>
    <x v="7"/>
    <s v="RI"/>
    <s v="Shan_North"/>
    <x v="14"/>
    <s v="Namhkan - Pang Long KBC"/>
    <m/>
    <m/>
    <m/>
    <m/>
    <m/>
    <m/>
    <m/>
    <m/>
    <m/>
    <m/>
    <m/>
    <m/>
    <m/>
    <m/>
    <n v="15"/>
    <m/>
    <m/>
    <m/>
    <m/>
    <m/>
    <m/>
    <m/>
    <m/>
    <m/>
    <m/>
    <m/>
    <m/>
    <m/>
    <m/>
    <m/>
    <m/>
    <m/>
    <m/>
    <n v="1"/>
    <m/>
    <m/>
    <m/>
    <m/>
    <m/>
    <m/>
    <m/>
    <s v="MMR015CMP215"/>
    <m/>
  </r>
  <r>
    <x v="65"/>
    <x v="11"/>
    <x v="7"/>
    <s v="RI"/>
    <s v="Shan_North"/>
    <x v="14"/>
    <s v="Nam Hkam - Nay Win Ni (Palawng)"/>
    <m/>
    <m/>
    <m/>
    <m/>
    <m/>
    <m/>
    <m/>
    <m/>
    <m/>
    <m/>
    <m/>
    <m/>
    <m/>
    <m/>
    <n v="8"/>
    <m/>
    <m/>
    <m/>
    <m/>
    <m/>
    <m/>
    <m/>
    <m/>
    <m/>
    <m/>
    <m/>
    <m/>
    <m/>
    <m/>
    <m/>
    <m/>
    <m/>
    <m/>
    <n v="1"/>
    <m/>
    <m/>
    <m/>
    <m/>
    <m/>
    <m/>
    <m/>
    <s v="MMR015CMP004"/>
    <m/>
  </r>
  <r>
    <x v="65"/>
    <x v="11"/>
    <x v="7"/>
    <s v="RI"/>
    <s v="Shan_North"/>
    <x v="14"/>
    <s v="Nam Hkam Catholic Church ( St. Thomas I)"/>
    <m/>
    <m/>
    <m/>
    <m/>
    <m/>
    <m/>
    <m/>
    <m/>
    <m/>
    <m/>
    <m/>
    <m/>
    <m/>
    <m/>
    <n v="1"/>
    <m/>
    <m/>
    <m/>
    <m/>
    <m/>
    <m/>
    <m/>
    <m/>
    <m/>
    <m/>
    <m/>
    <m/>
    <m/>
    <m/>
    <m/>
    <m/>
    <m/>
    <m/>
    <n v="1"/>
    <m/>
    <m/>
    <m/>
    <m/>
    <m/>
    <m/>
    <m/>
    <s v="MMR015CMP003"/>
    <m/>
  </r>
  <r>
    <x v="65"/>
    <x v="11"/>
    <x v="10"/>
    <s v="SCI"/>
    <s v="Kachin"/>
    <x v="2"/>
    <s v="Man Wing Catholic Church"/>
    <m/>
    <m/>
    <m/>
    <n v="11"/>
    <m/>
    <m/>
    <m/>
    <m/>
    <m/>
    <m/>
    <m/>
    <m/>
    <m/>
    <m/>
    <m/>
    <m/>
    <m/>
    <m/>
    <m/>
    <m/>
    <m/>
    <m/>
    <m/>
    <m/>
    <m/>
    <m/>
    <m/>
    <m/>
    <m/>
    <m/>
    <m/>
    <m/>
    <m/>
    <n v="0"/>
    <m/>
    <m/>
    <m/>
    <m/>
    <m/>
    <m/>
    <m/>
    <s v="MMR001CMP132"/>
    <s v="9/1/2018: Updated NFI distribution. Data source SCI"/>
  </r>
  <r>
    <x v="65"/>
    <x v="11"/>
    <x v="10"/>
    <s v="SCI"/>
    <s v="Kachin"/>
    <x v="2"/>
    <s v="Man Wing Catholic Church II"/>
    <m/>
    <m/>
    <m/>
    <n v="3"/>
    <m/>
    <m/>
    <m/>
    <m/>
    <m/>
    <m/>
    <m/>
    <m/>
    <m/>
    <m/>
    <m/>
    <m/>
    <m/>
    <m/>
    <m/>
    <m/>
    <m/>
    <m/>
    <m/>
    <m/>
    <m/>
    <m/>
    <m/>
    <m/>
    <m/>
    <m/>
    <m/>
    <m/>
    <m/>
    <n v="0"/>
    <m/>
    <m/>
    <m/>
    <m/>
    <m/>
    <m/>
    <m/>
    <s v="MMR001CMP228"/>
    <s v="9/1/2018: Updated NFI distribution. Data source SCI"/>
  </r>
  <r>
    <x v="65"/>
    <x v="11"/>
    <x v="10"/>
    <s v="SCI"/>
    <s v="Kachin"/>
    <x v="2"/>
    <s v="Man Wing Baptist Church Cultural Compound"/>
    <m/>
    <m/>
    <m/>
    <n v="20"/>
    <m/>
    <m/>
    <m/>
    <m/>
    <m/>
    <m/>
    <m/>
    <m/>
    <m/>
    <m/>
    <m/>
    <m/>
    <m/>
    <m/>
    <m/>
    <m/>
    <m/>
    <m/>
    <m/>
    <m/>
    <m/>
    <m/>
    <m/>
    <m/>
    <m/>
    <m/>
    <m/>
    <m/>
    <m/>
    <n v="0"/>
    <m/>
    <m/>
    <m/>
    <m/>
    <m/>
    <m/>
    <m/>
    <s v="MMR001CMP230"/>
    <s v="9/1/2018: Updated NFI distribution. Data source SCI"/>
  </r>
  <r>
    <x v="65"/>
    <x v="11"/>
    <x v="10"/>
    <s v="SCI"/>
    <s v="Shan_North"/>
    <x v="14"/>
    <s v="Namhkan - Pang Long KBC"/>
    <m/>
    <m/>
    <m/>
    <n v="14"/>
    <m/>
    <m/>
    <m/>
    <m/>
    <m/>
    <m/>
    <m/>
    <m/>
    <m/>
    <m/>
    <m/>
    <m/>
    <m/>
    <m/>
    <m/>
    <m/>
    <m/>
    <m/>
    <m/>
    <m/>
    <m/>
    <m/>
    <m/>
    <m/>
    <m/>
    <m/>
    <m/>
    <m/>
    <m/>
    <n v="0"/>
    <m/>
    <m/>
    <m/>
    <m/>
    <m/>
    <m/>
    <m/>
    <s v="MMR015CMP215"/>
    <s v="9/1/2018: Updated NFI distribution. Data source SCI"/>
  </r>
  <r>
    <x v="65"/>
    <x v="11"/>
    <x v="10"/>
    <s v="SCI"/>
    <s v="Shan_North"/>
    <x v="14"/>
    <s v="Nam Hkam - Nay Win Ni (Palawng)"/>
    <m/>
    <m/>
    <m/>
    <n v="8"/>
    <m/>
    <m/>
    <m/>
    <m/>
    <m/>
    <m/>
    <m/>
    <m/>
    <m/>
    <m/>
    <m/>
    <m/>
    <m/>
    <m/>
    <m/>
    <m/>
    <m/>
    <m/>
    <m/>
    <m/>
    <m/>
    <m/>
    <m/>
    <m/>
    <m/>
    <m/>
    <m/>
    <m/>
    <m/>
    <n v="0"/>
    <m/>
    <m/>
    <m/>
    <m/>
    <m/>
    <m/>
    <m/>
    <s v="MMR015CMP004"/>
    <s v="9/1/2018: Updated NFI distribution. Data source SCI"/>
  </r>
  <r>
    <x v="66"/>
    <x v="12"/>
    <x v="7"/>
    <s v="RI"/>
    <s v="Shan_North"/>
    <x v="16"/>
    <s v="Thanti Thukha Religious building"/>
    <m/>
    <m/>
    <m/>
    <m/>
    <m/>
    <m/>
    <m/>
    <m/>
    <m/>
    <m/>
    <m/>
    <m/>
    <m/>
    <m/>
    <n v="72"/>
    <m/>
    <m/>
    <m/>
    <n v="10"/>
    <m/>
    <m/>
    <m/>
    <m/>
    <m/>
    <m/>
    <m/>
    <m/>
    <m/>
    <m/>
    <m/>
    <m/>
    <m/>
    <m/>
    <n v="1"/>
    <m/>
    <m/>
    <m/>
    <m/>
    <m/>
    <m/>
    <m/>
    <s v=""/>
    <m/>
  </r>
  <r>
    <x v="66"/>
    <x v="12"/>
    <x v="7"/>
    <s v="CSOs"/>
    <s v="Shan_North"/>
    <x v="16"/>
    <s v="Thanti Thukha Religious building"/>
    <m/>
    <m/>
    <m/>
    <m/>
    <m/>
    <m/>
    <m/>
    <m/>
    <m/>
    <m/>
    <m/>
    <m/>
    <n v="144"/>
    <m/>
    <n v="144"/>
    <n v="144"/>
    <m/>
    <m/>
    <n v="10"/>
    <m/>
    <m/>
    <m/>
    <m/>
    <m/>
    <m/>
    <m/>
    <m/>
    <m/>
    <m/>
    <m/>
    <m/>
    <m/>
    <m/>
    <n v="1"/>
    <m/>
    <m/>
    <m/>
    <m/>
    <m/>
    <m/>
    <m/>
    <s v=""/>
    <m/>
  </r>
  <r>
    <x v="66"/>
    <x v="12"/>
    <x v="7"/>
    <s v="CSOs"/>
    <s v="Shan_North"/>
    <x v="16"/>
    <s v="Aung Min Galar (Monastery)"/>
    <m/>
    <m/>
    <m/>
    <m/>
    <m/>
    <m/>
    <m/>
    <m/>
    <m/>
    <m/>
    <m/>
    <m/>
    <n v="102"/>
    <m/>
    <n v="102"/>
    <n v="102"/>
    <m/>
    <m/>
    <n v="10"/>
    <m/>
    <m/>
    <m/>
    <m/>
    <m/>
    <m/>
    <m/>
    <m/>
    <m/>
    <m/>
    <m/>
    <m/>
    <m/>
    <m/>
    <n v="1"/>
    <m/>
    <m/>
    <m/>
    <m/>
    <m/>
    <m/>
    <m/>
    <s v=""/>
    <m/>
  </r>
  <r>
    <x v="66"/>
    <x v="12"/>
    <x v="7"/>
    <s v="CSOs"/>
    <s v="Shan_North"/>
    <x v="16"/>
    <s v="Warso ( Monastery)"/>
    <m/>
    <m/>
    <m/>
    <m/>
    <m/>
    <m/>
    <m/>
    <m/>
    <m/>
    <m/>
    <m/>
    <m/>
    <n v="152"/>
    <m/>
    <n v="152"/>
    <n v="152"/>
    <m/>
    <m/>
    <m/>
    <m/>
    <m/>
    <m/>
    <m/>
    <m/>
    <m/>
    <m/>
    <m/>
    <m/>
    <m/>
    <m/>
    <m/>
    <m/>
    <m/>
    <n v="1"/>
    <m/>
    <m/>
    <m/>
    <m/>
    <m/>
    <m/>
    <m/>
    <s v=""/>
    <m/>
  </r>
  <r>
    <x v="66"/>
    <x v="12"/>
    <x v="7"/>
    <s v="CSOs"/>
    <s v="Shan_North"/>
    <x v="16"/>
    <s v="Aung Myay Thar Yar (Monastery)"/>
    <m/>
    <m/>
    <m/>
    <m/>
    <m/>
    <m/>
    <m/>
    <m/>
    <m/>
    <m/>
    <m/>
    <m/>
    <n v="62"/>
    <m/>
    <n v="62"/>
    <n v="62"/>
    <m/>
    <m/>
    <m/>
    <m/>
    <m/>
    <m/>
    <m/>
    <m/>
    <m/>
    <m/>
    <m/>
    <m/>
    <m/>
    <m/>
    <m/>
    <m/>
    <m/>
    <n v="1"/>
    <m/>
    <m/>
    <m/>
    <m/>
    <m/>
    <m/>
    <m/>
    <s v=""/>
    <m/>
  </r>
  <r>
    <x v="67"/>
    <x v="12"/>
    <x v="7"/>
    <s v="RI"/>
    <s v="Shan_North"/>
    <x v="16"/>
    <s v="Aung Min Galar Monastery"/>
    <m/>
    <m/>
    <m/>
    <m/>
    <m/>
    <m/>
    <m/>
    <m/>
    <m/>
    <m/>
    <m/>
    <m/>
    <m/>
    <m/>
    <n v="51"/>
    <m/>
    <m/>
    <m/>
    <n v="10"/>
    <m/>
    <m/>
    <m/>
    <m/>
    <m/>
    <m/>
    <m/>
    <m/>
    <m/>
    <m/>
    <m/>
    <m/>
    <m/>
    <m/>
    <n v="1"/>
    <m/>
    <m/>
    <m/>
    <m/>
    <m/>
    <m/>
    <m/>
    <s v=""/>
    <m/>
  </r>
  <r>
    <x v="68"/>
    <x v="12"/>
    <x v="7"/>
    <s v="RI"/>
    <s v="Shan_North"/>
    <x v="16"/>
    <s v="Warso Monastery"/>
    <m/>
    <m/>
    <m/>
    <m/>
    <m/>
    <m/>
    <m/>
    <m/>
    <m/>
    <m/>
    <m/>
    <m/>
    <m/>
    <m/>
    <n v="76"/>
    <m/>
    <m/>
    <m/>
    <m/>
    <m/>
    <m/>
    <m/>
    <m/>
    <m/>
    <m/>
    <m/>
    <m/>
    <m/>
    <m/>
    <m/>
    <m/>
    <m/>
    <m/>
    <n v="1"/>
    <m/>
    <m/>
    <m/>
    <m/>
    <m/>
    <m/>
    <m/>
    <s v=""/>
    <m/>
  </r>
  <r>
    <x v="69"/>
    <x v="12"/>
    <x v="7"/>
    <s v="RI"/>
    <s v="Shan_North"/>
    <x v="16"/>
    <s v="Aung Myay Thar Yar Monastery"/>
    <m/>
    <m/>
    <m/>
    <m/>
    <m/>
    <m/>
    <m/>
    <m/>
    <m/>
    <m/>
    <m/>
    <m/>
    <m/>
    <m/>
    <n v="31"/>
    <m/>
    <m/>
    <m/>
    <m/>
    <m/>
    <m/>
    <m/>
    <m/>
    <m/>
    <m/>
    <m/>
    <m/>
    <m/>
    <m/>
    <m/>
    <m/>
    <m/>
    <m/>
    <n v="1"/>
    <m/>
    <m/>
    <m/>
    <m/>
    <m/>
    <m/>
    <m/>
    <s v=""/>
    <m/>
  </r>
  <r>
    <x v="70"/>
    <x v="12"/>
    <x v="7"/>
    <s v="CSOs"/>
    <s v="Shan_North"/>
    <x v="11"/>
    <s v="Jawsaw"/>
    <m/>
    <n v="18"/>
    <m/>
    <m/>
    <m/>
    <m/>
    <m/>
    <m/>
    <m/>
    <m/>
    <m/>
    <m/>
    <m/>
    <m/>
    <m/>
    <m/>
    <m/>
    <m/>
    <m/>
    <m/>
    <m/>
    <m/>
    <m/>
    <m/>
    <m/>
    <m/>
    <m/>
    <m/>
    <m/>
    <m/>
    <m/>
    <m/>
    <m/>
    <n v="0"/>
    <m/>
    <m/>
    <m/>
    <m/>
    <m/>
    <m/>
    <m/>
    <s v=""/>
    <m/>
  </r>
  <r>
    <x v="71"/>
    <x v="12"/>
    <x v="5"/>
    <s v="UNHCR"/>
    <s v="Kachin"/>
    <x v="7"/>
    <s v="Chipwi KBC camp"/>
    <m/>
    <m/>
    <m/>
    <m/>
    <m/>
    <m/>
    <m/>
    <m/>
    <m/>
    <m/>
    <m/>
    <m/>
    <n v="284"/>
    <n v="236"/>
    <m/>
    <m/>
    <m/>
    <m/>
    <m/>
    <m/>
    <m/>
    <m/>
    <m/>
    <m/>
    <m/>
    <m/>
    <m/>
    <m/>
    <m/>
    <m/>
    <m/>
    <m/>
    <m/>
    <n v="1"/>
    <m/>
    <m/>
    <m/>
    <m/>
    <m/>
    <m/>
    <m/>
    <s v="MMR001CMP042"/>
    <m/>
  </r>
  <r>
    <x v="71"/>
    <x v="12"/>
    <x v="5"/>
    <s v="UNHCR"/>
    <s v="Kachin"/>
    <x v="7"/>
    <s v="Lhaovao Baptist Church (LBC)"/>
    <m/>
    <m/>
    <m/>
    <m/>
    <m/>
    <m/>
    <m/>
    <m/>
    <m/>
    <m/>
    <m/>
    <m/>
    <n v="295"/>
    <n v="345"/>
    <m/>
    <m/>
    <m/>
    <m/>
    <m/>
    <m/>
    <m/>
    <m/>
    <m/>
    <m/>
    <m/>
    <m/>
    <m/>
    <m/>
    <m/>
    <m/>
    <m/>
    <m/>
    <m/>
    <n v="1"/>
    <m/>
    <m/>
    <m/>
    <m/>
    <m/>
    <m/>
    <m/>
    <s v="MMR001CMP195"/>
    <m/>
  </r>
  <r>
    <x v="72"/>
    <x v="13"/>
    <x v="7"/>
    <s v="CSOs"/>
    <s v="Shan_North"/>
    <x v="10"/>
    <s v="Kaung AI (Monastery)"/>
    <m/>
    <n v="52"/>
    <m/>
    <m/>
    <m/>
    <m/>
    <m/>
    <m/>
    <m/>
    <m/>
    <m/>
    <m/>
    <m/>
    <m/>
    <m/>
    <m/>
    <m/>
    <m/>
    <m/>
    <m/>
    <m/>
    <m/>
    <m/>
    <m/>
    <m/>
    <m/>
    <m/>
    <m/>
    <m/>
    <m/>
    <m/>
    <m/>
    <m/>
    <n v="0"/>
    <m/>
    <m/>
    <m/>
    <m/>
    <m/>
    <m/>
    <m/>
    <s v=""/>
    <m/>
  </r>
  <r>
    <x v="72"/>
    <x v="13"/>
    <x v="7"/>
    <s v="CSOs"/>
    <s v="Shan_North"/>
    <x v="10"/>
    <s v="Hkauk Kwe (Monastery)"/>
    <m/>
    <n v="13"/>
    <m/>
    <m/>
    <m/>
    <m/>
    <m/>
    <m/>
    <m/>
    <m/>
    <m/>
    <m/>
    <m/>
    <m/>
    <m/>
    <m/>
    <m/>
    <m/>
    <m/>
    <m/>
    <m/>
    <m/>
    <m/>
    <m/>
    <m/>
    <m/>
    <m/>
    <m/>
    <m/>
    <m/>
    <m/>
    <m/>
    <m/>
    <n v="0"/>
    <m/>
    <m/>
    <m/>
    <m/>
    <m/>
    <m/>
    <m/>
    <s v=""/>
    <m/>
  </r>
  <r>
    <x v="65"/>
    <x v="11"/>
    <x v="11"/>
    <s v="KMSS_Myitkyina"/>
    <s v="Kachin"/>
    <x v="7"/>
    <s v="Pan Wa"/>
    <m/>
    <m/>
    <m/>
    <m/>
    <m/>
    <m/>
    <m/>
    <n v="270"/>
    <m/>
    <m/>
    <m/>
    <m/>
    <n v="95"/>
    <m/>
    <m/>
    <n v="123"/>
    <m/>
    <m/>
    <m/>
    <m/>
    <e v="#REF!"/>
    <e v="#REF!"/>
    <e v="#REF!"/>
    <e v="#REF!"/>
    <e v="#REF!"/>
    <e v="#REF!"/>
    <e v="#REF!"/>
    <e v="#REF!"/>
    <e v="#REF!"/>
    <e v="#REF!"/>
    <m/>
    <m/>
    <m/>
    <n v="1"/>
    <m/>
    <m/>
    <m/>
    <m/>
    <m/>
    <m/>
    <m/>
    <s v="MMR001CMP210"/>
    <m/>
  </r>
  <r>
    <x v="65"/>
    <x v="11"/>
    <x v="11"/>
    <s v="KMSS_Myitkyina"/>
    <s v="Kachin"/>
    <x v="7"/>
    <s v="Saw Zam"/>
    <m/>
    <m/>
    <m/>
    <m/>
    <m/>
    <m/>
    <m/>
    <n v="171"/>
    <m/>
    <m/>
    <m/>
    <m/>
    <n v="86"/>
    <m/>
    <m/>
    <n v="60"/>
    <m/>
    <m/>
    <m/>
    <m/>
    <e v="#REF!"/>
    <e v="#REF!"/>
    <e v="#REF!"/>
    <e v="#REF!"/>
    <e v="#REF!"/>
    <e v="#REF!"/>
    <e v="#REF!"/>
    <e v="#REF!"/>
    <e v="#REF!"/>
    <e v="#REF!"/>
    <m/>
    <m/>
    <m/>
    <n v="1"/>
    <m/>
    <m/>
    <m/>
    <m/>
    <m/>
    <m/>
    <m/>
    <s v="MMR001CMP225"/>
    <m/>
  </r>
  <r>
    <x v="73"/>
    <x v="14"/>
    <x v="11"/>
    <s v="KMSS_Myitkyina"/>
    <s v="Kachin"/>
    <x v="1"/>
    <s v="Pa Dauk Myaing(Pa La Na)"/>
    <m/>
    <m/>
    <m/>
    <n v="9"/>
    <n v="9"/>
    <n v="18"/>
    <n v="9"/>
    <n v="28"/>
    <n v="9"/>
    <m/>
    <n v="9"/>
    <n v="26"/>
    <m/>
    <m/>
    <m/>
    <m/>
    <n v="9"/>
    <m/>
    <m/>
    <m/>
    <e v="#REF!"/>
    <e v="#REF!"/>
    <e v="#REF!"/>
    <e v="#REF!"/>
    <e v="#REF!"/>
    <e v="#REF!"/>
    <e v="#REF!"/>
    <e v="#REF!"/>
    <e v="#REF!"/>
    <e v="#REF!"/>
    <m/>
    <m/>
    <m/>
    <n v="0"/>
    <m/>
    <m/>
    <m/>
    <m/>
    <m/>
    <m/>
    <m/>
    <s v="MMR001CMP162"/>
    <m/>
  </r>
  <r>
    <x v="74"/>
    <x v="14"/>
    <x v="11"/>
    <s v="KMSS_Myitkyina"/>
    <s v="Kachin"/>
    <x v="0"/>
    <s v="Maina Catholic Church (St. Joseph)"/>
    <m/>
    <m/>
    <m/>
    <m/>
    <m/>
    <m/>
    <m/>
    <m/>
    <m/>
    <m/>
    <m/>
    <m/>
    <m/>
    <m/>
    <n v="1473"/>
    <m/>
    <m/>
    <m/>
    <m/>
    <m/>
    <e v="#REF!"/>
    <e v="#REF!"/>
    <e v="#REF!"/>
    <e v="#REF!"/>
    <e v="#REF!"/>
    <e v="#REF!"/>
    <e v="#REF!"/>
    <e v="#REF!"/>
    <e v="#REF!"/>
    <e v="#REF!"/>
    <m/>
    <m/>
    <m/>
    <n v="1"/>
    <m/>
    <m/>
    <m/>
    <m/>
    <m/>
    <m/>
    <m/>
    <s v="MMR001CMP029"/>
    <m/>
  </r>
  <r>
    <x v="75"/>
    <x v="12"/>
    <x v="12"/>
    <m/>
    <s v="Shan_North"/>
    <x v="11"/>
    <s v="Nam Tu Baptist"/>
    <n v="1"/>
    <m/>
    <m/>
    <m/>
    <m/>
    <m/>
    <m/>
    <m/>
    <m/>
    <m/>
    <m/>
    <m/>
    <m/>
    <m/>
    <m/>
    <m/>
    <m/>
    <m/>
    <m/>
    <m/>
    <e v="#REF!"/>
    <e v="#REF!"/>
    <e v="#REF!"/>
    <e v="#REF!"/>
    <e v="#REF!"/>
    <e v="#REF!"/>
    <e v="#REF!"/>
    <e v="#REF!"/>
    <e v="#REF!"/>
    <e v="#REF!"/>
    <m/>
    <m/>
    <m/>
    <n v="0"/>
    <m/>
    <m/>
    <m/>
    <m/>
    <m/>
    <m/>
    <m/>
    <s v="MMR015CMP014"/>
    <m/>
  </r>
  <r>
    <x v="75"/>
    <x v="12"/>
    <x v="12"/>
    <m/>
    <s v="Shan_North"/>
    <x v="11"/>
    <s v="Lisu Church Namtu"/>
    <n v="1"/>
    <m/>
    <m/>
    <m/>
    <m/>
    <m/>
    <m/>
    <m/>
    <m/>
    <m/>
    <m/>
    <m/>
    <m/>
    <m/>
    <m/>
    <m/>
    <m/>
    <m/>
    <m/>
    <m/>
    <e v="#REF!"/>
    <e v="#REF!"/>
    <e v="#REF!"/>
    <e v="#REF!"/>
    <e v="#REF!"/>
    <e v="#REF!"/>
    <e v="#REF!"/>
    <e v="#REF!"/>
    <e v="#REF!"/>
    <e v="#REF!"/>
    <m/>
    <m/>
    <m/>
    <n v="0"/>
    <m/>
    <m/>
    <m/>
    <m/>
    <m/>
    <m/>
    <m/>
    <s v="MMR015CMP232"/>
    <s v=" "/>
  </r>
  <r>
    <x v="75"/>
    <x v="12"/>
    <x v="12"/>
    <m/>
    <s v="Kachin"/>
    <x v="2"/>
    <s v="Man Wing Catholic Church"/>
    <m/>
    <n v="3"/>
    <m/>
    <m/>
    <m/>
    <m/>
    <m/>
    <m/>
    <n v="3"/>
    <m/>
    <m/>
    <m/>
    <n v="3"/>
    <n v="3"/>
    <n v="3"/>
    <m/>
    <m/>
    <m/>
    <m/>
    <m/>
    <e v="#REF!"/>
    <e v="#REF!"/>
    <e v="#REF!"/>
    <e v="#REF!"/>
    <e v="#REF!"/>
    <e v="#REF!"/>
    <e v="#REF!"/>
    <e v="#REF!"/>
    <e v="#REF!"/>
    <e v="#REF!"/>
    <m/>
    <m/>
    <m/>
    <n v="1"/>
    <m/>
    <m/>
    <m/>
    <m/>
    <m/>
    <m/>
    <m/>
    <s v="MMR001CMP132"/>
    <m/>
  </r>
  <r>
    <x v="76"/>
    <x v="12"/>
    <x v="12"/>
    <m/>
    <s v="Shan_North"/>
    <x v="11"/>
    <s v="Kyu Sot"/>
    <n v="1"/>
    <m/>
    <m/>
    <m/>
    <m/>
    <m/>
    <m/>
    <m/>
    <m/>
    <m/>
    <m/>
    <m/>
    <m/>
    <m/>
    <m/>
    <m/>
    <m/>
    <m/>
    <m/>
    <m/>
    <e v="#REF!"/>
    <e v="#REF!"/>
    <e v="#REF!"/>
    <e v="#REF!"/>
    <e v="#REF!"/>
    <e v="#REF!"/>
    <e v="#REF!"/>
    <e v="#REF!"/>
    <e v="#REF!"/>
    <e v="#REF!"/>
    <m/>
    <m/>
    <m/>
    <n v="0"/>
    <m/>
    <m/>
    <m/>
    <m/>
    <m/>
    <m/>
    <m/>
    <s v="MMR015CMP248"/>
    <m/>
  </r>
  <r>
    <x v="77"/>
    <x v="12"/>
    <x v="12"/>
    <m/>
    <s v="Shan_North"/>
    <x v="11"/>
    <s v="Nam Tu Baptist"/>
    <n v="1"/>
    <m/>
    <m/>
    <m/>
    <m/>
    <m/>
    <m/>
    <m/>
    <m/>
    <m/>
    <m/>
    <m/>
    <m/>
    <m/>
    <m/>
    <m/>
    <m/>
    <m/>
    <m/>
    <m/>
    <e v="#REF!"/>
    <e v="#REF!"/>
    <e v="#REF!"/>
    <e v="#REF!"/>
    <e v="#REF!"/>
    <e v="#REF!"/>
    <e v="#REF!"/>
    <e v="#REF!"/>
    <e v="#REF!"/>
    <e v="#REF!"/>
    <m/>
    <m/>
    <m/>
    <n v="0"/>
    <m/>
    <m/>
    <m/>
    <m/>
    <m/>
    <m/>
    <m/>
    <s v="MMR015CMP014"/>
    <m/>
  </r>
  <r>
    <x v="78"/>
    <x v="12"/>
    <x v="12"/>
    <m/>
    <s v="Shan_North"/>
    <x v="11"/>
    <s v="Lisu Church Namtu"/>
    <n v="18"/>
    <m/>
    <m/>
    <m/>
    <m/>
    <m/>
    <m/>
    <m/>
    <m/>
    <m/>
    <m/>
    <m/>
    <m/>
    <m/>
    <m/>
    <m/>
    <m/>
    <m/>
    <m/>
    <m/>
    <e v="#REF!"/>
    <e v="#REF!"/>
    <e v="#REF!"/>
    <e v="#REF!"/>
    <e v="#REF!"/>
    <e v="#REF!"/>
    <e v="#REF!"/>
    <e v="#REF!"/>
    <e v="#REF!"/>
    <e v="#REF!"/>
    <m/>
    <m/>
    <m/>
    <n v="0"/>
    <m/>
    <m/>
    <m/>
    <m/>
    <m/>
    <m/>
    <m/>
    <s v="MMR015CMP232"/>
    <s v="Firewood support included"/>
  </r>
  <r>
    <x v="78"/>
    <x v="12"/>
    <x v="12"/>
    <m/>
    <s v="Shan_North"/>
    <x v="14"/>
    <s v="Nam Hkam Catholic Church ( St. Thomas I)"/>
    <n v="2"/>
    <m/>
    <m/>
    <m/>
    <m/>
    <m/>
    <m/>
    <m/>
    <n v="2"/>
    <m/>
    <n v="2"/>
    <m/>
    <m/>
    <m/>
    <m/>
    <n v="2"/>
    <m/>
    <m/>
    <m/>
    <m/>
    <e v="#REF!"/>
    <e v="#REF!"/>
    <e v="#REF!"/>
    <e v="#REF!"/>
    <e v="#REF!"/>
    <e v="#REF!"/>
    <e v="#REF!"/>
    <e v="#REF!"/>
    <e v="#REF!"/>
    <e v="#REF!"/>
    <m/>
    <m/>
    <m/>
    <n v="1"/>
    <m/>
    <m/>
    <m/>
    <m/>
    <m/>
    <m/>
    <m/>
    <s v="MMR015CMP003"/>
    <s v="Firewood support included"/>
  </r>
  <r>
    <x v="78"/>
    <x v="12"/>
    <x v="12"/>
    <m/>
    <s v="Shan_North"/>
    <x v="14"/>
    <s v="Nam Hkam - Nay Win Ni (Palawng)"/>
    <n v="8"/>
    <m/>
    <m/>
    <m/>
    <m/>
    <m/>
    <m/>
    <m/>
    <n v="8"/>
    <m/>
    <n v="8"/>
    <m/>
    <m/>
    <m/>
    <m/>
    <n v="8"/>
    <m/>
    <m/>
    <m/>
    <m/>
    <e v="#REF!"/>
    <e v="#REF!"/>
    <e v="#REF!"/>
    <e v="#REF!"/>
    <e v="#REF!"/>
    <e v="#REF!"/>
    <e v="#REF!"/>
    <e v="#REF!"/>
    <e v="#REF!"/>
    <e v="#REF!"/>
    <m/>
    <m/>
    <m/>
    <n v="1"/>
    <m/>
    <m/>
    <m/>
    <m/>
    <m/>
    <m/>
    <m/>
    <s v="MMR015CMP004"/>
    <s v="Firewood support included"/>
  </r>
  <r>
    <x v="78"/>
    <x v="12"/>
    <x v="12"/>
    <m/>
    <s v="Shan_North"/>
    <x v="14"/>
    <s v="Namhkan - Pang Long KBC"/>
    <n v="15"/>
    <m/>
    <m/>
    <m/>
    <m/>
    <m/>
    <m/>
    <m/>
    <n v="15"/>
    <m/>
    <n v="15"/>
    <m/>
    <m/>
    <m/>
    <m/>
    <n v="15"/>
    <m/>
    <m/>
    <m/>
    <m/>
    <e v="#REF!"/>
    <e v="#REF!"/>
    <e v="#REF!"/>
    <e v="#REF!"/>
    <e v="#REF!"/>
    <e v="#REF!"/>
    <e v="#REF!"/>
    <e v="#REF!"/>
    <e v="#REF!"/>
    <e v="#REF!"/>
    <m/>
    <m/>
    <m/>
    <n v="1"/>
    <m/>
    <m/>
    <m/>
    <m/>
    <m/>
    <m/>
    <m/>
    <s v="MMR015CMP215"/>
    <s v="Firewood support included"/>
  </r>
  <r>
    <x v="79"/>
    <x v="12"/>
    <x v="12"/>
    <m/>
    <s v="Kachin"/>
    <x v="2"/>
    <s v="Man Wing Catholic Church II"/>
    <m/>
    <n v="8"/>
    <m/>
    <m/>
    <m/>
    <m/>
    <m/>
    <m/>
    <n v="8"/>
    <m/>
    <m/>
    <m/>
    <n v="8"/>
    <n v="8"/>
    <n v="8"/>
    <n v="8"/>
    <m/>
    <m/>
    <m/>
    <m/>
    <e v="#REF!"/>
    <e v="#REF!"/>
    <e v="#REF!"/>
    <e v="#REF!"/>
    <e v="#REF!"/>
    <e v="#REF!"/>
    <e v="#REF!"/>
    <e v="#REF!"/>
    <e v="#REF!"/>
    <e v="#REF!"/>
    <m/>
    <m/>
    <m/>
    <n v="1"/>
    <m/>
    <m/>
    <m/>
    <m/>
    <m/>
    <m/>
    <m/>
    <s v="MMR001CMP228"/>
    <s v="8 Bedsheet"/>
  </r>
  <r>
    <x v="79"/>
    <x v="12"/>
    <x v="12"/>
    <m/>
    <s v="Kachin"/>
    <x v="2"/>
    <s v="Man Wing Baptist Church"/>
    <m/>
    <n v="1"/>
    <m/>
    <m/>
    <m/>
    <m/>
    <m/>
    <m/>
    <n v="1"/>
    <m/>
    <m/>
    <m/>
    <n v="1"/>
    <n v="1"/>
    <n v="1"/>
    <n v="1"/>
    <m/>
    <m/>
    <m/>
    <m/>
    <e v="#REF!"/>
    <e v="#REF!"/>
    <e v="#REF!"/>
    <e v="#REF!"/>
    <e v="#REF!"/>
    <e v="#REF!"/>
    <e v="#REF!"/>
    <e v="#REF!"/>
    <e v="#REF!"/>
    <e v="#REF!"/>
    <m/>
    <m/>
    <m/>
    <n v="1"/>
    <m/>
    <m/>
    <m/>
    <m/>
    <m/>
    <m/>
    <m/>
    <s v="MMR001CMP133"/>
    <s v="1 Bedsheet"/>
  </r>
  <r>
    <x v="79"/>
    <x v="12"/>
    <x v="12"/>
    <m/>
    <s v="Kachin"/>
    <x v="2"/>
    <s v="Man Wing Baptist Church Cultural Compound"/>
    <m/>
    <n v="25"/>
    <m/>
    <m/>
    <m/>
    <m/>
    <m/>
    <m/>
    <n v="25"/>
    <m/>
    <m/>
    <m/>
    <n v="25"/>
    <n v="25"/>
    <n v="25"/>
    <n v="25"/>
    <m/>
    <m/>
    <m/>
    <m/>
    <e v="#REF!"/>
    <e v="#REF!"/>
    <e v="#REF!"/>
    <e v="#REF!"/>
    <e v="#REF!"/>
    <e v="#REF!"/>
    <e v="#REF!"/>
    <e v="#REF!"/>
    <e v="#REF!"/>
    <e v="#REF!"/>
    <m/>
    <m/>
    <m/>
    <n v="1"/>
    <m/>
    <m/>
    <m/>
    <m/>
    <m/>
    <m/>
    <m/>
    <s v="MMR001CMP230"/>
    <s v="25 BedSheet"/>
  </r>
  <r>
    <x v="80"/>
    <x v="12"/>
    <x v="12"/>
    <m/>
    <s v="Shan_North"/>
    <x v="11"/>
    <s v="Lisu Church Namtu"/>
    <n v="1"/>
    <m/>
    <m/>
    <m/>
    <n v="7"/>
    <m/>
    <m/>
    <m/>
    <n v="6"/>
    <m/>
    <m/>
    <m/>
    <n v="19"/>
    <n v="19"/>
    <m/>
    <n v="19"/>
    <m/>
    <m/>
    <m/>
    <m/>
    <e v="#REF!"/>
    <e v="#REF!"/>
    <e v="#REF!"/>
    <e v="#REF!"/>
    <e v="#REF!"/>
    <e v="#REF!"/>
    <e v="#REF!"/>
    <e v="#REF!"/>
    <e v="#REF!"/>
    <e v="#REF!"/>
    <m/>
    <m/>
    <m/>
    <n v="1"/>
    <m/>
    <m/>
    <m/>
    <m/>
    <m/>
    <m/>
    <m/>
    <s v="MMR015CMP232"/>
    <m/>
  </r>
  <r>
    <x v="81"/>
    <x v="13"/>
    <x v="12"/>
    <m/>
    <s v="Shan_North"/>
    <x v="11"/>
    <s v="Nam Tu Baptist"/>
    <n v="18"/>
    <m/>
    <m/>
    <m/>
    <m/>
    <m/>
    <m/>
    <m/>
    <m/>
    <m/>
    <m/>
    <m/>
    <m/>
    <m/>
    <m/>
    <m/>
    <m/>
    <m/>
    <m/>
    <m/>
    <e v="#REF!"/>
    <e v="#REF!"/>
    <e v="#REF!"/>
    <e v="#REF!"/>
    <e v="#REF!"/>
    <e v="#REF!"/>
    <e v="#REF!"/>
    <e v="#REF!"/>
    <e v="#REF!"/>
    <e v="#REF!"/>
    <m/>
    <m/>
    <m/>
    <n v="0"/>
    <m/>
    <m/>
    <m/>
    <m/>
    <m/>
    <m/>
    <m/>
    <s v="MMR015CMP014"/>
    <s v="Transportation charges for Bamboo Transport"/>
  </r>
  <r>
    <x v="82"/>
    <x v="13"/>
    <x v="12"/>
    <m/>
    <s v="Kachin"/>
    <x v="2"/>
    <s v="Man Wing Catholic Church"/>
    <m/>
    <n v="8"/>
    <m/>
    <m/>
    <m/>
    <m/>
    <m/>
    <m/>
    <n v="8"/>
    <m/>
    <m/>
    <m/>
    <n v="8"/>
    <n v="8"/>
    <n v="8"/>
    <m/>
    <m/>
    <m/>
    <m/>
    <m/>
    <e v="#REF!"/>
    <e v="#REF!"/>
    <e v="#REF!"/>
    <e v="#REF!"/>
    <e v="#REF!"/>
    <e v="#REF!"/>
    <e v="#REF!"/>
    <e v="#REF!"/>
    <e v="#REF!"/>
    <e v="#REF!"/>
    <m/>
    <m/>
    <m/>
    <n v="1"/>
    <m/>
    <m/>
    <m/>
    <m/>
    <m/>
    <m/>
    <m/>
    <s v="MMR001CMP132"/>
    <m/>
  </r>
  <r>
    <x v="82"/>
    <x v="13"/>
    <x v="12"/>
    <m/>
    <s v="Kachin"/>
    <x v="2"/>
    <s v="Man Wing Catholic Church II"/>
    <n v="1"/>
    <m/>
    <m/>
    <m/>
    <m/>
    <m/>
    <m/>
    <m/>
    <m/>
    <m/>
    <m/>
    <m/>
    <m/>
    <m/>
    <m/>
    <m/>
    <m/>
    <m/>
    <m/>
    <m/>
    <e v="#REF!"/>
    <e v="#REF!"/>
    <e v="#REF!"/>
    <e v="#REF!"/>
    <e v="#REF!"/>
    <e v="#REF!"/>
    <e v="#REF!"/>
    <e v="#REF!"/>
    <e v="#REF!"/>
    <e v="#REF!"/>
    <m/>
    <m/>
    <m/>
    <n v="0"/>
    <m/>
    <m/>
    <m/>
    <m/>
    <m/>
    <m/>
    <m/>
    <s v="MMR001CMP228"/>
    <m/>
  </r>
  <r>
    <x v="82"/>
    <x v="13"/>
    <x v="12"/>
    <m/>
    <s v="Kachin"/>
    <x v="2"/>
    <s v="Man Wing Baptist Church Cultural Compound"/>
    <n v="1"/>
    <m/>
    <m/>
    <m/>
    <m/>
    <m/>
    <m/>
    <m/>
    <m/>
    <m/>
    <m/>
    <m/>
    <m/>
    <m/>
    <m/>
    <m/>
    <m/>
    <m/>
    <m/>
    <m/>
    <e v="#REF!"/>
    <e v="#REF!"/>
    <e v="#REF!"/>
    <e v="#REF!"/>
    <e v="#REF!"/>
    <e v="#REF!"/>
    <e v="#REF!"/>
    <e v="#REF!"/>
    <e v="#REF!"/>
    <e v="#REF!"/>
    <m/>
    <m/>
    <m/>
    <n v="0"/>
    <m/>
    <m/>
    <m/>
    <m/>
    <m/>
    <m/>
    <m/>
    <s v="MMR001CMP230"/>
    <m/>
  </r>
  <r>
    <x v="83"/>
    <x v="13"/>
    <x v="12"/>
    <m/>
    <s v="Shan_North"/>
    <x v="11"/>
    <s v="Kyu Sot"/>
    <n v="1"/>
    <m/>
    <m/>
    <m/>
    <m/>
    <m/>
    <m/>
    <m/>
    <m/>
    <m/>
    <m/>
    <m/>
    <m/>
    <m/>
    <m/>
    <m/>
    <m/>
    <m/>
    <m/>
    <m/>
    <e v="#REF!"/>
    <e v="#REF!"/>
    <e v="#REF!"/>
    <e v="#REF!"/>
    <e v="#REF!"/>
    <e v="#REF!"/>
    <e v="#REF!"/>
    <e v="#REF!"/>
    <e v="#REF!"/>
    <e v="#REF!"/>
    <m/>
    <m/>
    <m/>
    <n v="0"/>
    <m/>
    <m/>
    <m/>
    <m/>
    <m/>
    <m/>
    <m/>
    <s v="MMR015CMP248"/>
    <m/>
  </r>
  <r>
    <x v="83"/>
    <x v="13"/>
    <x v="12"/>
    <m/>
    <s v="Shan_North"/>
    <x v="11"/>
    <s v="Lisu Church Namtu"/>
    <n v="1"/>
    <m/>
    <m/>
    <m/>
    <m/>
    <m/>
    <m/>
    <m/>
    <m/>
    <m/>
    <m/>
    <m/>
    <m/>
    <m/>
    <m/>
    <m/>
    <m/>
    <m/>
    <m/>
    <m/>
    <e v="#REF!"/>
    <e v="#REF!"/>
    <e v="#REF!"/>
    <e v="#REF!"/>
    <e v="#REF!"/>
    <e v="#REF!"/>
    <e v="#REF!"/>
    <e v="#REF!"/>
    <e v="#REF!"/>
    <e v="#REF!"/>
    <m/>
    <m/>
    <m/>
    <n v="0"/>
    <m/>
    <m/>
    <m/>
    <m/>
    <m/>
    <m/>
    <m/>
    <s v="MMR015CMP232"/>
    <m/>
  </r>
  <r>
    <x v="84"/>
    <x v="13"/>
    <x v="12"/>
    <m/>
    <s v="Shan_North"/>
    <x v="14"/>
    <s v="Mong Wee Shan"/>
    <m/>
    <n v="2"/>
    <m/>
    <m/>
    <m/>
    <n v="2"/>
    <m/>
    <n v="2"/>
    <n v="2"/>
    <m/>
    <m/>
    <m/>
    <n v="2"/>
    <n v="2"/>
    <n v="2"/>
    <m/>
    <m/>
    <m/>
    <m/>
    <m/>
    <e v="#REF!"/>
    <e v="#REF!"/>
    <e v="#REF!"/>
    <e v="#REF!"/>
    <e v="#REF!"/>
    <e v="#REF!"/>
    <e v="#REF!"/>
    <e v="#REF!"/>
    <e v="#REF!"/>
    <e v="#REF!"/>
    <m/>
    <m/>
    <m/>
    <n v="1"/>
    <m/>
    <m/>
    <m/>
    <m/>
    <m/>
    <m/>
    <m/>
    <s v="MMR015CMP224"/>
    <m/>
  </r>
  <r>
    <x v="85"/>
    <x v="13"/>
    <x v="12"/>
    <m/>
    <s v="Shan_North"/>
    <x v="14"/>
    <s v="Mong Wee Shan"/>
    <n v="1"/>
    <m/>
    <m/>
    <m/>
    <m/>
    <m/>
    <m/>
    <m/>
    <m/>
    <m/>
    <m/>
    <m/>
    <m/>
    <m/>
    <m/>
    <m/>
    <m/>
    <m/>
    <m/>
    <m/>
    <e v="#REF!"/>
    <e v="#REF!"/>
    <e v="#REF!"/>
    <e v="#REF!"/>
    <e v="#REF!"/>
    <e v="#REF!"/>
    <e v="#REF!"/>
    <e v="#REF!"/>
    <e v="#REF!"/>
    <e v="#REF!"/>
    <m/>
    <m/>
    <m/>
    <n v="0"/>
    <m/>
    <m/>
    <m/>
    <m/>
    <m/>
    <m/>
    <m/>
    <s v="MMR015CMP224"/>
    <m/>
  </r>
  <r>
    <x v="86"/>
    <x v="14"/>
    <x v="12"/>
    <m/>
    <s v="Kachin"/>
    <x v="2"/>
    <s v="Man Wing Catholic Church"/>
    <n v="2"/>
    <m/>
    <m/>
    <m/>
    <m/>
    <m/>
    <m/>
    <m/>
    <m/>
    <m/>
    <m/>
    <m/>
    <m/>
    <m/>
    <m/>
    <m/>
    <m/>
    <m/>
    <m/>
    <m/>
    <e v="#REF!"/>
    <e v="#REF!"/>
    <e v="#REF!"/>
    <e v="#REF!"/>
    <e v="#REF!"/>
    <e v="#REF!"/>
    <e v="#REF!"/>
    <e v="#REF!"/>
    <e v="#REF!"/>
    <e v="#REF!"/>
    <m/>
    <m/>
    <m/>
    <n v="0"/>
    <m/>
    <m/>
    <m/>
    <m/>
    <m/>
    <m/>
    <m/>
    <s v="MMR001CMP132"/>
    <m/>
  </r>
  <r>
    <x v="87"/>
    <x v="14"/>
    <x v="12"/>
    <m/>
    <s v="Kachin"/>
    <x v="2"/>
    <s v="Man Wing Catholic Church"/>
    <m/>
    <n v="16"/>
    <m/>
    <m/>
    <m/>
    <m/>
    <m/>
    <m/>
    <n v="16"/>
    <m/>
    <m/>
    <m/>
    <n v="16"/>
    <n v="16"/>
    <n v="16"/>
    <n v="16"/>
    <m/>
    <m/>
    <m/>
    <m/>
    <e v="#REF!"/>
    <e v="#REF!"/>
    <e v="#REF!"/>
    <e v="#REF!"/>
    <e v="#REF!"/>
    <e v="#REF!"/>
    <e v="#REF!"/>
    <e v="#REF!"/>
    <e v="#REF!"/>
    <e v="#REF!"/>
    <m/>
    <m/>
    <m/>
    <n v="1"/>
    <m/>
    <m/>
    <m/>
    <m/>
    <m/>
    <m/>
    <m/>
    <s v="MMR001CMP132"/>
    <m/>
  </r>
  <r>
    <x v="88"/>
    <x v="14"/>
    <x v="12"/>
    <m/>
    <s v="Shan_North"/>
    <x v="11"/>
    <s v="Pan Ta Pyae"/>
    <m/>
    <m/>
    <m/>
    <m/>
    <m/>
    <m/>
    <m/>
    <m/>
    <m/>
    <m/>
    <m/>
    <m/>
    <m/>
    <m/>
    <m/>
    <m/>
    <m/>
    <m/>
    <n v="14"/>
    <m/>
    <e v="#REF!"/>
    <e v="#REF!"/>
    <e v="#REF!"/>
    <e v="#REF!"/>
    <e v="#REF!"/>
    <e v="#REF!"/>
    <e v="#REF!"/>
    <e v="#REF!"/>
    <e v="#REF!"/>
    <e v="#REF!"/>
    <m/>
    <m/>
    <m/>
    <n v="0"/>
    <m/>
    <m/>
    <m/>
    <m/>
    <m/>
    <m/>
    <m/>
    <s v="MMR015CMP221"/>
    <s v="Zinc roof Sheet"/>
  </r>
  <r>
    <x v="89"/>
    <x v="14"/>
    <x v="2"/>
    <s v="KBC"/>
    <s v="Kachin"/>
    <x v="3"/>
    <s v="Momauk Baptist Church"/>
    <m/>
    <m/>
    <m/>
    <m/>
    <m/>
    <m/>
    <m/>
    <n v="124"/>
    <m/>
    <m/>
    <m/>
    <n v="124"/>
    <m/>
    <m/>
    <m/>
    <m/>
    <m/>
    <m/>
    <m/>
    <m/>
    <e v="#REF!"/>
    <e v="#REF!"/>
    <e v="#REF!"/>
    <e v="#REF!"/>
    <e v="#REF!"/>
    <e v="#REF!"/>
    <e v="#REF!"/>
    <e v="#REF!"/>
    <e v="#REF!"/>
    <e v="#REF!"/>
    <m/>
    <m/>
    <m/>
    <n v="0"/>
    <m/>
    <m/>
    <m/>
    <m/>
    <m/>
    <m/>
    <m/>
    <s v="MMR001CMP056"/>
    <s v="124 Mattress"/>
  </r>
  <r>
    <x v="90"/>
    <x v="14"/>
    <x v="2"/>
    <m/>
    <s v="Kachin"/>
    <x v="3"/>
    <s v="Host Families"/>
    <m/>
    <m/>
    <m/>
    <m/>
    <m/>
    <m/>
    <m/>
    <n v="387"/>
    <m/>
    <m/>
    <m/>
    <n v="387"/>
    <m/>
    <m/>
    <m/>
    <m/>
    <m/>
    <m/>
    <m/>
    <m/>
    <e v="#REF!"/>
    <e v="#REF!"/>
    <e v="#REF!"/>
    <e v="#REF!"/>
    <e v="#REF!"/>
    <e v="#REF!"/>
    <e v="#REF!"/>
    <e v="#REF!"/>
    <e v="#REF!"/>
    <e v="#REF!"/>
    <m/>
    <m/>
    <m/>
    <n v="0"/>
    <m/>
    <m/>
    <m/>
    <m/>
    <m/>
    <m/>
    <m/>
    <s v="MMR001CMP199"/>
    <s v="387 Mattress"/>
  </r>
  <r>
    <x v="91"/>
    <x v="14"/>
    <x v="2"/>
    <m/>
    <s v="Kachin"/>
    <x v="2"/>
    <s v="Host Families"/>
    <m/>
    <m/>
    <m/>
    <m/>
    <m/>
    <m/>
    <m/>
    <n v="77"/>
    <m/>
    <m/>
    <m/>
    <n v="77"/>
    <m/>
    <m/>
    <m/>
    <m/>
    <m/>
    <m/>
    <m/>
    <m/>
    <e v="#REF!"/>
    <e v="#REF!"/>
    <e v="#REF!"/>
    <e v="#REF!"/>
    <e v="#REF!"/>
    <e v="#REF!"/>
    <e v="#REF!"/>
    <e v="#REF!"/>
    <e v="#REF!"/>
    <e v="#REF!"/>
    <m/>
    <m/>
    <m/>
    <n v="0"/>
    <m/>
    <m/>
    <m/>
    <m/>
    <m/>
    <m/>
    <m/>
    <s v="MMR001CMP199"/>
    <s v="77 Mattress"/>
  </r>
  <r>
    <x v="89"/>
    <x v="14"/>
    <x v="2"/>
    <s v="KMSS"/>
    <s v="Kachin"/>
    <x v="3"/>
    <s v="Man Bung Catholic compound"/>
    <m/>
    <m/>
    <m/>
    <m/>
    <m/>
    <m/>
    <m/>
    <n v="34"/>
    <m/>
    <m/>
    <m/>
    <n v="34"/>
    <m/>
    <m/>
    <m/>
    <m/>
    <m/>
    <m/>
    <m/>
    <m/>
    <e v="#REF!"/>
    <e v="#REF!"/>
    <e v="#REF!"/>
    <e v="#REF!"/>
    <e v="#REF!"/>
    <e v="#REF!"/>
    <e v="#REF!"/>
    <e v="#REF!"/>
    <e v="#REF!"/>
    <e v="#REF!"/>
    <m/>
    <m/>
    <m/>
    <n v="0"/>
    <m/>
    <m/>
    <m/>
    <m/>
    <m/>
    <m/>
    <m/>
    <s v="MMR001CMP062"/>
    <s v="34 Mattress"/>
  </r>
  <r>
    <x v="92"/>
    <x v="15"/>
    <x v="12"/>
    <m/>
    <s v="Shan_North"/>
    <x v="11"/>
    <s v="Lisu Church Namtu"/>
    <m/>
    <n v="101"/>
    <m/>
    <m/>
    <m/>
    <m/>
    <m/>
    <m/>
    <m/>
    <m/>
    <n v="101"/>
    <m/>
    <m/>
    <m/>
    <m/>
    <m/>
    <m/>
    <m/>
    <m/>
    <m/>
    <e v="#REF!"/>
    <e v="#REF!"/>
    <e v="#REF!"/>
    <e v="#REF!"/>
    <e v="#REF!"/>
    <e v="#REF!"/>
    <e v="#REF!"/>
    <e v="#REF!"/>
    <e v="#REF!"/>
    <e v="#REF!"/>
    <m/>
    <m/>
    <m/>
    <n v="0"/>
    <m/>
    <m/>
    <m/>
    <m/>
    <m/>
    <m/>
    <m/>
    <s v="MMR015CMP232"/>
    <m/>
  </r>
  <r>
    <x v="93"/>
    <x v="15"/>
    <x v="12"/>
    <m/>
    <s v="Shan_North"/>
    <x v="11"/>
    <s v="Nam Tu Baptist"/>
    <n v="1"/>
    <m/>
    <m/>
    <m/>
    <m/>
    <m/>
    <m/>
    <m/>
    <m/>
    <m/>
    <m/>
    <m/>
    <m/>
    <m/>
    <m/>
    <m/>
    <m/>
    <m/>
    <m/>
    <m/>
    <e v="#REF!"/>
    <e v="#REF!"/>
    <e v="#REF!"/>
    <e v="#REF!"/>
    <e v="#REF!"/>
    <e v="#REF!"/>
    <e v="#REF!"/>
    <e v="#REF!"/>
    <e v="#REF!"/>
    <e v="#REF!"/>
    <m/>
    <m/>
    <m/>
    <n v="0"/>
    <m/>
    <m/>
    <m/>
    <m/>
    <m/>
    <m/>
    <m/>
    <s v="MMR015CMP014"/>
    <m/>
  </r>
  <r>
    <x v="93"/>
    <x v="16"/>
    <x v="12"/>
    <m/>
    <s v="Shan_North"/>
    <x v="11"/>
    <s v="Kyu Sot"/>
    <n v="1"/>
    <m/>
    <m/>
    <m/>
    <m/>
    <m/>
    <m/>
    <m/>
    <m/>
    <m/>
    <m/>
    <m/>
    <m/>
    <m/>
    <m/>
    <m/>
    <m/>
    <m/>
    <m/>
    <m/>
    <e v="#REF!"/>
    <e v="#REF!"/>
    <e v="#REF!"/>
    <e v="#REF!"/>
    <e v="#REF!"/>
    <e v="#REF!"/>
    <e v="#REF!"/>
    <e v="#REF!"/>
    <e v="#REF!"/>
    <e v="#REF!"/>
    <m/>
    <m/>
    <m/>
    <n v="0"/>
    <m/>
    <m/>
    <m/>
    <m/>
    <m/>
    <m/>
    <m/>
    <s v="MMR015CMP248"/>
    <m/>
  </r>
  <r>
    <x v="93"/>
    <x v="16"/>
    <x v="12"/>
    <m/>
    <s v="Shan_North"/>
    <x v="11"/>
    <s v="Kyu Sot"/>
    <n v="1"/>
    <m/>
    <m/>
    <m/>
    <m/>
    <m/>
    <m/>
    <m/>
    <m/>
    <m/>
    <m/>
    <m/>
    <m/>
    <m/>
    <m/>
    <m/>
    <m/>
    <m/>
    <m/>
    <m/>
    <e v="#REF!"/>
    <e v="#REF!"/>
    <e v="#REF!"/>
    <e v="#REF!"/>
    <e v="#REF!"/>
    <e v="#REF!"/>
    <e v="#REF!"/>
    <e v="#REF!"/>
    <e v="#REF!"/>
    <e v="#REF!"/>
    <m/>
    <m/>
    <m/>
    <n v="0"/>
    <m/>
    <m/>
    <m/>
    <m/>
    <m/>
    <m/>
    <m/>
    <s v="MMR015CMP248"/>
    <m/>
  </r>
  <r>
    <x v="94"/>
    <x v="16"/>
    <x v="12"/>
    <m/>
    <s v="Kachin"/>
    <x v="2"/>
    <s v="Man Wing Catholic Church"/>
    <n v="1"/>
    <m/>
    <m/>
    <m/>
    <m/>
    <m/>
    <m/>
    <m/>
    <m/>
    <m/>
    <m/>
    <m/>
    <m/>
    <m/>
    <m/>
    <m/>
    <m/>
    <m/>
    <m/>
    <m/>
    <e v="#REF!"/>
    <e v="#REF!"/>
    <e v="#REF!"/>
    <e v="#REF!"/>
    <e v="#REF!"/>
    <e v="#REF!"/>
    <e v="#REF!"/>
    <e v="#REF!"/>
    <e v="#REF!"/>
    <e v="#REF!"/>
    <m/>
    <m/>
    <m/>
    <n v="0"/>
    <m/>
    <m/>
    <m/>
    <m/>
    <m/>
    <m/>
    <m/>
    <s v="MMR001CMP132"/>
    <m/>
  </r>
  <r>
    <x v="94"/>
    <x v="16"/>
    <x v="12"/>
    <m/>
    <s v="Kachin"/>
    <x v="2"/>
    <s v="Man Wing Catholic Church"/>
    <n v="1"/>
    <m/>
    <m/>
    <n v="1"/>
    <m/>
    <m/>
    <m/>
    <m/>
    <m/>
    <m/>
    <m/>
    <m/>
    <m/>
    <m/>
    <m/>
    <m/>
    <m/>
    <m/>
    <m/>
    <m/>
    <e v="#REF!"/>
    <e v="#REF!"/>
    <e v="#REF!"/>
    <e v="#REF!"/>
    <e v="#REF!"/>
    <e v="#REF!"/>
    <e v="#REF!"/>
    <e v="#REF!"/>
    <e v="#REF!"/>
    <e v="#REF!"/>
    <m/>
    <m/>
    <m/>
    <n v="0"/>
    <m/>
    <m/>
    <m/>
    <m/>
    <m/>
    <m/>
    <m/>
    <s v="MMR001CMP132"/>
    <m/>
  </r>
  <r>
    <x v="92"/>
    <x v="16"/>
    <x v="12"/>
    <m/>
    <s v="Shan_North"/>
    <x v="11"/>
    <s v="Nam Tu Baptist"/>
    <m/>
    <m/>
    <m/>
    <n v="1"/>
    <m/>
    <m/>
    <m/>
    <m/>
    <m/>
    <m/>
    <m/>
    <m/>
    <m/>
    <m/>
    <m/>
    <m/>
    <m/>
    <m/>
    <m/>
    <m/>
    <e v="#REF!"/>
    <e v="#REF!"/>
    <e v="#REF!"/>
    <e v="#REF!"/>
    <e v="#REF!"/>
    <e v="#REF!"/>
    <e v="#REF!"/>
    <e v="#REF!"/>
    <e v="#REF!"/>
    <e v="#REF!"/>
    <m/>
    <m/>
    <m/>
    <n v="0"/>
    <m/>
    <m/>
    <m/>
    <m/>
    <m/>
    <m/>
    <m/>
    <s v="MMR015CMP014"/>
    <m/>
  </r>
  <r>
    <x v="92"/>
    <x v="16"/>
    <x v="12"/>
    <m/>
    <s v="Shan_North"/>
    <x v="11"/>
    <s v="Lisu Church Namtu"/>
    <m/>
    <m/>
    <m/>
    <n v="1"/>
    <m/>
    <m/>
    <m/>
    <m/>
    <m/>
    <m/>
    <m/>
    <m/>
    <m/>
    <m/>
    <m/>
    <m/>
    <m/>
    <m/>
    <m/>
    <m/>
    <e v="#REF!"/>
    <e v="#REF!"/>
    <e v="#REF!"/>
    <e v="#REF!"/>
    <e v="#REF!"/>
    <e v="#REF!"/>
    <e v="#REF!"/>
    <e v="#REF!"/>
    <e v="#REF!"/>
    <e v="#REF!"/>
    <m/>
    <m/>
    <m/>
    <n v="0"/>
    <m/>
    <m/>
    <m/>
    <m/>
    <m/>
    <m/>
    <m/>
    <s v="MMR015CMP232"/>
    <m/>
  </r>
  <r>
    <x v="92"/>
    <x v="16"/>
    <x v="12"/>
    <m/>
    <s v="Shan_North"/>
    <x v="11"/>
    <s v="Kyu Sot"/>
    <m/>
    <m/>
    <m/>
    <m/>
    <m/>
    <m/>
    <m/>
    <m/>
    <m/>
    <m/>
    <m/>
    <m/>
    <m/>
    <m/>
    <m/>
    <m/>
    <m/>
    <m/>
    <m/>
    <m/>
    <e v="#REF!"/>
    <e v="#REF!"/>
    <e v="#REF!"/>
    <e v="#REF!"/>
    <e v="#REF!"/>
    <e v="#REF!"/>
    <e v="#REF!"/>
    <e v="#REF!"/>
    <e v="#REF!"/>
    <e v="#REF!"/>
    <m/>
    <m/>
    <m/>
    <n v="0"/>
    <m/>
    <m/>
    <m/>
    <m/>
    <m/>
    <m/>
    <m/>
    <s v="MMR015CMP248"/>
    <m/>
  </r>
  <r>
    <x v="95"/>
    <x v="15"/>
    <x v="0"/>
    <s v="Shalom"/>
    <s v="Kachin"/>
    <x v="1"/>
    <s v="Tat Kone COC Baptist - Tat Kone Htoi San"/>
    <m/>
    <m/>
    <m/>
    <n v="3"/>
    <n v="2"/>
    <n v="6"/>
    <n v="3"/>
    <n v="6"/>
    <n v="3"/>
    <m/>
    <n v="3"/>
    <n v="7"/>
    <m/>
    <m/>
    <m/>
    <m/>
    <n v="3"/>
    <m/>
    <m/>
    <m/>
    <e v="#REF!"/>
    <e v="#REF!"/>
    <e v="#REF!"/>
    <e v="#REF!"/>
    <e v="#REF!"/>
    <e v="#REF!"/>
    <e v="#REF!"/>
    <e v="#REF!"/>
    <e v="#REF!"/>
    <e v="#REF!"/>
    <m/>
    <m/>
    <m/>
    <n v="0"/>
    <m/>
    <m/>
    <m/>
    <m/>
    <m/>
    <m/>
    <m/>
    <s v="MMR001CMP023"/>
    <m/>
  </r>
  <r>
    <x v="95"/>
    <x v="16"/>
    <x v="0"/>
    <s v="Shalom"/>
    <s v="Kachin"/>
    <x v="0"/>
    <s v="Qtr. 2 Lhaovo Baptist Church"/>
    <m/>
    <m/>
    <m/>
    <n v="2"/>
    <n v="2"/>
    <n v="7"/>
    <n v="2"/>
    <n v="7"/>
    <n v="2"/>
    <m/>
    <n v="2"/>
    <n v="10"/>
    <m/>
    <m/>
    <m/>
    <m/>
    <n v="2"/>
    <m/>
    <m/>
    <m/>
    <e v="#REF!"/>
    <e v="#REF!"/>
    <e v="#REF!"/>
    <e v="#REF!"/>
    <e v="#REF!"/>
    <e v="#REF!"/>
    <e v="#REF!"/>
    <e v="#REF!"/>
    <e v="#REF!"/>
    <e v="#REF!"/>
    <m/>
    <m/>
    <m/>
    <n v="0"/>
    <m/>
    <m/>
    <m/>
    <m/>
    <m/>
    <m/>
    <m/>
    <s v="MMR001CMP032"/>
    <m/>
  </r>
  <r>
    <x v="96"/>
    <x v="16"/>
    <x v="13"/>
    <m/>
    <s v="Kachin"/>
    <x v="1"/>
    <s v="Tang Hpre RC Church"/>
    <m/>
    <m/>
    <m/>
    <m/>
    <m/>
    <n v="412"/>
    <n v="254"/>
    <m/>
    <m/>
    <m/>
    <n v="166"/>
    <n v="254"/>
    <m/>
    <m/>
    <m/>
    <m/>
    <m/>
    <m/>
    <m/>
    <m/>
    <e v="#REF!"/>
    <e v="#REF!"/>
    <e v="#REF!"/>
    <e v="#REF!"/>
    <e v="#REF!"/>
    <e v="#REF!"/>
    <e v="#REF!"/>
    <e v="#REF!"/>
    <e v="#REF!"/>
    <e v="#REF!"/>
    <m/>
    <m/>
    <m/>
    <n v="0"/>
    <m/>
    <m/>
    <m/>
    <m/>
    <m/>
    <m/>
    <m/>
    <s v="MMR001CMP264"/>
    <m/>
  </r>
  <r>
    <x v="97"/>
    <x v="16"/>
    <x v="4"/>
    <s v="MRCS"/>
    <s v="Kachin"/>
    <x v="12"/>
    <s v="Aung Lawt "/>
    <m/>
    <m/>
    <m/>
    <m/>
    <n v="36"/>
    <m/>
    <m/>
    <m/>
    <m/>
    <m/>
    <m/>
    <m/>
    <m/>
    <m/>
    <m/>
    <m/>
    <m/>
    <m/>
    <m/>
    <m/>
    <e v="#REF!"/>
    <e v="#REF!"/>
    <e v="#REF!"/>
    <e v="#REF!"/>
    <e v="#REF!"/>
    <e v="#REF!"/>
    <e v="#REF!"/>
    <e v="#REF!"/>
    <e v="#REF!"/>
    <e v="#REF!"/>
    <m/>
    <m/>
    <m/>
    <n v="0"/>
    <m/>
    <m/>
    <m/>
    <m/>
    <m/>
    <m/>
    <m/>
    <s v=""/>
    <m/>
  </r>
  <r>
    <x v="97"/>
    <x v="16"/>
    <x v="4"/>
    <s v="MRCS"/>
    <s v="Kachin"/>
    <x v="17"/>
    <s v="Namti Labraw Yang KBC Camp"/>
    <m/>
    <m/>
    <m/>
    <m/>
    <n v="104"/>
    <n v="104"/>
    <m/>
    <m/>
    <n v="104"/>
    <m/>
    <m/>
    <m/>
    <m/>
    <m/>
    <m/>
    <m/>
    <m/>
    <m/>
    <m/>
    <m/>
    <e v="#REF!"/>
    <e v="#REF!"/>
    <e v="#REF!"/>
    <e v="#REF!"/>
    <e v="#REF!"/>
    <e v="#REF!"/>
    <e v="#REF!"/>
    <e v="#REF!"/>
    <e v="#REF!"/>
    <e v="#REF!"/>
    <m/>
    <m/>
    <m/>
    <n v="0"/>
    <m/>
    <m/>
    <m/>
    <m/>
    <m/>
    <m/>
    <m/>
    <s v="MMR001CMP261"/>
    <m/>
  </r>
  <r>
    <x v="97"/>
    <x v="16"/>
    <x v="4"/>
    <s v="MRCS"/>
    <s v="Kachin"/>
    <x v="17"/>
    <s v="Lan Gwa St.Paul RC Church"/>
    <m/>
    <m/>
    <m/>
    <m/>
    <n v="86"/>
    <n v="86"/>
    <m/>
    <m/>
    <n v="86"/>
    <m/>
    <m/>
    <m/>
    <m/>
    <m/>
    <m/>
    <m/>
    <m/>
    <m/>
    <m/>
    <m/>
    <e v="#REF!"/>
    <e v="#REF!"/>
    <e v="#REF!"/>
    <e v="#REF!"/>
    <e v="#REF!"/>
    <e v="#REF!"/>
    <e v="#REF!"/>
    <e v="#REF!"/>
    <e v="#REF!"/>
    <e v="#REF!"/>
    <m/>
    <m/>
    <m/>
    <n v="0"/>
    <m/>
    <m/>
    <m/>
    <m/>
    <m/>
    <m/>
    <m/>
    <s v="MMR001CMP260"/>
    <m/>
  </r>
  <r>
    <x v="97"/>
    <x v="16"/>
    <x v="4"/>
    <s v="MRCS"/>
    <s v="Kachin"/>
    <x v="17"/>
    <s v="Emmanuel AG Church"/>
    <m/>
    <m/>
    <m/>
    <m/>
    <n v="35"/>
    <n v="35"/>
    <m/>
    <m/>
    <n v="35"/>
    <m/>
    <m/>
    <m/>
    <m/>
    <m/>
    <m/>
    <m/>
    <m/>
    <m/>
    <m/>
    <m/>
    <e v="#REF!"/>
    <e v="#REF!"/>
    <e v="#REF!"/>
    <e v="#REF!"/>
    <e v="#REF!"/>
    <e v="#REF!"/>
    <e v="#REF!"/>
    <e v="#REF!"/>
    <e v="#REF!"/>
    <e v="#REF!"/>
    <m/>
    <m/>
    <m/>
    <n v="0"/>
    <m/>
    <m/>
    <m/>
    <m/>
    <m/>
    <m/>
    <m/>
    <s v="MMR001CMP262"/>
    <m/>
  </r>
  <r>
    <x v="97"/>
    <x v="16"/>
    <x v="4"/>
    <s v="MRCS"/>
    <s v="Kachin"/>
    <x v="17"/>
    <s v="Myo Oo St. Dominic RC Church"/>
    <m/>
    <m/>
    <m/>
    <m/>
    <n v="46"/>
    <n v="46"/>
    <m/>
    <m/>
    <n v="46"/>
    <m/>
    <m/>
    <m/>
    <m/>
    <m/>
    <m/>
    <m/>
    <m/>
    <m/>
    <m/>
    <m/>
    <e v="#REF!"/>
    <e v="#REF!"/>
    <e v="#REF!"/>
    <e v="#REF!"/>
    <e v="#REF!"/>
    <e v="#REF!"/>
    <e v="#REF!"/>
    <e v="#REF!"/>
    <e v="#REF!"/>
    <e v="#REF!"/>
    <m/>
    <m/>
    <m/>
    <n v="0"/>
    <m/>
    <m/>
    <m/>
    <m/>
    <m/>
    <m/>
    <m/>
    <s v="MMR001CMP259"/>
    <m/>
  </r>
  <r>
    <x v="96"/>
    <x v="16"/>
    <x v="4"/>
    <s v="MRCS"/>
    <s v="Kachin"/>
    <x v="1"/>
    <s v="Tang Hpre RC Church"/>
    <m/>
    <m/>
    <m/>
    <m/>
    <n v="179"/>
    <m/>
    <m/>
    <m/>
    <n v="179"/>
    <m/>
    <m/>
    <m/>
    <m/>
    <m/>
    <m/>
    <m/>
    <n v="179"/>
    <m/>
    <m/>
    <m/>
    <e v="#REF!"/>
    <e v="#REF!"/>
    <e v="#REF!"/>
    <e v="#REF!"/>
    <e v="#REF!"/>
    <e v="#REF!"/>
    <e v="#REF!"/>
    <e v="#REF!"/>
    <e v="#REF!"/>
    <e v="#REF!"/>
    <m/>
    <m/>
    <m/>
    <n v="0"/>
    <m/>
    <m/>
    <m/>
    <m/>
    <m/>
    <m/>
    <m/>
    <s v="MMR001CMP264"/>
    <m/>
  </r>
  <r>
    <x v="96"/>
    <x v="16"/>
    <x v="4"/>
    <s v="MRCS"/>
    <s v="Kachin"/>
    <x v="1"/>
    <s v="Ti Yang Zup"/>
    <m/>
    <m/>
    <m/>
    <m/>
    <n v="27"/>
    <m/>
    <m/>
    <m/>
    <n v="27"/>
    <m/>
    <m/>
    <m/>
    <m/>
    <m/>
    <m/>
    <m/>
    <n v="27"/>
    <m/>
    <m/>
    <m/>
    <e v="#REF!"/>
    <e v="#REF!"/>
    <e v="#REF!"/>
    <e v="#REF!"/>
    <e v="#REF!"/>
    <e v="#REF!"/>
    <e v="#REF!"/>
    <e v="#REF!"/>
    <e v="#REF!"/>
    <e v="#REF!"/>
    <m/>
    <m/>
    <m/>
    <n v="0"/>
    <m/>
    <m/>
    <m/>
    <m/>
    <m/>
    <m/>
    <m/>
    <s v="MMR001CMP267"/>
    <m/>
  </r>
  <r>
    <x v="96"/>
    <x v="16"/>
    <x v="3"/>
    <s v="Metta"/>
    <s v="Kachin"/>
    <x v="1"/>
    <s v="Trinity Camp"/>
    <m/>
    <m/>
    <m/>
    <m/>
    <m/>
    <n v="164"/>
    <m/>
    <n v="164"/>
    <m/>
    <m/>
    <m/>
    <n v="164"/>
    <m/>
    <m/>
    <m/>
    <m/>
    <m/>
    <m/>
    <m/>
    <m/>
    <e v="#REF!"/>
    <e v="#REF!"/>
    <e v="#REF!"/>
    <e v="#REF!"/>
    <e v="#REF!"/>
    <e v="#REF!"/>
    <e v="#REF!"/>
    <e v="#REF!"/>
    <e v="#REF!"/>
    <e v="#REF!"/>
    <m/>
    <m/>
    <m/>
    <n v="0"/>
    <m/>
    <m/>
    <m/>
    <m/>
    <m/>
    <m/>
    <m/>
    <s v="MMR001CMP263"/>
    <m/>
  </r>
  <r>
    <x v="98"/>
    <x v="16"/>
    <x v="2"/>
    <m/>
    <s v="Shan_North"/>
    <x v="9"/>
    <s v="Mai Yu Lay New (Ta'ang)"/>
    <m/>
    <m/>
    <m/>
    <m/>
    <m/>
    <m/>
    <n v="15"/>
    <m/>
    <m/>
    <m/>
    <m/>
    <n v="49"/>
    <m/>
    <m/>
    <m/>
    <m/>
    <m/>
    <m/>
    <n v="32"/>
    <m/>
    <e v="#REF!"/>
    <e v="#REF!"/>
    <e v="#REF!"/>
    <e v="#REF!"/>
    <e v="#REF!"/>
    <e v="#REF!"/>
    <e v="#REF!"/>
    <e v="#REF!"/>
    <e v="#REF!"/>
    <e v="#REF!"/>
    <m/>
    <m/>
    <m/>
    <n v="0"/>
    <m/>
    <m/>
    <m/>
    <m/>
    <m/>
    <m/>
    <m/>
    <s v="MMR015CMP220"/>
    <m/>
  </r>
  <r>
    <x v="99"/>
    <x v="17"/>
    <x v="2"/>
    <m/>
    <s v="Shan_North"/>
    <x v="14"/>
    <s v="Mong Wee Shan"/>
    <m/>
    <m/>
    <m/>
    <m/>
    <m/>
    <m/>
    <n v="32"/>
    <m/>
    <m/>
    <m/>
    <m/>
    <n v="109"/>
    <m/>
    <m/>
    <m/>
    <m/>
    <m/>
    <m/>
    <m/>
    <m/>
    <e v="#REF!"/>
    <e v="#REF!"/>
    <e v="#REF!"/>
    <e v="#REF!"/>
    <e v="#REF!"/>
    <e v="#REF!"/>
    <e v="#REF!"/>
    <e v="#REF!"/>
    <e v="#REF!"/>
    <e v="#REF!"/>
    <m/>
    <m/>
    <m/>
    <n v="0"/>
    <m/>
    <m/>
    <m/>
    <m/>
    <m/>
    <m/>
    <m/>
    <s v="MMR015CMP224"/>
    <m/>
  </r>
  <r>
    <x v="99"/>
    <x v="17"/>
    <x v="2"/>
    <m/>
    <s v="Shan_North"/>
    <x v="14"/>
    <s v="Nam Hkam - Nay Win Ni (Palawng)"/>
    <m/>
    <m/>
    <m/>
    <m/>
    <m/>
    <m/>
    <n v="26"/>
    <m/>
    <m/>
    <m/>
    <m/>
    <n v="26"/>
    <m/>
    <m/>
    <m/>
    <m/>
    <m/>
    <m/>
    <m/>
    <m/>
    <e v="#REF!"/>
    <e v="#REF!"/>
    <e v="#REF!"/>
    <e v="#REF!"/>
    <e v="#REF!"/>
    <e v="#REF!"/>
    <e v="#REF!"/>
    <e v="#REF!"/>
    <e v="#REF!"/>
    <e v="#REF!"/>
    <m/>
    <m/>
    <m/>
    <n v="0"/>
    <m/>
    <m/>
    <m/>
    <m/>
    <m/>
    <m/>
    <m/>
    <s v="MMR015CMP004"/>
    <m/>
  </r>
  <r>
    <x v="96"/>
    <x v="16"/>
    <x v="4"/>
    <s v="MRCS"/>
    <s v="Kachin"/>
    <x v="1"/>
    <s v="Jaw Ma Sat Camp"/>
    <m/>
    <m/>
    <m/>
    <m/>
    <n v="103"/>
    <m/>
    <m/>
    <m/>
    <n v="103"/>
    <m/>
    <m/>
    <m/>
    <m/>
    <m/>
    <m/>
    <m/>
    <n v="103"/>
    <m/>
    <m/>
    <m/>
    <e v="#REF!"/>
    <e v="#REF!"/>
    <e v="#REF!"/>
    <e v="#REF!"/>
    <e v="#REF!"/>
    <e v="#REF!"/>
    <e v="#REF!"/>
    <e v="#REF!"/>
    <e v="#REF!"/>
    <e v="#REF!"/>
    <m/>
    <m/>
    <m/>
    <n v="0"/>
    <m/>
    <m/>
    <m/>
    <m/>
    <m/>
    <m/>
    <m/>
    <s v=""/>
    <m/>
  </r>
  <r>
    <x v="100"/>
    <x v="17"/>
    <x v="3"/>
    <s v="Metta"/>
    <s v="Kachin"/>
    <x v="17"/>
    <s v="Myo Oo St. Dominic RC Church"/>
    <m/>
    <m/>
    <m/>
    <m/>
    <m/>
    <m/>
    <m/>
    <m/>
    <m/>
    <m/>
    <m/>
    <m/>
    <m/>
    <m/>
    <m/>
    <m/>
    <m/>
    <n v="57"/>
    <m/>
    <m/>
    <e v="#REF!"/>
    <e v="#REF!"/>
    <e v="#REF!"/>
    <e v="#REF!"/>
    <e v="#REF!"/>
    <e v="#REF!"/>
    <e v="#REF!"/>
    <e v="#REF!"/>
    <e v="#REF!"/>
    <e v="#REF!"/>
    <m/>
    <m/>
    <m/>
    <n v="0"/>
    <m/>
    <m/>
    <m/>
    <m/>
    <m/>
    <m/>
    <m/>
    <s v="MMR001CMP259"/>
    <m/>
  </r>
  <r>
    <x v="100"/>
    <x v="17"/>
    <x v="3"/>
    <s v="Metta"/>
    <s v="Kachin"/>
    <x v="17"/>
    <s v="Namti Labraw Yang KBC Camp"/>
    <m/>
    <m/>
    <m/>
    <m/>
    <m/>
    <m/>
    <m/>
    <m/>
    <m/>
    <m/>
    <m/>
    <m/>
    <m/>
    <m/>
    <m/>
    <m/>
    <m/>
    <n v="120"/>
    <m/>
    <m/>
    <e v="#REF!"/>
    <e v="#REF!"/>
    <e v="#REF!"/>
    <e v="#REF!"/>
    <e v="#REF!"/>
    <e v="#REF!"/>
    <e v="#REF!"/>
    <e v="#REF!"/>
    <e v="#REF!"/>
    <e v="#REF!"/>
    <m/>
    <m/>
    <m/>
    <n v="0"/>
    <m/>
    <m/>
    <m/>
    <m/>
    <m/>
    <m/>
    <m/>
    <s v="MMR001CMP261"/>
    <m/>
  </r>
  <r>
    <x v="100"/>
    <x v="17"/>
    <x v="3"/>
    <s v="Metta"/>
    <s v="Kachin"/>
    <x v="17"/>
    <s v="Lan Gwa St.Paul RC Church"/>
    <m/>
    <m/>
    <m/>
    <m/>
    <m/>
    <m/>
    <m/>
    <m/>
    <m/>
    <m/>
    <m/>
    <m/>
    <m/>
    <m/>
    <m/>
    <m/>
    <m/>
    <n v="89"/>
    <m/>
    <m/>
    <e v="#REF!"/>
    <e v="#REF!"/>
    <e v="#REF!"/>
    <e v="#REF!"/>
    <e v="#REF!"/>
    <e v="#REF!"/>
    <e v="#REF!"/>
    <e v="#REF!"/>
    <e v="#REF!"/>
    <e v="#REF!"/>
    <m/>
    <m/>
    <m/>
    <n v="0"/>
    <m/>
    <m/>
    <m/>
    <m/>
    <m/>
    <m/>
    <m/>
    <s v="MMR001CMP260"/>
    <m/>
  </r>
  <r>
    <x v="100"/>
    <x v="17"/>
    <x v="3"/>
    <s v="Metta"/>
    <s v="Kachin"/>
    <x v="17"/>
    <s v="Emmanuel AG Church"/>
    <m/>
    <m/>
    <m/>
    <m/>
    <m/>
    <m/>
    <m/>
    <m/>
    <m/>
    <m/>
    <m/>
    <m/>
    <m/>
    <m/>
    <m/>
    <m/>
    <m/>
    <n v="26"/>
    <m/>
    <m/>
    <e v="#REF!"/>
    <e v="#REF!"/>
    <e v="#REF!"/>
    <e v="#REF!"/>
    <e v="#REF!"/>
    <e v="#REF!"/>
    <e v="#REF!"/>
    <e v="#REF!"/>
    <e v="#REF!"/>
    <e v="#REF!"/>
    <m/>
    <m/>
    <m/>
    <n v="0"/>
    <m/>
    <m/>
    <m/>
    <m/>
    <m/>
    <m/>
    <m/>
    <s v="MMR001CMP262"/>
    <m/>
  </r>
  <r>
    <x v="101"/>
    <x v="17"/>
    <x v="3"/>
    <s v="Metta"/>
    <s v="Kachin"/>
    <x v="1"/>
    <s v="Tang Hpre RC Church"/>
    <m/>
    <m/>
    <m/>
    <m/>
    <m/>
    <m/>
    <m/>
    <m/>
    <m/>
    <m/>
    <m/>
    <m/>
    <m/>
    <m/>
    <m/>
    <m/>
    <m/>
    <n v="386"/>
    <m/>
    <m/>
    <e v="#REF!"/>
    <e v="#REF!"/>
    <e v="#REF!"/>
    <e v="#REF!"/>
    <e v="#REF!"/>
    <e v="#REF!"/>
    <e v="#REF!"/>
    <e v="#REF!"/>
    <e v="#REF!"/>
    <e v="#REF!"/>
    <m/>
    <m/>
    <m/>
    <n v="0"/>
    <m/>
    <m/>
    <m/>
    <m/>
    <m/>
    <m/>
    <m/>
    <s v="MMR001CMP264"/>
    <m/>
  </r>
  <r>
    <x v="102"/>
    <x v="17"/>
    <x v="3"/>
    <s v="Metta"/>
    <s v="Kachin"/>
    <x v="1"/>
    <s v="Ka Bu Dam CoC"/>
    <m/>
    <m/>
    <m/>
    <m/>
    <m/>
    <m/>
    <m/>
    <m/>
    <m/>
    <m/>
    <m/>
    <m/>
    <m/>
    <m/>
    <m/>
    <m/>
    <m/>
    <n v="12"/>
    <m/>
    <m/>
    <e v="#REF!"/>
    <e v="#REF!"/>
    <e v="#REF!"/>
    <e v="#REF!"/>
    <e v="#REF!"/>
    <e v="#REF!"/>
    <e v="#REF!"/>
    <e v="#REF!"/>
    <e v="#REF!"/>
    <e v="#REF!"/>
    <m/>
    <m/>
    <m/>
    <n v="0"/>
    <m/>
    <m/>
    <m/>
    <m/>
    <m/>
    <m/>
    <m/>
    <s v="MMR001CMP256"/>
    <m/>
  </r>
  <r>
    <x v="103"/>
    <x v="17"/>
    <x v="14"/>
    <s v="KBC"/>
    <s v="Kachin"/>
    <x v="1"/>
    <s v="Ti Yang Zup"/>
    <m/>
    <m/>
    <m/>
    <n v="25"/>
    <m/>
    <n v="50"/>
    <n v="50"/>
    <n v="50"/>
    <n v="25"/>
    <m/>
    <n v="25"/>
    <m/>
    <m/>
    <m/>
    <m/>
    <m/>
    <m/>
    <m/>
    <m/>
    <m/>
    <e v="#REF!"/>
    <e v="#REF!"/>
    <e v="#REF!"/>
    <e v="#REF!"/>
    <e v="#REF!"/>
    <e v="#REF!"/>
    <e v="#REF!"/>
    <e v="#REF!"/>
    <e v="#REF!"/>
    <e v="#REF!"/>
    <m/>
    <m/>
    <m/>
    <n v="0"/>
    <m/>
    <m/>
    <m/>
    <m/>
    <m/>
    <m/>
    <m/>
    <s v="MMR001CMP267"/>
    <m/>
  </r>
  <r>
    <x v="103"/>
    <x v="17"/>
    <x v="14"/>
    <s v="KBC"/>
    <s v="Kachin"/>
    <x v="6"/>
    <s v="Karmaing RC Church"/>
    <m/>
    <m/>
    <m/>
    <n v="31"/>
    <m/>
    <n v="62"/>
    <n v="62"/>
    <n v="62"/>
    <n v="31"/>
    <m/>
    <n v="31"/>
    <m/>
    <m/>
    <m/>
    <m/>
    <m/>
    <m/>
    <m/>
    <m/>
    <m/>
    <e v="#REF!"/>
    <e v="#REF!"/>
    <e v="#REF!"/>
    <e v="#REF!"/>
    <e v="#REF!"/>
    <e v="#REF!"/>
    <e v="#REF!"/>
    <e v="#REF!"/>
    <e v="#REF!"/>
    <e v="#REF!"/>
    <m/>
    <m/>
    <m/>
    <n v="0"/>
    <m/>
    <m/>
    <m/>
    <m/>
    <m/>
    <m/>
    <m/>
    <s v="MMR001CMP270"/>
    <m/>
  </r>
  <r>
    <x v="103"/>
    <x v="17"/>
    <x v="14"/>
    <s v="KBC"/>
    <s v="Kachin"/>
    <x v="0"/>
    <s v="Shangaw KBC"/>
    <m/>
    <m/>
    <m/>
    <n v="41"/>
    <m/>
    <n v="82"/>
    <n v="82"/>
    <n v="82"/>
    <n v="41"/>
    <m/>
    <n v="41"/>
    <m/>
    <m/>
    <m/>
    <m/>
    <m/>
    <m/>
    <m/>
    <m/>
    <m/>
    <e v="#REF!"/>
    <e v="#REF!"/>
    <e v="#REF!"/>
    <e v="#REF!"/>
    <e v="#REF!"/>
    <e v="#REF!"/>
    <e v="#REF!"/>
    <e v="#REF!"/>
    <e v="#REF!"/>
    <e v="#REF!"/>
    <m/>
    <m/>
    <m/>
    <n v="0"/>
    <m/>
    <m/>
    <m/>
    <m/>
    <m/>
    <m/>
    <m/>
    <s v=""/>
    <m/>
  </r>
  <r>
    <x v="103"/>
    <x v="17"/>
    <x v="14"/>
    <s v="KBC"/>
    <s v="Kachin"/>
    <x v="0"/>
    <s v="Hka Wan KBC"/>
    <m/>
    <m/>
    <m/>
    <n v="16"/>
    <m/>
    <n v="32"/>
    <n v="32"/>
    <n v="32"/>
    <n v="16"/>
    <m/>
    <n v="16"/>
    <m/>
    <m/>
    <m/>
    <m/>
    <m/>
    <m/>
    <m/>
    <m/>
    <m/>
    <e v="#REF!"/>
    <e v="#REF!"/>
    <e v="#REF!"/>
    <e v="#REF!"/>
    <e v="#REF!"/>
    <e v="#REF!"/>
    <e v="#REF!"/>
    <e v="#REF!"/>
    <e v="#REF!"/>
    <e v="#REF!"/>
    <m/>
    <m/>
    <m/>
    <n v="0"/>
    <m/>
    <m/>
    <m/>
    <m/>
    <m/>
    <m/>
    <m/>
    <s v=""/>
    <m/>
  </r>
  <r>
    <x v="104"/>
    <x v="17"/>
    <x v="15"/>
    <s v="KBC"/>
    <s v="Kachin"/>
    <x v="17"/>
    <s v="Namti Labraw Yang KBC Camp"/>
    <m/>
    <m/>
    <m/>
    <m/>
    <m/>
    <n v="213"/>
    <m/>
    <n v="213"/>
    <m/>
    <m/>
    <n v="99"/>
    <m/>
    <m/>
    <m/>
    <m/>
    <m/>
    <m/>
    <m/>
    <m/>
    <m/>
    <e v="#REF!"/>
    <e v="#REF!"/>
    <e v="#REF!"/>
    <e v="#REF!"/>
    <e v="#REF!"/>
    <e v="#REF!"/>
    <e v="#REF!"/>
    <e v="#REF!"/>
    <e v="#REF!"/>
    <e v="#REF!"/>
    <m/>
    <m/>
    <m/>
    <n v="0"/>
    <m/>
    <m/>
    <m/>
    <m/>
    <m/>
    <m/>
    <m/>
    <s v="MMR001CMP261"/>
    <m/>
  </r>
  <r>
    <x v="104"/>
    <x v="17"/>
    <x v="15"/>
    <s v="KBC"/>
    <s v="Kachin"/>
    <x v="17"/>
    <s v="Emmanuel AG Church"/>
    <m/>
    <m/>
    <m/>
    <m/>
    <m/>
    <n v="44"/>
    <m/>
    <n v="34"/>
    <m/>
    <m/>
    <n v="31"/>
    <m/>
    <m/>
    <m/>
    <m/>
    <m/>
    <m/>
    <m/>
    <m/>
    <m/>
    <e v="#REF!"/>
    <e v="#REF!"/>
    <e v="#REF!"/>
    <e v="#REF!"/>
    <e v="#REF!"/>
    <e v="#REF!"/>
    <e v="#REF!"/>
    <e v="#REF!"/>
    <e v="#REF!"/>
    <e v="#REF!"/>
    <m/>
    <m/>
    <m/>
    <n v="0"/>
    <m/>
    <m/>
    <m/>
    <m/>
    <m/>
    <m/>
    <m/>
    <s v="MMR001CMP262"/>
    <m/>
  </r>
  <r>
    <x v="104"/>
    <x v="17"/>
    <x v="15"/>
    <s v="KBC"/>
    <s v="Kachin"/>
    <x v="17"/>
    <s v="Lan Gwa St.Paul RC Church"/>
    <m/>
    <m/>
    <m/>
    <m/>
    <m/>
    <n v="167"/>
    <m/>
    <m/>
    <m/>
    <m/>
    <n v="72"/>
    <m/>
    <m/>
    <m/>
    <m/>
    <m/>
    <m/>
    <m/>
    <m/>
    <m/>
    <e v="#REF!"/>
    <e v="#REF!"/>
    <e v="#REF!"/>
    <e v="#REF!"/>
    <e v="#REF!"/>
    <e v="#REF!"/>
    <e v="#REF!"/>
    <e v="#REF!"/>
    <e v="#REF!"/>
    <e v="#REF!"/>
    <m/>
    <m/>
    <m/>
    <n v="0"/>
    <m/>
    <m/>
    <m/>
    <m/>
    <m/>
    <m/>
    <m/>
    <s v="MMR001CMP260"/>
    <m/>
  </r>
  <r>
    <x v="104"/>
    <x v="17"/>
    <x v="15"/>
    <s v="KBC"/>
    <s v="Kachin"/>
    <x v="17"/>
    <s v="Myo Oo St. Dominic RC Church"/>
    <m/>
    <m/>
    <m/>
    <m/>
    <m/>
    <n v="99"/>
    <m/>
    <m/>
    <m/>
    <m/>
    <n v="45"/>
    <m/>
    <m/>
    <m/>
    <m/>
    <m/>
    <m/>
    <m/>
    <m/>
    <m/>
    <e v="#REF!"/>
    <e v="#REF!"/>
    <e v="#REF!"/>
    <e v="#REF!"/>
    <e v="#REF!"/>
    <e v="#REF!"/>
    <e v="#REF!"/>
    <e v="#REF!"/>
    <e v="#REF!"/>
    <e v="#REF!"/>
    <m/>
    <m/>
    <m/>
    <n v="0"/>
    <m/>
    <m/>
    <m/>
    <m/>
    <m/>
    <m/>
    <m/>
    <s v="MMR001CMP259"/>
    <m/>
  </r>
  <r>
    <x v="105"/>
    <x v="17"/>
    <x v="16"/>
    <s v="ICRC (Observer)"/>
    <s v="Kachin"/>
    <x v="7"/>
    <s v="Lhaovao Baptist Church (LBC)"/>
    <m/>
    <m/>
    <m/>
    <m/>
    <m/>
    <n v="100"/>
    <n v="20"/>
    <n v="100"/>
    <n v="100"/>
    <m/>
    <m/>
    <n v="100"/>
    <m/>
    <m/>
    <m/>
    <m/>
    <m/>
    <m/>
    <m/>
    <m/>
    <e v="#REF!"/>
    <e v="#REF!"/>
    <e v="#REF!"/>
    <e v="#REF!"/>
    <e v="#REF!"/>
    <e v="#REF!"/>
    <e v="#REF!"/>
    <e v="#REF!"/>
    <e v="#REF!"/>
    <e v="#REF!"/>
    <m/>
    <m/>
    <m/>
    <n v="0"/>
    <m/>
    <m/>
    <m/>
    <m/>
    <m/>
    <m/>
    <m/>
    <s v="MMR001CMP195"/>
    <m/>
  </r>
  <r>
    <x v="105"/>
    <x v="17"/>
    <x v="16"/>
    <s v="ICRC (Observer)"/>
    <s v="Kachin"/>
    <x v="7"/>
    <s v="Chipwi KBC camp"/>
    <m/>
    <m/>
    <m/>
    <m/>
    <m/>
    <n v="30"/>
    <m/>
    <n v="30"/>
    <n v="30"/>
    <m/>
    <m/>
    <n v="30"/>
    <m/>
    <m/>
    <m/>
    <m/>
    <m/>
    <m/>
    <m/>
    <m/>
    <e v="#REF!"/>
    <e v="#REF!"/>
    <e v="#REF!"/>
    <e v="#REF!"/>
    <e v="#REF!"/>
    <e v="#REF!"/>
    <e v="#REF!"/>
    <e v="#REF!"/>
    <e v="#REF!"/>
    <e v="#REF!"/>
    <m/>
    <m/>
    <m/>
    <n v="0"/>
    <m/>
    <m/>
    <m/>
    <m/>
    <m/>
    <m/>
    <m/>
    <s v="MMR001CMP042"/>
    <m/>
  </r>
  <r>
    <x v="103"/>
    <x v="17"/>
    <x v="0"/>
    <s v="UNHCR"/>
    <s v="Kachin"/>
    <x v="1"/>
    <s v="Tang Hpre RC Church"/>
    <m/>
    <m/>
    <m/>
    <m/>
    <m/>
    <m/>
    <n v="26"/>
    <m/>
    <m/>
    <m/>
    <m/>
    <m/>
    <m/>
    <m/>
    <m/>
    <m/>
    <m/>
    <m/>
    <m/>
    <m/>
    <e v="#REF!"/>
    <e v="#REF!"/>
    <e v="#REF!"/>
    <e v="#REF!"/>
    <e v="#REF!"/>
    <e v="#REF!"/>
    <e v="#REF!"/>
    <e v="#REF!"/>
    <e v="#REF!"/>
    <e v="#REF!"/>
    <m/>
    <m/>
    <m/>
    <n v="0"/>
    <m/>
    <m/>
    <m/>
    <m/>
    <m/>
    <m/>
    <m/>
    <s v="MMR001CMP264"/>
    <m/>
  </r>
  <r>
    <x v="103"/>
    <x v="17"/>
    <x v="0"/>
    <s v="KMSS"/>
    <s v="Kachin"/>
    <x v="6"/>
    <s v="Lawa RC Church"/>
    <m/>
    <m/>
    <m/>
    <m/>
    <m/>
    <m/>
    <m/>
    <m/>
    <n v="40"/>
    <m/>
    <m/>
    <m/>
    <m/>
    <m/>
    <m/>
    <m/>
    <m/>
    <m/>
    <m/>
    <m/>
    <e v="#REF!"/>
    <e v="#REF!"/>
    <e v="#REF!"/>
    <e v="#REF!"/>
    <e v="#REF!"/>
    <e v="#REF!"/>
    <e v="#REF!"/>
    <e v="#REF!"/>
    <e v="#REF!"/>
    <e v="#REF!"/>
    <m/>
    <m/>
    <m/>
    <n v="0"/>
    <m/>
    <m/>
    <m/>
    <m/>
    <m/>
    <m/>
    <m/>
    <s v="MMR001CMP268"/>
    <m/>
  </r>
  <r>
    <x v="103"/>
    <x v="17"/>
    <x v="0"/>
    <s v="KMSS"/>
    <s v="Kachin"/>
    <x v="1"/>
    <s v="Tang Hpre RC Church"/>
    <m/>
    <n v="251"/>
    <m/>
    <m/>
    <m/>
    <m/>
    <m/>
    <m/>
    <n v="251"/>
    <m/>
    <m/>
    <m/>
    <m/>
    <m/>
    <m/>
    <m/>
    <m/>
    <m/>
    <m/>
    <m/>
    <e v="#REF!"/>
    <e v="#REF!"/>
    <e v="#REF!"/>
    <e v="#REF!"/>
    <e v="#REF!"/>
    <e v="#REF!"/>
    <e v="#REF!"/>
    <e v="#REF!"/>
    <e v="#REF!"/>
    <e v="#REF!"/>
    <m/>
    <m/>
    <m/>
    <n v="0"/>
    <m/>
    <m/>
    <m/>
    <m/>
    <m/>
    <m/>
    <m/>
    <s v="MMR001CMP264"/>
    <m/>
  </r>
  <r>
    <x v="103"/>
    <x v="17"/>
    <x v="0"/>
    <s v="KMSS"/>
    <s v="Kachin"/>
    <x v="1"/>
    <s v="Trinity Camp"/>
    <m/>
    <n v="160"/>
    <m/>
    <m/>
    <m/>
    <m/>
    <m/>
    <m/>
    <n v="160"/>
    <m/>
    <m/>
    <m/>
    <m/>
    <m/>
    <m/>
    <m/>
    <m/>
    <m/>
    <m/>
    <m/>
    <e v="#REF!"/>
    <e v="#REF!"/>
    <e v="#REF!"/>
    <e v="#REF!"/>
    <e v="#REF!"/>
    <e v="#REF!"/>
    <e v="#REF!"/>
    <e v="#REF!"/>
    <e v="#REF!"/>
    <e v="#REF!"/>
    <m/>
    <m/>
    <m/>
    <n v="0"/>
    <m/>
    <m/>
    <m/>
    <m/>
    <m/>
    <m/>
    <m/>
    <s v="MMR001CMP263"/>
    <m/>
  </r>
  <r>
    <x v="103"/>
    <x v="17"/>
    <x v="0"/>
    <s v="KMSS"/>
    <s v="Kachin"/>
    <x v="12"/>
    <s v="Tanai RC Church - Kinsa Ra "/>
    <m/>
    <n v="101"/>
    <m/>
    <m/>
    <m/>
    <m/>
    <m/>
    <m/>
    <n v="101"/>
    <m/>
    <m/>
    <m/>
    <m/>
    <m/>
    <m/>
    <m/>
    <m/>
    <m/>
    <m/>
    <m/>
    <e v="#REF!"/>
    <e v="#REF!"/>
    <e v="#REF!"/>
    <e v="#REF!"/>
    <e v="#REF!"/>
    <e v="#REF!"/>
    <e v="#REF!"/>
    <e v="#REF!"/>
    <e v="#REF!"/>
    <e v="#REF!"/>
    <m/>
    <m/>
    <m/>
    <n v="0"/>
    <m/>
    <m/>
    <m/>
    <m/>
    <m/>
    <m/>
    <m/>
    <s v=""/>
    <m/>
  </r>
  <r>
    <x v="103"/>
    <x v="17"/>
    <x v="0"/>
    <s v="KMSS"/>
    <s v="Kachin"/>
    <x v="1"/>
    <s v="Jaw Ma Sat Camp"/>
    <m/>
    <n v="86"/>
    <m/>
    <m/>
    <m/>
    <m/>
    <m/>
    <m/>
    <n v="86"/>
    <m/>
    <m/>
    <m/>
    <m/>
    <m/>
    <m/>
    <m/>
    <m/>
    <m/>
    <m/>
    <m/>
    <e v="#REF!"/>
    <e v="#REF!"/>
    <e v="#REF!"/>
    <e v="#REF!"/>
    <e v="#REF!"/>
    <e v="#REF!"/>
    <e v="#REF!"/>
    <e v="#REF!"/>
    <e v="#REF!"/>
    <e v="#REF!"/>
    <m/>
    <m/>
    <m/>
    <n v="0"/>
    <m/>
    <m/>
    <m/>
    <m/>
    <m/>
    <m/>
    <m/>
    <s v=""/>
    <m/>
  </r>
  <r>
    <x v="103"/>
    <x v="17"/>
    <x v="0"/>
    <s v="KBC"/>
    <s v="Kachin"/>
    <x v="0"/>
    <s v="Maina KBC (Bawng Ring)"/>
    <m/>
    <m/>
    <m/>
    <n v="3"/>
    <m/>
    <m/>
    <n v="3"/>
    <m/>
    <n v="3"/>
    <m/>
    <n v="3"/>
    <m/>
    <m/>
    <m/>
    <m/>
    <m/>
    <n v="3"/>
    <m/>
    <m/>
    <m/>
    <e v="#REF!"/>
    <e v="#REF!"/>
    <e v="#REF!"/>
    <e v="#REF!"/>
    <e v="#REF!"/>
    <e v="#REF!"/>
    <e v="#REF!"/>
    <e v="#REF!"/>
    <e v="#REF!"/>
    <e v="#REF!"/>
    <m/>
    <m/>
    <m/>
    <n v="0"/>
    <m/>
    <m/>
    <m/>
    <m/>
    <m/>
    <m/>
    <m/>
    <s v="MMR001CMP040"/>
    <m/>
  </r>
  <r>
    <x v="103"/>
    <x v="17"/>
    <x v="0"/>
    <s v="KBC"/>
    <s v="Kachin"/>
    <x v="0"/>
    <s v="Maina KBC (Bawng Ring)"/>
    <m/>
    <m/>
    <m/>
    <n v="24"/>
    <m/>
    <n v="52"/>
    <n v="24"/>
    <n v="52"/>
    <n v="24"/>
    <m/>
    <n v="24"/>
    <n v="89"/>
    <m/>
    <m/>
    <m/>
    <m/>
    <n v="24"/>
    <m/>
    <m/>
    <m/>
    <e v="#REF!"/>
    <e v="#REF!"/>
    <e v="#REF!"/>
    <e v="#REF!"/>
    <e v="#REF!"/>
    <e v="#REF!"/>
    <e v="#REF!"/>
    <e v="#REF!"/>
    <e v="#REF!"/>
    <e v="#REF!"/>
    <m/>
    <m/>
    <m/>
    <n v="0"/>
    <m/>
    <m/>
    <m/>
    <m/>
    <m/>
    <m/>
    <m/>
    <s v="MMR001CMP040"/>
    <m/>
  </r>
  <r>
    <x v="106"/>
    <x v="17"/>
    <x v="0"/>
    <s v="Shalom"/>
    <s v="Kachin"/>
    <x v="0"/>
    <s v="Qtr. 2 Lhaovo Baptist Church"/>
    <m/>
    <m/>
    <m/>
    <n v="12"/>
    <n v="9"/>
    <n v="25"/>
    <n v="12"/>
    <n v="25"/>
    <n v="12"/>
    <m/>
    <n v="12"/>
    <n v="34"/>
    <m/>
    <m/>
    <m/>
    <m/>
    <n v="12"/>
    <m/>
    <m/>
    <m/>
    <e v="#REF!"/>
    <e v="#REF!"/>
    <e v="#REF!"/>
    <e v="#REF!"/>
    <e v="#REF!"/>
    <e v="#REF!"/>
    <e v="#REF!"/>
    <e v="#REF!"/>
    <e v="#REF!"/>
    <e v="#REF!"/>
    <m/>
    <m/>
    <m/>
    <n v="0"/>
    <m/>
    <m/>
    <m/>
    <m/>
    <m/>
    <m/>
    <m/>
    <s v="MMR001CMP032"/>
    <m/>
  </r>
  <r>
    <x v="106"/>
    <x v="17"/>
    <x v="0"/>
    <s v="Shalom"/>
    <s v="Kachin"/>
    <x v="0"/>
    <s v="Qtr. 3 Mu-yin  Baptist Church"/>
    <m/>
    <m/>
    <m/>
    <n v="1"/>
    <n v="1"/>
    <n v="4"/>
    <n v="1"/>
    <n v="4"/>
    <n v="1"/>
    <m/>
    <n v="1"/>
    <n v="7"/>
    <m/>
    <m/>
    <m/>
    <m/>
    <n v="1"/>
    <m/>
    <m/>
    <m/>
    <e v="#REF!"/>
    <e v="#REF!"/>
    <e v="#REF!"/>
    <e v="#REF!"/>
    <e v="#REF!"/>
    <e v="#REF!"/>
    <e v="#REF!"/>
    <e v="#REF!"/>
    <e v="#REF!"/>
    <e v="#REF!"/>
    <m/>
    <m/>
    <m/>
    <n v="0"/>
    <m/>
    <m/>
    <m/>
    <m/>
    <m/>
    <m/>
    <m/>
    <s v="MMR001CMP030"/>
    <m/>
  </r>
  <r>
    <x v="106"/>
    <x v="17"/>
    <x v="0"/>
    <s v="Shalom"/>
    <s v="Kachin"/>
    <x v="0"/>
    <s v="Waingmaw AG Church"/>
    <m/>
    <m/>
    <m/>
    <n v="1"/>
    <n v="1"/>
    <n v="3"/>
    <n v="1"/>
    <n v="3"/>
    <n v="1"/>
    <m/>
    <n v="1"/>
    <n v="4"/>
    <m/>
    <m/>
    <m/>
    <m/>
    <n v="1"/>
    <m/>
    <m/>
    <m/>
    <e v="#REF!"/>
    <e v="#REF!"/>
    <e v="#REF!"/>
    <e v="#REF!"/>
    <e v="#REF!"/>
    <e v="#REF!"/>
    <e v="#REF!"/>
    <e v="#REF!"/>
    <e v="#REF!"/>
    <e v="#REF!"/>
    <m/>
    <m/>
    <m/>
    <n v="0"/>
    <m/>
    <m/>
    <m/>
    <m/>
    <m/>
    <m/>
    <m/>
    <s v="MMR001CMP038"/>
    <m/>
  </r>
  <r>
    <x v="107"/>
    <x v="17"/>
    <x v="0"/>
    <s v="Shalom"/>
    <s v="Kachin"/>
    <x v="0"/>
    <s v="Maina AG Church"/>
    <m/>
    <m/>
    <m/>
    <n v="10"/>
    <m/>
    <n v="33"/>
    <n v="10"/>
    <n v="33"/>
    <n v="10"/>
    <m/>
    <n v="10"/>
    <n v="57"/>
    <m/>
    <m/>
    <m/>
    <m/>
    <n v="10"/>
    <m/>
    <m/>
    <m/>
    <e v="#REF!"/>
    <e v="#REF!"/>
    <e v="#REF!"/>
    <e v="#REF!"/>
    <e v="#REF!"/>
    <e v="#REF!"/>
    <e v="#REF!"/>
    <e v="#REF!"/>
    <e v="#REF!"/>
    <e v="#REF!"/>
    <m/>
    <m/>
    <m/>
    <n v="0"/>
    <m/>
    <m/>
    <m/>
    <m/>
    <m/>
    <m/>
    <m/>
    <s v="MMR001CMP031"/>
    <m/>
  </r>
  <r>
    <x v="107"/>
    <x v="17"/>
    <x v="0"/>
    <s v="Shalom"/>
    <s v="Kachin"/>
    <x v="0"/>
    <s v="Qtr. 2 Lhaovo Baptist Church"/>
    <m/>
    <m/>
    <m/>
    <n v="7"/>
    <m/>
    <n v="12"/>
    <n v="7"/>
    <n v="12"/>
    <n v="7"/>
    <m/>
    <n v="7"/>
    <n v="16"/>
    <m/>
    <m/>
    <m/>
    <m/>
    <n v="7"/>
    <m/>
    <m/>
    <m/>
    <e v="#REF!"/>
    <e v="#REF!"/>
    <e v="#REF!"/>
    <e v="#REF!"/>
    <e v="#REF!"/>
    <e v="#REF!"/>
    <e v="#REF!"/>
    <e v="#REF!"/>
    <e v="#REF!"/>
    <e v="#REF!"/>
    <m/>
    <m/>
    <m/>
    <n v="0"/>
    <m/>
    <m/>
    <m/>
    <m/>
    <m/>
    <m/>
    <m/>
    <s v="MMR001CMP032"/>
    <m/>
  </r>
  <r>
    <x v="108"/>
    <x v="17"/>
    <x v="0"/>
    <s v="KMSS-M"/>
    <s v="Kachin"/>
    <x v="1"/>
    <s v="Pa Dauk Myaing(Pa La Na)"/>
    <m/>
    <m/>
    <m/>
    <n v="21"/>
    <m/>
    <n v="61"/>
    <n v="21"/>
    <n v="65"/>
    <n v="21"/>
    <m/>
    <n v="21"/>
    <n v="106"/>
    <m/>
    <m/>
    <m/>
    <m/>
    <n v="21"/>
    <m/>
    <m/>
    <m/>
    <e v="#REF!"/>
    <e v="#REF!"/>
    <e v="#REF!"/>
    <e v="#REF!"/>
    <e v="#REF!"/>
    <e v="#REF!"/>
    <e v="#REF!"/>
    <e v="#REF!"/>
    <e v="#REF!"/>
    <e v="#REF!"/>
    <m/>
    <m/>
    <m/>
    <n v="0"/>
    <m/>
    <m/>
    <m/>
    <m/>
    <m/>
    <m/>
    <m/>
    <s v="MMR001CMP162"/>
    <m/>
  </r>
  <r>
    <x v="102"/>
    <x v="17"/>
    <x v="0"/>
    <s v="KMSS-M"/>
    <s v="Kachin"/>
    <x v="0"/>
    <s v="Maina Catholic Church (St. Joseph)"/>
    <m/>
    <m/>
    <m/>
    <n v="52"/>
    <m/>
    <n v="153"/>
    <n v="52"/>
    <n v="157"/>
    <n v="52"/>
    <m/>
    <n v="52"/>
    <n v="274"/>
    <m/>
    <m/>
    <m/>
    <m/>
    <n v="52"/>
    <m/>
    <m/>
    <m/>
    <e v="#REF!"/>
    <e v="#REF!"/>
    <e v="#REF!"/>
    <e v="#REF!"/>
    <e v="#REF!"/>
    <e v="#REF!"/>
    <e v="#REF!"/>
    <e v="#REF!"/>
    <e v="#REF!"/>
    <e v="#REF!"/>
    <m/>
    <m/>
    <m/>
    <n v="0"/>
    <m/>
    <m/>
    <m/>
    <m/>
    <m/>
    <m/>
    <m/>
    <s v="MMR001CMP029"/>
    <m/>
  </r>
  <r>
    <x v="99"/>
    <x v="17"/>
    <x v="0"/>
    <s v="KMSS-M"/>
    <s v="Kachin"/>
    <x v="0"/>
    <s v="Maina Catholic Church (St. Joseph)"/>
    <m/>
    <m/>
    <m/>
    <m/>
    <m/>
    <m/>
    <m/>
    <m/>
    <m/>
    <m/>
    <m/>
    <m/>
    <m/>
    <m/>
    <m/>
    <m/>
    <m/>
    <m/>
    <m/>
    <n v="9"/>
    <e v="#REF!"/>
    <e v="#REF!"/>
    <e v="#REF!"/>
    <e v="#REF!"/>
    <e v="#REF!"/>
    <e v="#REF!"/>
    <e v="#REF!"/>
    <e v="#REF!"/>
    <e v="#REF!"/>
    <e v="#REF!"/>
    <m/>
    <m/>
    <m/>
    <n v="0"/>
    <m/>
    <m/>
    <m/>
    <m/>
    <m/>
    <m/>
    <m/>
    <s v="MMR001CMP029"/>
    <m/>
  </r>
  <r>
    <x v="104"/>
    <x v="17"/>
    <x v="4"/>
    <s v="MRCS"/>
    <s v="Kachin"/>
    <x v="7"/>
    <s v="Chipwi KBC camp"/>
    <m/>
    <m/>
    <m/>
    <n v="45"/>
    <n v="45"/>
    <m/>
    <m/>
    <m/>
    <m/>
    <m/>
    <m/>
    <m/>
    <m/>
    <m/>
    <m/>
    <m/>
    <n v="45"/>
    <m/>
    <m/>
    <m/>
    <e v="#REF!"/>
    <e v="#REF!"/>
    <e v="#REF!"/>
    <e v="#REF!"/>
    <e v="#REF!"/>
    <e v="#REF!"/>
    <e v="#REF!"/>
    <e v="#REF!"/>
    <e v="#REF!"/>
    <e v="#REF!"/>
    <m/>
    <m/>
    <m/>
    <n v="0"/>
    <m/>
    <m/>
    <m/>
    <m/>
    <m/>
    <m/>
    <m/>
    <s v="MMR001CMP042"/>
    <m/>
  </r>
  <r>
    <x v="104"/>
    <x v="17"/>
    <x v="4"/>
    <s v="MRCS"/>
    <s v="Kachin"/>
    <x v="7"/>
    <s v="Lhaovao Baptist Church (LBC)"/>
    <m/>
    <m/>
    <m/>
    <n v="54"/>
    <n v="54"/>
    <m/>
    <m/>
    <m/>
    <m/>
    <m/>
    <m/>
    <m/>
    <m/>
    <m/>
    <m/>
    <m/>
    <n v="54"/>
    <m/>
    <m/>
    <m/>
    <e v="#REF!"/>
    <e v="#REF!"/>
    <e v="#REF!"/>
    <e v="#REF!"/>
    <e v="#REF!"/>
    <e v="#REF!"/>
    <e v="#REF!"/>
    <e v="#REF!"/>
    <e v="#REF!"/>
    <e v="#REF!"/>
    <m/>
    <m/>
    <m/>
    <n v="0"/>
    <m/>
    <m/>
    <m/>
    <m/>
    <m/>
    <m/>
    <m/>
    <s v="MMR001CMP195"/>
    <m/>
  </r>
  <r>
    <x v="104"/>
    <x v="17"/>
    <x v="4"/>
    <s v="MRCS"/>
    <s v="Kachin"/>
    <x v="6"/>
    <s v="Karmaing RC Church"/>
    <m/>
    <n v="28"/>
    <m/>
    <m/>
    <m/>
    <n v="28"/>
    <n v="28"/>
    <n v="28"/>
    <n v="28"/>
    <m/>
    <m/>
    <m/>
    <m/>
    <m/>
    <m/>
    <m/>
    <m/>
    <m/>
    <m/>
    <m/>
    <e v="#REF!"/>
    <e v="#REF!"/>
    <e v="#REF!"/>
    <e v="#REF!"/>
    <e v="#REF!"/>
    <e v="#REF!"/>
    <e v="#REF!"/>
    <e v="#REF!"/>
    <e v="#REF!"/>
    <e v="#REF!"/>
    <m/>
    <m/>
    <m/>
    <n v="0"/>
    <m/>
    <m/>
    <m/>
    <m/>
    <m/>
    <m/>
    <m/>
    <s v="MMR001CMP270"/>
    <m/>
  </r>
  <r>
    <x v="103"/>
    <x v="17"/>
    <x v="4"/>
    <s v="MRCS"/>
    <s v="Kachin"/>
    <x v="18"/>
    <s v="In Jang Yang"/>
    <m/>
    <m/>
    <m/>
    <m/>
    <n v="29"/>
    <n v="29"/>
    <m/>
    <m/>
    <n v="29"/>
    <m/>
    <m/>
    <m/>
    <m/>
    <m/>
    <m/>
    <m/>
    <m/>
    <m/>
    <m/>
    <m/>
    <e v="#REF!"/>
    <e v="#REF!"/>
    <e v="#REF!"/>
    <e v="#REF!"/>
    <e v="#REF!"/>
    <e v="#REF!"/>
    <e v="#REF!"/>
    <e v="#REF!"/>
    <e v="#REF!"/>
    <e v="#REF!"/>
    <m/>
    <m/>
    <m/>
    <n v="0"/>
    <m/>
    <m/>
    <m/>
    <m/>
    <m/>
    <m/>
    <m/>
    <s v=""/>
    <m/>
  </r>
  <r>
    <x v="105"/>
    <x v="17"/>
    <x v="4"/>
    <s v="MRCS"/>
    <s v="Kachin"/>
    <x v="12"/>
    <s v="Tanai RC Church - Kinsa Ra "/>
    <m/>
    <n v="67"/>
    <m/>
    <m/>
    <m/>
    <n v="67"/>
    <m/>
    <m/>
    <m/>
    <m/>
    <m/>
    <m/>
    <m/>
    <m/>
    <m/>
    <m/>
    <m/>
    <m/>
    <m/>
    <m/>
    <e v="#REF!"/>
    <e v="#REF!"/>
    <e v="#REF!"/>
    <e v="#REF!"/>
    <e v="#REF!"/>
    <e v="#REF!"/>
    <e v="#REF!"/>
    <e v="#REF!"/>
    <e v="#REF!"/>
    <e v="#REF!"/>
    <m/>
    <m/>
    <m/>
    <n v="0"/>
    <m/>
    <m/>
    <m/>
    <m/>
    <m/>
    <m/>
    <m/>
    <s v=""/>
    <m/>
  </r>
  <r>
    <x v="105"/>
    <x v="17"/>
    <x v="4"/>
    <s v="MRCS"/>
    <s v="Kachin"/>
    <x v="6"/>
    <s v="Lawa RC Church"/>
    <m/>
    <m/>
    <m/>
    <n v="37"/>
    <n v="37"/>
    <m/>
    <m/>
    <m/>
    <m/>
    <m/>
    <m/>
    <m/>
    <m/>
    <m/>
    <m/>
    <m/>
    <n v="37"/>
    <m/>
    <m/>
    <m/>
    <e v="#REF!"/>
    <e v="#REF!"/>
    <e v="#REF!"/>
    <e v="#REF!"/>
    <e v="#REF!"/>
    <e v="#REF!"/>
    <e v="#REF!"/>
    <e v="#REF!"/>
    <e v="#REF!"/>
    <e v="#REF!"/>
    <m/>
    <m/>
    <m/>
    <n v="0"/>
    <m/>
    <m/>
    <m/>
    <m/>
    <m/>
    <m/>
    <m/>
    <s v="MMR001CMP268"/>
    <m/>
  </r>
  <r>
    <x v="109"/>
    <x v="17"/>
    <x v="12"/>
    <m/>
    <s v="Shan_North"/>
    <x v="11"/>
    <s v="Pan Ta Pyae"/>
    <m/>
    <m/>
    <m/>
    <n v="1"/>
    <m/>
    <m/>
    <m/>
    <m/>
    <m/>
    <m/>
    <m/>
    <m/>
    <m/>
    <m/>
    <m/>
    <m/>
    <m/>
    <m/>
    <m/>
    <m/>
    <e v="#REF!"/>
    <e v="#REF!"/>
    <e v="#REF!"/>
    <e v="#REF!"/>
    <e v="#REF!"/>
    <e v="#REF!"/>
    <e v="#REF!"/>
    <e v="#REF!"/>
    <e v="#REF!"/>
    <e v="#REF!"/>
    <m/>
    <m/>
    <m/>
    <n v="0"/>
    <m/>
    <m/>
    <m/>
    <m/>
    <m/>
    <m/>
    <m/>
    <s v="MMR015CMP221"/>
    <m/>
  </r>
  <r>
    <x v="110"/>
    <x v="17"/>
    <x v="12"/>
    <m/>
    <s v="Shan_North"/>
    <x v="14"/>
    <s v="Pan Ta Pyae"/>
    <m/>
    <m/>
    <m/>
    <n v="1"/>
    <m/>
    <m/>
    <m/>
    <m/>
    <m/>
    <m/>
    <m/>
    <m/>
    <m/>
    <m/>
    <m/>
    <m/>
    <m/>
    <m/>
    <m/>
    <m/>
    <e v="#REF!"/>
    <e v="#REF!"/>
    <e v="#REF!"/>
    <e v="#REF!"/>
    <e v="#REF!"/>
    <e v="#REF!"/>
    <e v="#REF!"/>
    <e v="#REF!"/>
    <e v="#REF!"/>
    <e v="#REF!"/>
    <m/>
    <m/>
    <m/>
    <n v="0"/>
    <m/>
    <m/>
    <m/>
    <m/>
    <m/>
    <m/>
    <m/>
    <s v="MMR015CMP221"/>
    <m/>
  </r>
  <r>
    <x v="111"/>
    <x v="17"/>
    <x v="12"/>
    <m/>
    <s v="Kachin"/>
    <x v="2"/>
    <s v="Man Wing Catholic Church"/>
    <n v="1"/>
    <m/>
    <m/>
    <m/>
    <m/>
    <m/>
    <m/>
    <m/>
    <m/>
    <m/>
    <m/>
    <m/>
    <m/>
    <m/>
    <m/>
    <m/>
    <m/>
    <m/>
    <m/>
    <m/>
    <e v="#REF!"/>
    <e v="#REF!"/>
    <e v="#REF!"/>
    <e v="#REF!"/>
    <e v="#REF!"/>
    <e v="#REF!"/>
    <e v="#REF!"/>
    <e v="#REF!"/>
    <e v="#REF!"/>
    <e v="#REF!"/>
    <m/>
    <m/>
    <m/>
    <n v="0"/>
    <m/>
    <m/>
    <m/>
    <m/>
    <m/>
    <m/>
    <m/>
    <s v="MMR001CMP132"/>
    <m/>
  </r>
  <r>
    <x v="112"/>
    <x v="17"/>
    <x v="12"/>
    <m/>
    <s v="Shan_North"/>
    <x v="14"/>
    <s v="Nam Hkam (KBC Jaw Wang)"/>
    <n v="1"/>
    <m/>
    <m/>
    <m/>
    <m/>
    <m/>
    <m/>
    <m/>
    <m/>
    <m/>
    <m/>
    <m/>
    <m/>
    <m/>
    <m/>
    <m/>
    <m/>
    <m/>
    <m/>
    <m/>
    <e v="#REF!"/>
    <e v="#REF!"/>
    <e v="#REF!"/>
    <e v="#REF!"/>
    <e v="#REF!"/>
    <e v="#REF!"/>
    <e v="#REF!"/>
    <e v="#REF!"/>
    <e v="#REF!"/>
    <e v="#REF!"/>
    <m/>
    <m/>
    <m/>
    <n v="0"/>
    <m/>
    <m/>
    <m/>
    <m/>
    <m/>
    <m/>
    <m/>
    <s v="MMR015CMP001"/>
    <m/>
  </r>
  <r>
    <x v="113"/>
    <x v="17"/>
    <x v="12"/>
    <m/>
    <s v="Kachin"/>
    <x v="2"/>
    <s v="Man Wing Catholic Church II"/>
    <n v="1"/>
    <m/>
    <m/>
    <m/>
    <m/>
    <n v="2"/>
    <m/>
    <n v="2"/>
    <n v="2"/>
    <n v="2"/>
    <n v="1"/>
    <n v="2"/>
    <m/>
    <m/>
    <m/>
    <m/>
    <m/>
    <m/>
    <m/>
    <m/>
    <e v="#REF!"/>
    <e v="#REF!"/>
    <e v="#REF!"/>
    <e v="#REF!"/>
    <e v="#REF!"/>
    <e v="#REF!"/>
    <e v="#REF!"/>
    <e v="#REF!"/>
    <e v="#REF!"/>
    <e v="#REF!"/>
    <m/>
    <m/>
    <m/>
    <n v="0"/>
    <m/>
    <m/>
    <m/>
    <m/>
    <m/>
    <m/>
    <m/>
    <s v="MMR001CMP228"/>
    <m/>
  </r>
  <r>
    <x v="99"/>
    <x v="17"/>
    <x v="3"/>
    <s v="Metta"/>
    <s v="Kachin"/>
    <x v="1"/>
    <s v="Trinity Camp"/>
    <m/>
    <m/>
    <m/>
    <m/>
    <m/>
    <n v="66"/>
    <m/>
    <n v="66"/>
    <m/>
    <m/>
    <m/>
    <n v="66"/>
    <m/>
    <m/>
    <m/>
    <m/>
    <m/>
    <m/>
    <m/>
    <m/>
    <e v="#REF!"/>
    <e v="#REF!"/>
    <e v="#REF!"/>
    <e v="#REF!"/>
    <e v="#REF!"/>
    <e v="#REF!"/>
    <e v="#REF!"/>
    <e v="#REF!"/>
    <e v="#REF!"/>
    <e v="#REF!"/>
    <m/>
    <m/>
    <m/>
    <n v="0"/>
    <m/>
    <m/>
    <m/>
    <m/>
    <m/>
    <m/>
    <m/>
    <s v="MMR001CMP263"/>
    <m/>
  </r>
  <r>
    <x v="114"/>
    <x v="17"/>
    <x v="3"/>
    <s v="Metta"/>
    <s v="Kachin"/>
    <x v="1"/>
    <s v="Tang Hpre RC Church"/>
    <m/>
    <m/>
    <m/>
    <m/>
    <m/>
    <n v="101"/>
    <m/>
    <n v="101"/>
    <m/>
    <m/>
    <m/>
    <n v="101"/>
    <m/>
    <m/>
    <m/>
    <m/>
    <m/>
    <m/>
    <m/>
    <m/>
    <e v="#REF!"/>
    <e v="#REF!"/>
    <e v="#REF!"/>
    <e v="#REF!"/>
    <e v="#REF!"/>
    <e v="#REF!"/>
    <e v="#REF!"/>
    <e v="#REF!"/>
    <e v="#REF!"/>
    <e v="#REF!"/>
    <m/>
    <m/>
    <m/>
    <n v="0"/>
    <m/>
    <m/>
    <m/>
    <m/>
    <m/>
    <m/>
    <m/>
    <s v="MMR001CMP264"/>
    <m/>
  </r>
  <r>
    <x v="114"/>
    <x v="17"/>
    <x v="3"/>
    <s v="Metta"/>
    <s v="Kachin"/>
    <x v="1"/>
    <s v="Trinity Camp"/>
    <m/>
    <m/>
    <m/>
    <m/>
    <m/>
    <n v="49"/>
    <m/>
    <n v="49"/>
    <m/>
    <m/>
    <m/>
    <n v="49"/>
    <m/>
    <m/>
    <m/>
    <m/>
    <m/>
    <m/>
    <m/>
    <m/>
    <e v="#REF!"/>
    <e v="#REF!"/>
    <e v="#REF!"/>
    <e v="#REF!"/>
    <e v="#REF!"/>
    <e v="#REF!"/>
    <e v="#REF!"/>
    <e v="#REF!"/>
    <e v="#REF!"/>
    <e v="#REF!"/>
    <m/>
    <m/>
    <m/>
    <n v="0"/>
    <m/>
    <m/>
    <m/>
    <m/>
    <m/>
    <m/>
    <m/>
    <s v="MMR001CMP263"/>
    <m/>
  </r>
  <r>
    <x v="115"/>
    <x v="17"/>
    <x v="3"/>
    <s v="Metta"/>
    <s v="Kachin"/>
    <x v="1"/>
    <s v="Jaw Ma Sat Camp"/>
    <m/>
    <m/>
    <m/>
    <m/>
    <m/>
    <n v="92"/>
    <m/>
    <n v="92"/>
    <m/>
    <m/>
    <m/>
    <n v="92"/>
    <m/>
    <m/>
    <m/>
    <m/>
    <m/>
    <m/>
    <m/>
    <m/>
    <e v="#REF!"/>
    <e v="#REF!"/>
    <e v="#REF!"/>
    <e v="#REF!"/>
    <e v="#REF!"/>
    <e v="#REF!"/>
    <e v="#REF!"/>
    <e v="#REF!"/>
    <e v="#REF!"/>
    <e v="#REF!"/>
    <m/>
    <m/>
    <m/>
    <n v="0"/>
    <m/>
    <m/>
    <m/>
    <m/>
    <m/>
    <m/>
    <m/>
    <s v=""/>
    <m/>
  </r>
  <r>
    <x v="115"/>
    <x v="17"/>
    <x v="3"/>
    <s v="Metta"/>
    <s v="Kachin"/>
    <x v="17"/>
    <s v="Namti Labraw Yang KBC Camp"/>
    <m/>
    <m/>
    <m/>
    <m/>
    <m/>
    <m/>
    <m/>
    <m/>
    <m/>
    <m/>
    <m/>
    <m/>
    <m/>
    <m/>
    <m/>
    <m/>
    <m/>
    <m/>
    <n v="80"/>
    <m/>
    <e v="#REF!"/>
    <e v="#REF!"/>
    <e v="#REF!"/>
    <e v="#REF!"/>
    <e v="#REF!"/>
    <e v="#REF!"/>
    <e v="#REF!"/>
    <e v="#REF!"/>
    <e v="#REF!"/>
    <e v="#REF!"/>
    <m/>
    <m/>
    <m/>
    <n v="0"/>
    <m/>
    <m/>
    <m/>
    <m/>
    <m/>
    <m/>
    <m/>
    <s v="MMR001CMP261"/>
    <m/>
  </r>
  <r>
    <x v="115"/>
    <x v="17"/>
    <x v="3"/>
    <s v="Metta"/>
    <s v="Kachin"/>
    <x v="17"/>
    <s v="Myo Oo St. Dominic RC Church"/>
    <m/>
    <m/>
    <m/>
    <m/>
    <m/>
    <m/>
    <m/>
    <m/>
    <m/>
    <m/>
    <m/>
    <m/>
    <m/>
    <m/>
    <m/>
    <m/>
    <m/>
    <m/>
    <n v="52"/>
    <m/>
    <e v="#REF!"/>
    <e v="#REF!"/>
    <e v="#REF!"/>
    <e v="#REF!"/>
    <e v="#REF!"/>
    <e v="#REF!"/>
    <e v="#REF!"/>
    <e v="#REF!"/>
    <e v="#REF!"/>
    <e v="#REF!"/>
    <m/>
    <m/>
    <m/>
    <n v="0"/>
    <m/>
    <m/>
    <m/>
    <m/>
    <m/>
    <m/>
    <m/>
    <s v="MMR001CMP259"/>
    <m/>
  </r>
  <r>
    <x v="115"/>
    <x v="17"/>
    <x v="3"/>
    <s v="Metta"/>
    <s v="Kachin"/>
    <x v="17"/>
    <s v="Lan Gwa St.Paul RC Church"/>
    <m/>
    <m/>
    <m/>
    <m/>
    <m/>
    <m/>
    <m/>
    <m/>
    <m/>
    <m/>
    <m/>
    <m/>
    <m/>
    <m/>
    <m/>
    <m/>
    <m/>
    <m/>
    <n v="22"/>
    <m/>
    <e v="#REF!"/>
    <e v="#REF!"/>
    <e v="#REF!"/>
    <e v="#REF!"/>
    <e v="#REF!"/>
    <e v="#REF!"/>
    <e v="#REF!"/>
    <e v="#REF!"/>
    <e v="#REF!"/>
    <e v="#REF!"/>
    <m/>
    <m/>
    <m/>
    <n v="0"/>
    <m/>
    <m/>
    <m/>
    <m/>
    <m/>
    <m/>
    <m/>
    <s v="MMR001CMP260"/>
    <m/>
  </r>
  <r>
    <x v="115"/>
    <x v="17"/>
    <x v="3"/>
    <s v="Metta"/>
    <s v="Kachin"/>
    <x v="17"/>
    <s v="Lan Gwa St.Paul RC Church"/>
    <m/>
    <m/>
    <m/>
    <m/>
    <m/>
    <m/>
    <m/>
    <n v="47"/>
    <m/>
    <m/>
    <m/>
    <n v="59"/>
    <m/>
    <m/>
    <m/>
    <m/>
    <m/>
    <m/>
    <m/>
    <m/>
    <e v="#REF!"/>
    <e v="#REF!"/>
    <e v="#REF!"/>
    <e v="#REF!"/>
    <e v="#REF!"/>
    <e v="#REF!"/>
    <e v="#REF!"/>
    <e v="#REF!"/>
    <e v="#REF!"/>
    <e v="#REF!"/>
    <m/>
    <m/>
    <m/>
    <n v="0"/>
    <m/>
    <m/>
    <m/>
    <m/>
    <m/>
    <m/>
    <m/>
    <s v="MMR001CMP260"/>
    <m/>
  </r>
  <r>
    <x v="111"/>
    <x v="17"/>
    <x v="14"/>
    <s v="KBC"/>
    <s v="Kachin"/>
    <x v="1"/>
    <s v="Jaw Ma Sat Camp"/>
    <m/>
    <m/>
    <m/>
    <n v="21"/>
    <m/>
    <n v="42"/>
    <n v="42"/>
    <n v="42"/>
    <n v="21"/>
    <m/>
    <n v="21"/>
    <m/>
    <m/>
    <m/>
    <m/>
    <m/>
    <m/>
    <m/>
    <m/>
    <m/>
    <e v="#REF!"/>
    <e v="#REF!"/>
    <e v="#REF!"/>
    <e v="#REF!"/>
    <e v="#REF!"/>
    <e v="#REF!"/>
    <e v="#REF!"/>
    <e v="#REF!"/>
    <e v="#REF!"/>
    <e v="#REF!"/>
    <m/>
    <m/>
    <m/>
    <n v="0"/>
    <m/>
    <m/>
    <m/>
    <m/>
    <m/>
    <m/>
    <m/>
    <s v=""/>
    <m/>
  </r>
  <r>
    <x v="116"/>
    <x v="17"/>
    <x v="14"/>
    <s v="KBC"/>
    <s v="Kachin"/>
    <x v="0"/>
    <s v="Waimaw Baptist Zonal Office 2"/>
    <m/>
    <m/>
    <m/>
    <n v="57"/>
    <m/>
    <m/>
    <m/>
    <m/>
    <m/>
    <m/>
    <m/>
    <m/>
    <m/>
    <m/>
    <m/>
    <m/>
    <m/>
    <m/>
    <m/>
    <m/>
    <e v="#REF!"/>
    <e v="#REF!"/>
    <e v="#REF!"/>
    <e v="#REF!"/>
    <e v="#REF!"/>
    <e v="#REF!"/>
    <e v="#REF!"/>
    <e v="#REF!"/>
    <e v="#REF!"/>
    <e v="#REF!"/>
    <m/>
    <m/>
    <m/>
    <n v="0"/>
    <m/>
    <m/>
    <m/>
    <m/>
    <m/>
    <m/>
    <m/>
    <s v="MMR001CMP269"/>
    <m/>
  </r>
  <r>
    <x v="106"/>
    <x v="17"/>
    <x v="14"/>
    <s v="KBC"/>
    <s v="Kachin"/>
    <x v="18"/>
    <s v="Ti Yang Zup"/>
    <m/>
    <m/>
    <m/>
    <n v="25"/>
    <m/>
    <m/>
    <m/>
    <m/>
    <m/>
    <m/>
    <m/>
    <m/>
    <m/>
    <m/>
    <m/>
    <m/>
    <m/>
    <m/>
    <m/>
    <m/>
    <e v="#REF!"/>
    <e v="#REF!"/>
    <e v="#REF!"/>
    <e v="#REF!"/>
    <e v="#REF!"/>
    <e v="#REF!"/>
    <e v="#REF!"/>
    <e v="#REF!"/>
    <e v="#REF!"/>
    <e v="#REF!"/>
    <m/>
    <m/>
    <m/>
    <n v="0"/>
    <m/>
    <m/>
    <m/>
    <m/>
    <m/>
    <m/>
    <m/>
    <s v="MMR001CMP267"/>
    <m/>
  </r>
  <r>
    <x v="117"/>
    <x v="17"/>
    <x v="14"/>
    <s v="KBC"/>
    <s v="Kachin"/>
    <x v="6"/>
    <s v="Hlaing Naung Baptist"/>
    <m/>
    <m/>
    <m/>
    <n v="31"/>
    <m/>
    <m/>
    <m/>
    <m/>
    <m/>
    <m/>
    <m/>
    <m/>
    <m/>
    <m/>
    <m/>
    <m/>
    <m/>
    <m/>
    <m/>
    <m/>
    <e v="#REF!"/>
    <e v="#REF!"/>
    <e v="#REF!"/>
    <e v="#REF!"/>
    <e v="#REF!"/>
    <e v="#REF!"/>
    <e v="#REF!"/>
    <e v="#REF!"/>
    <e v="#REF!"/>
    <e v="#REF!"/>
    <m/>
    <m/>
    <m/>
    <n v="0"/>
    <m/>
    <m/>
    <m/>
    <m/>
    <m/>
    <m/>
    <m/>
    <s v="MMR001CMP148"/>
    <m/>
  </r>
  <r>
    <x v="101"/>
    <x v="17"/>
    <x v="14"/>
    <s v="KBC"/>
    <s v="Kachin"/>
    <x v="1"/>
    <s v="Le Kone Bethlehem Church"/>
    <m/>
    <m/>
    <m/>
    <n v="3"/>
    <m/>
    <m/>
    <m/>
    <m/>
    <m/>
    <m/>
    <m/>
    <m/>
    <m/>
    <m/>
    <m/>
    <m/>
    <m/>
    <m/>
    <m/>
    <m/>
    <e v="#REF!"/>
    <e v="#REF!"/>
    <e v="#REF!"/>
    <e v="#REF!"/>
    <e v="#REF!"/>
    <e v="#REF!"/>
    <e v="#REF!"/>
    <e v="#REF!"/>
    <e v="#REF!"/>
    <e v="#REF!"/>
    <m/>
    <m/>
    <m/>
    <n v="0"/>
    <m/>
    <m/>
    <m/>
    <m/>
    <m/>
    <m/>
    <m/>
    <s v="MMR001CMP015"/>
    <m/>
  </r>
  <r>
    <x v="108"/>
    <x v="17"/>
    <x v="14"/>
    <s v="KBC"/>
    <s v="Kachin"/>
    <x v="1"/>
    <s v="Kyun Pin Thar Baptist Church"/>
    <m/>
    <m/>
    <m/>
    <n v="1"/>
    <m/>
    <m/>
    <m/>
    <m/>
    <m/>
    <m/>
    <m/>
    <m/>
    <m/>
    <m/>
    <m/>
    <m/>
    <m/>
    <m/>
    <m/>
    <m/>
    <e v="#REF!"/>
    <e v="#REF!"/>
    <e v="#REF!"/>
    <e v="#REF!"/>
    <e v="#REF!"/>
    <e v="#REF!"/>
    <e v="#REF!"/>
    <e v="#REF!"/>
    <e v="#REF!"/>
    <e v="#REF!"/>
    <m/>
    <m/>
    <m/>
    <n v="0"/>
    <m/>
    <m/>
    <m/>
    <m/>
    <m/>
    <m/>
    <m/>
    <s v="MMR001CMP013"/>
    <m/>
  </r>
  <r>
    <x v="107"/>
    <x v="17"/>
    <x v="14"/>
    <s v="KBC"/>
    <s v="Kachin"/>
    <x v="0"/>
    <s v="Maina Lawang Baptist Church"/>
    <m/>
    <m/>
    <m/>
    <n v="2"/>
    <m/>
    <m/>
    <m/>
    <m/>
    <m/>
    <m/>
    <m/>
    <m/>
    <m/>
    <m/>
    <m/>
    <m/>
    <m/>
    <m/>
    <m/>
    <m/>
    <e v="#REF!"/>
    <e v="#REF!"/>
    <e v="#REF!"/>
    <e v="#REF!"/>
    <e v="#REF!"/>
    <e v="#REF!"/>
    <e v="#REF!"/>
    <e v="#REF!"/>
    <e v="#REF!"/>
    <e v="#REF!"/>
    <m/>
    <m/>
    <m/>
    <n v="0"/>
    <m/>
    <m/>
    <m/>
    <m/>
    <m/>
    <m/>
    <m/>
    <s v="MMR001CMP039"/>
    <m/>
  </r>
  <r>
    <x v="118"/>
    <x v="17"/>
    <x v="14"/>
    <s v="KBC"/>
    <s v="Kachin"/>
    <x v="0"/>
    <s v="Qtr. 2 Myoma Baptist Church"/>
    <m/>
    <m/>
    <m/>
    <n v="3"/>
    <m/>
    <m/>
    <m/>
    <m/>
    <m/>
    <m/>
    <m/>
    <m/>
    <m/>
    <m/>
    <m/>
    <m/>
    <m/>
    <m/>
    <m/>
    <m/>
    <e v="#REF!"/>
    <e v="#REF!"/>
    <e v="#REF!"/>
    <e v="#REF!"/>
    <e v="#REF!"/>
    <e v="#REF!"/>
    <e v="#REF!"/>
    <e v="#REF!"/>
    <e v="#REF!"/>
    <e v="#REF!"/>
    <m/>
    <m/>
    <m/>
    <n v="0"/>
    <m/>
    <m/>
    <m/>
    <m/>
    <m/>
    <m/>
    <m/>
    <s v="MMR001CMP025"/>
    <m/>
  </r>
  <r>
    <x v="119"/>
    <x v="17"/>
    <x v="14"/>
    <s v="KBC"/>
    <s v="Kachin"/>
    <x v="1"/>
    <s v="Shatapru Sut Ngai Tawng"/>
    <m/>
    <m/>
    <m/>
    <n v="2"/>
    <m/>
    <m/>
    <m/>
    <m/>
    <m/>
    <m/>
    <m/>
    <m/>
    <m/>
    <m/>
    <m/>
    <m/>
    <m/>
    <m/>
    <m/>
    <m/>
    <e v="#REF!"/>
    <e v="#REF!"/>
    <e v="#REF!"/>
    <e v="#REF!"/>
    <e v="#REF!"/>
    <e v="#REF!"/>
    <e v="#REF!"/>
    <e v="#REF!"/>
    <e v="#REF!"/>
    <e v="#REF!"/>
    <m/>
    <m/>
    <m/>
    <n v="0"/>
    <m/>
    <m/>
    <m/>
    <m/>
    <m/>
    <m/>
    <m/>
    <s v="MMR001CMP006"/>
    <m/>
  </r>
  <r>
    <x v="110"/>
    <x v="17"/>
    <x v="14"/>
    <s v="KBC"/>
    <s v="Kachin"/>
    <x v="1"/>
    <s v="Njang Dung Baptist Church "/>
    <m/>
    <m/>
    <m/>
    <n v="1"/>
    <m/>
    <m/>
    <m/>
    <m/>
    <m/>
    <m/>
    <m/>
    <m/>
    <m/>
    <m/>
    <m/>
    <m/>
    <m/>
    <m/>
    <m/>
    <m/>
    <e v="#REF!"/>
    <e v="#REF!"/>
    <e v="#REF!"/>
    <e v="#REF!"/>
    <e v="#REF!"/>
    <e v="#REF!"/>
    <e v="#REF!"/>
    <e v="#REF!"/>
    <e v="#REF!"/>
    <e v="#REF!"/>
    <m/>
    <m/>
    <m/>
    <n v="0"/>
    <m/>
    <m/>
    <m/>
    <m/>
    <m/>
    <m/>
    <m/>
    <s v="MMR001CMP002"/>
    <m/>
  </r>
  <r>
    <x v="120"/>
    <x v="17"/>
    <x v="14"/>
    <s v="KBC"/>
    <s v="Kachin"/>
    <x v="6"/>
    <s v="Shar Du Zut KBC church "/>
    <m/>
    <m/>
    <m/>
    <n v="2"/>
    <m/>
    <m/>
    <m/>
    <m/>
    <m/>
    <m/>
    <m/>
    <m/>
    <m/>
    <m/>
    <m/>
    <m/>
    <m/>
    <m/>
    <m/>
    <m/>
    <e v="#REF!"/>
    <e v="#REF!"/>
    <e v="#REF!"/>
    <e v="#REF!"/>
    <e v="#REF!"/>
    <e v="#REF!"/>
    <e v="#REF!"/>
    <e v="#REF!"/>
    <e v="#REF!"/>
    <e v="#REF!"/>
    <m/>
    <m/>
    <m/>
    <n v="0"/>
    <m/>
    <m/>
    <m/>
    <m/>
    <m/>
    <m/>
    <m/>
    <s v="MMR001CMP244"/>
    <m/>
  </r>
  <r>
    <x v="121"/>
    <x v="18"/>
    <x v="0"/>
    <s v="Shalom"/>
    <s v="Kachin"/>
    <x v="1"/>
    <s v="Maw Hpawng Lhaovo Baptist Church"/>
    <m/>
    <m/>
    <m/>
    <n v="5"/>
    <m/>
    <n v="15"/>
    <n v="5"/>
    <n v="15"/>
    <n v="5"/>
    <m/>
    <n v="4"/>
    <n v="27"/>
    <m/>
    <m/>
    <m/>
    <m/>
    <m/>
    <m/>
    <m/>
    <m/>
    <e v="#REF!"/>
    <e v="#REF!"/>
    <e v="#REF!"/>
    <e v="#REF!"/>
    <e v="#REF!"/>
    <e v="#REF!"/>
    <e v="#REF!"/>
    <e v="#REF!"/>
    <e v="#REF!"/>
    <e v="#REF!"/>
    <m/>
    <m/>
    <m/>
    <n v="0"/>
    <m/>
    <m/>
    <m/>
    <m/>
    <m/>
    <m/>
    <m/>
    <s v="MMR001CMP021"/>
    <m/>
  </r>
  <r>
    <x v="121"/>
    <x v="18"/>
    <x v="0"/>
    <s v="Shalom"/>
    <s v="Kachin"/>
    <x v="0"/>
    <s v="Qtr. 2 Lhaovo Baptist Church"/>
    <m/>
    <m/>
    <m/>
    <n v="4"/>
    <m/>
    <n v="13"/>
    <n v="4"/>
    <n v="13"/>
    <n v="4"/>
    <m/>
    <n v="6"/>
    <n v="21"/>
    <m/>
    <m/>
    <m/>
    <m/>
    <m/>
    <m/>
    <m/>
    <m/>
    <e v="#REF!"/>
    <e v="#REF!"/>
    <e v="#REF!"/>
    <e v="#REF!"/>
    <e v="#REF!"/>
    <e v="#REF!"/>
    <e v="#REF!"/>
    <e v="#REF!"/>
    <e v="#REF!"/>
    <e v="#REF!"/>
    <m/>
    <m/>
    <m/>
    <n v="0"/>
    <m/>
    <m/>
    <m/>
    <m/>
    <m/>
    <m/>
    <m/>
    <s v="MMR001CMP032"/>
    <m/>
  </r>
  <r>
    <x v="121"/>
    <x v="18"/>
    <x v="0"/>
    <s v="Shalom"/>
    <s v="Kachin"/>
    <x v="0"/>
    <s v="Maina AG Church"/>
    <m/>
    <m/>
    <m/>
    <n v="5"/>
    <m/>
    <n v="15"/>
    <n v="5"/>
    <n v="15"/>
    <n v="5"/>
    <m/>
    <n v="5"/>
    <n v="28"/>
    <m/>
    <m/>
    <m/>
    <m/>
    <m/>
    <m/>
    <m/>
    <m/>
    <e v="#REF!"/>
    <e v="#REF!"/>
    <e v="#REF!"/>
    <e v="#REF!"/>
    <e v="#REF!"/>
    <e v="#REF!"/>
    <e v="#REF!"/>
    <e v="#REF!"/>
    <e v="#REF!"/>
    <e v="#REF!"/>
    <m/>
    <m/>
    <m/>
    <n v="0"/>
    <m/>
    <m/>
    <m/>
    <m/>
    <m/>
    <m/>
    <m/>
    <s v="MMR001CMP031"/>
    <m/>
  </r>
  <r>
    <x v="121"/>
    <x v="18"/>
    <x v="0"/>
    <s v="Shalom"/>
    <s v="Kachin"/>
    <x v="0"/>
    <s v="Waingmaw AG Church"/>
    <m/>
    <m/>
    <m/>
    <n v="1"/>
    <m/>
    <n v="4"/>
    <n v="1"/>
    <n v="4"/>
    <n v="1"/>
    <m/>
    <n v="1"/>
    <n v="8"/>
    <m/>
    <m/>
    <m/>
    <m/>
    <m/>
    <m/>
    <m/>
    <m/>
    <e v="#REF!"/>
    <e v="#REF!"/>
    <e v="#REF!"/>
    <e v="#REF!"/>
    <e v="#REF!"/>
    <e v="#REF!"/>
    <e v="#REF!"/>
    <e v="#REF!"/>
    <e v="#REF!"/>
    <e v="#REF!"/>
    <m/>
    <m/>
    <m/>
    <n v="0"/>
    <m/>
    <m/>
    <m/>
    <m/>
    <m/>
    <m/>
    <m/>
    <s v="MMR001CMP038"/>
    <m/>
  </r>
  <r>
    <x v="122"/>
    <x v="18"/>
    <x v="0"/>
    <s v="Shalom"/>
    <s v="Kachin"/>
    <x v="6"/>
    <s v="AG Church, Hmaw Si Sa"/>
    <m/>
    <m/>
    <m/>
    <m/>
    <m/>
    <m/>
    <m/>
    <m/>
    <m/>
    <m/>
    <m/>
    <m/>
    <m/>
    <m/>
    <m/>
    <m/>
    <m/>
    <n v="19"/>
    <m/>
    <m/>
    <e v="#REF!"/>
    <e v="#REF!"/>
    <e v="#REF!"/>
    <e v="#REF!"/>
    <e v="#REF!"/>
    <e v="#REF!"/>
    <e v="#REF!"/>
    <e v="#REF!"/>
    <e v="#REF!"/>
    <e v="#REF!"/>
    <m/>
    <m/>
    <m/>
    <n v="0"/>
    <m/>
    <m/>
    <m/>
    <m/>
    <m/>
    <m/>
    <m/>
    <s v="MMR001CMP176"/>
    <m/>
  </r>
  <r>
    <x v="122"/>
    <x v="18"/>
    <x v="0"/>
    <s v="Shalom"/>
    <s v="Kachin"/>
    <x v="6"/>
    <s v="Lisu Baptist Church, Maw Wan Ward"/>
    <m/>
    <m/>
    <m/>
    <m/>
    <m/>
    <m/>
    <m/>
    <m/>
    <m/>
    <m/>
    <m/>
    <m/>
    <m/>
    <m/>
    <m/>
    <m/>
    <m/>
    <n v="12"/>
    <m/>
    <m/>
    <e v="#REF!"/>
    <e v="#REF!"/>
    <e v="#REF!"/>
    <e v="#REF!"/>
    <e v="#REF!"/>
    <e v="#REF!"/>
    <e v="#REF!"/>
    <e v="#REF!"/>
    <e v="#REF!"/>
    <e v="#REF!"/>
    <m/>
    <m/>
    <m/>
    <n v="0"/>
    <m/>
    <m/>
    <m/>
    <m/>
    <m/>
    <m/>
    <m/>
    <s v="MMR001CMP167"/>
    <m/>
  </r>
  <r>
    <x v="122"/>
    <x v="18"/>
    <x v="0"/>
    <s v="Shalom"/>
    <s v="Kachin"/>
    <x v="6"/>
    <s v="Nam Ma Phyit, COC"/>
    <m/>
    <m/>
    <m/>
    <m/>
    <m/>
    <m/>
    <m/>
    <m/>
    <m/>
    <m/>
    <m/>
    <m/>
    <m/>
    <m/>
    <m/>
    <m/>
    <m/>
    <n v="9"/>
    <m/>
    <m/>
    <e v="#REF!"/>
    <e v="#REF!"/>
    <e v="#REF!"/>
    <e v="#REF!"/>
    <e v="#REF!"/>
    <e v="#REF!"/>
    <e v="#REF!"/>
    <e v="#REF!"/>
    <e v="#REF!"/>
    <e v="#REF!"/>
    <m/>
    <m/>
    <m/>
    <n v="0"/>
    <m/>
    <m/>
    <m/>
    <m/>
    <m/>
    <m/>
    <m/>
    <s v="MMR001CMP192"/>
    <m/>
  </r>
  <r>
    <x v="122"/>
    <x v="18"/>
    <x v="0"/>
    <s v="Shalom"/>
    <s v="Kachin"/>
    <x v="6"/>
    <s v="AG Church, Maw Wan"/>
    <m/>
    <m/>
    <m/>
    <m/>
    <m/>
    <m/>
    <m/>
    <m/>
    <m/>
    <m/>
    <m/>
    <m/>
    <m/>
    <m/>
    <m/>
    <m/>
    <m/>
    <n v="12"/>
    <m/>
    <m/>
    <e v="#REF!"/>
    <e v="#REF!"/>
    <e v="#REF!"/>
    <e v="#REF!"/>
    <e v="#REF!"/>
    <e v="#REF!"/>
    <e v="#REF!"/>
    <e v="#REF!"/>
    <e v="#REF!"/>
    <e v="#REF!"/>
    <m/>
    <m/>
    <m/>
    <n v="0"/>
    <m/>
    <m/>
    <m/>
    <m/>
    <m/>
    <m/>
    <m/>
    <s v="MMR001CMP190"/>
    <m/>
  </r>
  <r>
    <x v="122"/>
    <x v="18"/>
    <x v="0"/>
    <s v="Shalom"/>
    <s v="Kachin"/>
    <x v="0"/>
    <s v="Qtr. 2 Lhaovo Baptist Church"/>
    <m/>
    <m/>
    <m/>
    <m/>
    <m/>
    <m/>
    <m/>
    <m/>
    <m/>
    <m/>
    <m/>
    <m/>
    <m/>
    <m/>
    <m/>
    <m/>
    <m/>
    <n v="20"/>
    <m/>
    <m/>
    <e v="#REF!"/>
    <e v="#REF!"/>
    <e v="#REF!"/>
    <e v="#REF!"/>
    <e v="#REF!"/>
    <e v="#REF!"/>
    <e v="#REF!"/>
    <e v="#REF!"/>
    <e v="#REF!"/>
    <e v="#REF!"/>
    <m/>
    <m/>
    <m/>
    <n v="0"/>
    <m/>
    <m/>
    <m/>
    <m/>
    <m/>
    <m/>
    <m/>
    <s v="MMR001CMP032"/>
    <m/>
  </r>
  <r>
    <x v="122"/>
    <x v="18"/>
    <x v="0"/>
    <s v="Shalom"/>
    <s v="Kachin"/>
    <x v="6"/>
    <s v="Dhama Rakhita, Nyein Chan Tar Yar Ward(Lon Khin)"/>
    <m/>
    <m/>
    <m/>
    <m/>
    <m/>
    <m/>
    <m/>
    <m/>
    <m/>
    <m/>
    <m/>
    <m/>
    <m/>
    <m/>
    <m/>
    <m/>
    <m/>
    <n v="43"/>
    <m/>
    <m/>
    <e v="#REF!"/>
    <e v="#REF!"/>
    <e v="#REF!"/>
    <e v="#REF!"/>
    <e v="#REF!"/>
    <e v="#REF!"/>
    <e v="#REF!"/>
    <e v="#REF!"/>
    <e v="#REF!"/>
    <e v="#REF!"/>
    <m/>
    <m/>
    <m/>
    <n v="0"/>
    <m/>
    <m/>
    <m/>
    <m/>
    <m/>
    <m/>
    <m/>
    <s v="MMR001CMP174"/>
    <m/>
  </r>
  <r>
    <x v="122"/>
    <x v="18"/>
    <x v="0"/>
    <s v="Shalom"/>
    <s v="Kachin"/>
    <x v="5"/>
    <s v="Yoe Kyi Monastery"/>
    <m/>
    <m/>
    <m/>
    <m/>
    <m/>
    <m/>
    <m/>
    <m/>
    <m/>
    <m/>
    <m/>
    <m/>
    <m/>
    <m/>
    <m/>
    <m/>
    <m/>
    <n v="13"/>
    <m/>
    <m/>
    <e v="#REF!"/>
    <e v="#REF!"/>
    <e v="#REF!"/>
    <e v="#REF!"/>
    <e v="#REF!"/>
    <e v="#REF!"/>
    <e v="#REF!"/>
    <e v="#REF!"/>
    <e v="#REF!"/>
    <e v="#REF!"/>
    <m/>
    <m/>
    <m/>
    <n v="0"/>
    <m/>
    <m/>
    <m/>
    <m/>
    <m/>
    <m/>
    <m/>
    <s v="MMR001CMP053"/>
    <m/>
  </r>
  <r>
    <x v="123"/>
    <x v="18"/>
    <x v="0"/>
    <s v="Shalom"/>
    <s v="Kachin"/>
    <x v="5"/>
    <s v="Yoe Kyi Monastery"/>
    <m/>
    <m/>
    <m/>
    <m/>
    <m/>
    <m/>
    <n v="9"/>
    <m/>
    <m/>
    <m/>
    <m/>
    <m/>
    <m/>
    <m/>
    <m/>
    <m/>
    <m/>
    <m/>
    <m/>
    <m/>
    <e v="#REF!"/>
    <e v="#REF!"/>
    <e v="#REF!"/>
    <e v="#REF!"/>
    <e v="#REF!"/>
    <e v="#REF!"/>
    <e v="#REF!"/>
    <e v="#REF!"/>
    <e v="#REF!"/>
    <e v="#REF!"/>
    <m/>
    <m/>
    <m/>
    <n v="0"/>
    <m/>
    <m/>
    <m/>
    <m/>
    <m/>
    <m/>
    <m/>
    <s v="MMR001CMP053"/>
    <m/>
  </r>
  <r>
    <x v="124"/>
    <x v="18"/>
    <x v="0"/>
    <s v="KBC"/>
    <s v="Kachin"/>
    <x v="6"/>
    <s v="Shar Du Zut RC church"/>
    <m/>
    <m/>
    <m/>
    <m/>
    <m/>
    <m/>
    <m/>
    <m/>
    <m/>
    <m/>
    <m/>
    <m/>
    <m/>
    <m/>
    <m/>
    <m/>
    <m/>
    <n v="15"/>
    <m/>
    <m/>
    <e v="#REF!"/>
    <e v="#REF!"/>
    <e v="#REF!"/>
    <e v="#REF!"/>
    <e v="#REF!"/>
    <e v="#REF!"/>
    <e v="#REF!"/>
    <e v="#REF!"/>
    <e v="#REF!"/>
    <e v="#REF!"/>
    <m/>
    <m/>
    <m/>
    <n v="0"/>
    <m/>
    <m/>
    <m/>
    <m/>
    <m/>
    <m/>
    <m/>
    <s v="MMR001CMP246"/>
    <m/>
  </r>
  <r>
    <x v="124"/>
    <x v="18"/>
    <x v="0"/>
    <s v="KBC"/>
    <s v="Kachin"/>
    <x v="19"/>
    <s v="Lung Sut"/>
    <m/>
    <m/>
    <m/>
    <m/>
    <m/>
    <n v="120"/>
    <m/>
    <m/>
    <m/>
    <m/>
    <m/>
    <m/>
    <m/>
    <m/>
    <m/>
    <m/>
    <m/>
    <n v="60"/>
    <m/>
    <m/>
    <e v="#REF!"/>
    <e v="#REF!"/>
    <e v="#REF!"/>
    <e v="#REF!"/>
    <e v="#REF!"/>
    <e v="#REF!"/>
    <e v="#REF!"/>
    <e v="#REF!"/>
    <e v="#REF!"/>
    <e v="#REF!"/>
    <m/>
    <m/>
    <m/>
    <n v="0"/>
    <m/>
    <m/>
    <m/>
    <m/>
    <m/>
    <m/>
    <m/>
    <s v="MMR001CMP234"/>
    <m/>
  </r>
  <r>
    <x v="124"/>
    <x v="18"/>
    <x v="0"/>
    <s v="KBC"/>
    <s v="Kachin"/>
    <x v="6"/>
    <s v="Yumar Baptist Church"/>
    <m/>
    <m/>
    <m/>
    <m/>
    <m/>
    <m/>
    <m/>
    <m/>
    <m/>
    <m/>
    <m/>
    <m/>
    <m/>
    <m/>
    <m/>
    <m/>
    <m/>
    <n v="4"/>
    <m/>
    <m/>
    <e v="#REF!"/>
    <e v="#REF!"/>
    <e v="#REF!"/>
    <e v="#REF!"/>
    <e v="#REF!"/>
    <e v="#REF!"/>
    <e v="#REF!"/>
    <e v="#REF!"/>
    <e v="#REF!"/>
    <e v="#REF!"/>
    <m/>
    <m/>
    <m/>
    <n v="0"/>
    <m/>
    <m/>
    <m/>
    <m/>
    <m/>
    <m/>
    <m/>
    <s v="MMR001CMP105"/>
    <m/>
  </r>
  <r>
    <x v="124"/>
    <x v="18"/>
    <x v="0"/>
    <s v="KBC"/>
    <s v="Kachin"/>
    <x v="6"/>
    <s v="Lawng Hkang Shait Yang Camp​ ( Lel Pyin)​ "/>
    <m/>
    <m/>
    <m/>
    <m/>
    <m/>
    <m/>
    <m/>
    <m/>
    <m/>
    <m/>
    <m/>
    <m/>
    <m/>
    <m/>
    <m/>
    <m/>
    <m/>
    <n v="70"/>
    <m/>
    <m/>
    <e v="#REF!"/>
    <e v="#REF!"/>
    <e v="#REF!"/>
    <e v="#REF!"/>
    <e v="#REF!"/>
    <e v="#REF!"/>
    <e v="#REF!"/>
    <e v="#REF!"/>
    <e v="#REF!"/>
    <e v="#REF!"/>
    <m/>
    <m/>
    <m/>
    <n v="0"/>
    <m/>
    <m/>
    <m/>
    <m/>
    <m/>
    <m/>
    <m/>
    <s v="MMR001CMP250"/>
    <m/>
  </r>
  <r>
    <x v="124"/>
    <x v="18"/>
    <x v="0"/>
    <s v="KBC"/>
    <s v="Kachin"/>
    <x v="6"/>
    <s v="Baptist Church, Hmaw Si Sar(Lon Khin)"/>
    <m/>
    <m/>
    <m/>
    <m/>
    <m/>
    <m/>
    <m/>
    <m/>
    <m/>
    <m/>
    <m/>
    <m/>
    <m/>
    <m/>
    <m/>
    <m/>
    <m/>
    <n v="25"/>
    <m/>
    <m/>
    <e v="#REF!"/>
    <e v="#REF!"/>
    <e v="#REF!"/>
    <e v="#REF!"/>
    <e v="#REF!"/>
    <e v="#REF!"/>
    <e v="#REF!"/>
    <e v="#REF!"/>
    <e v="#REF!"/>
    <e v="#REF!"/>
    <m/>
    <m/>
    <m/>
    <n v="0"/>
    <m/>
    <m/>
    <m/>
    <m/>
    <m/>
    <m/>
    <m/>
    <s v="MMR001CMP169"/>
    <m/>
  </r>
  <r>
    <x v="124"/>
    <x v="18"/>
    <x v="0"/>
    <s v="KBC"/>
    <s v="Kachin"/>
    <x v="6"/>
    <s v="Hpakant Baptist Church, Nam Ma Hpit"/>
    <m/>
    <m/>
    <m/>
    <m/>
    <m/>
    <m/>
    <m/>
    <m/>
    <m/>
    <m/>
    <m/>
    <m/>
    <m/>
    <m/>
    <m/>
    <m/>
    <m/>
    <n v="42"/>
    <m/>
    <m/>
    <e v="#REF!"/>
    <e v="#REF!"/>
    <e v="#REF!"/>
    <e v="#REF!"/>
    <e v="#REF!"/>
    <e v="#REF!"/>
    <e v="#REF!"/>
    <e v="#REF!"/>
    <e v="#REF!"/>
    <e v="#REF!"/>
    <m/>
    <m/>
    <m/>
    <n v="0"/>
    <m/>
    <m/>
    <m/>
    <m/>
    <m/>
    <m/>
    <m/>
    <s v="MMR001CMP229"/>
    <m/>
  </r>
  <r>
    <x v="124"/>
    <x v="18"/>
    <x v="0"/>
    <s v="KBC"/>
    <s v="Kachin"/>
    <x v="6"/>
    <s v="Ward 2 Sai Taung Baptist Church, Seik Mu "/>
    <m/>
    <m/>
    <m/>
    <m/>
    <m/>
    <m/>
    <m/>
    <m/>
    <m/>
    <m/>
    <m/>
    <m/>
    <m/>
    <m/>
    <m/>
    <m/>
    <m/>
    <n v="16"/>
    <m/>
    <m/>
    <e v="#REF!"/>
    <e v="#REF!"/>
    <e v="#REF!"/>
    <e v="#REF!"/>
    <e v="#REF!"/>
    <e v="#REF!"/>
    <e v="#REF!"/>
    <e v="#REF!"/>
    <e v="#REF!"/>
    <e v="#REF!"/>
    <m/>
    <m/>
    <m/>
    <n v="0"/>
    <m/>
    <m/>
    <m/>
    <m/>
    <m/>
    <m/>
    <m/>
    <s v="MMR001CMP184"/>
    <m/>
  </r>
  <r>
    <x v="124"/>
    <x v="18"/>
    <x v="0"/>
    <s v="KBC"/>
    <s v="Kachin"/>
    <x v="0"/>
    <s v="Shing Jai"/>
    <m/>
    <m/>
    <m/>
    <m/>
    <m/>
    <m/>
    <m/>
    <m/>
    <m/>
    <m/>
    <m/>
    <m/>
    <m/>
    <m/>
    <m/>
    <m/>
    <m/>
    <n v="179"/>
    <m/>
    <m/>
    <e v="#REF!"/>
    <e v="#REF!"/>
    <e v="#REF!"/>
    <e v="#REF!"/>
    <e v="#REF!"/>
    <e v="#REF!"/>
    <e v="#REF!"/>
    <e v="#REF!"/>
    <e v="#REF!"/>
    <e v="#REF!"/>
    <m/>
    <m/>
    <m/>
    <n v="0"/>
    <m/>
    <m/>
    <m/>
    <m/>
    <m/>
    <m/>
    <m/>
    <s v="MMR001CMP041"/>
    <m/>
  </r>
  <r>
    <x v="124"/>
    <x v="18"/>
    <x v="0"/>
    <s v="KBC"/>
    <s v="Kachin"/>
    <x v="8"/>
    <s v="Salang Yang"/>
    <m/>
    <m/>
    <m/>
    <m/>
    <m/>
    <m/>
    <m/>
    <m/>
    <m/>
    <m/>
    <m/>
    <m/>
    <m/>
    <m/>
    <m/>
    <m/>
    <m/>
    <n v="67"/>
    <m/>
    <m/>
    <e v="#REF!"/>
    <e v="#REF!"/>
    <e v="#REF!"/>
    <e v="#REF!"/>
    <e v="#REF!"/>
    <e v="#REF!"/>
    <e v="#REF!"/>
    <e v="#REF!"/>
    <e v="#REF!"/>
    <e v="#REF!"/>
    <m/>
    <m/>
    <m/>
    <n v="0"/>
    <m/>
    <m/>
    <m/>
    <m/>
    <m/>
    <m/>
    <m/>
    <s v="MMR001CMP239"/>
    <m/>
  </r>
  <r>
    <x v="124"/>
    <x v="18"/>
    <x v="0"/>
    <s v="KBC"/>
    <s v="Kachin"/>
    <x v="8"/>
    <s v="Ndup Yang"/>
    <m/>
    <m/>
    <m/>
    <m/>
    <m/>
    <m/>
    <m/>
    <m/>
    <m/>
    <m/>
    <m/>
    <m/>
    <m/>
    <m/>
    <m/>
    <m/>
    <m/>
    <n v="123"/>
    <m/>
    <m/>
    <e v="#REF!"/>
    <e v="#REF!"/>
    <e v="#REF!"/>
    <e v="#REF!"/>
    <e v="#REF!"/>
    <e v="#REF!"/>
    <e v="#REF!"/>
    <e v="#REF!"/>
    <e v="#REF!"/>
    <e v="#REF!"/>
    <m/>
    <m/>
    <m/>
    <n v="0"/>
    <m/>
    <m/>
    <m/>
    <m/>
    <m/>
    <m/>
    <m/>
    <s v="MMR001CMP238"/>
    <m/>
  </r>
  <r>
    <x v="124"/>
    <x v="18"/>
    <x v="0"/>
    <s v="KBC"/>
    <s v="Shan_North"/>
    <x v="9"/>
    <s v="Mai Yu Lay New (Ta'ang)"/>
    <m/>
    <m/>
    <m/>
    <m/>
    <m/>
    <m/>
    <m/>
    <m/>
    <m/>
    <m/>
    <m/>
    <m/>
    <m/>
    <m/>
    <m/>
    <m/>
    <m/>
    <n v="108"/>
    <m/>
    <m/>
    <e v="#REF!"/>
    <e v="#REF!"/>
    <e v="#REF!"/>
    <e v="#REF!"/>
    <e v="#REF!"/>
    <e v="#REF!"/>
    <e v="#REF!"/>
    <e v="#REF!"/>
    <e v="#REF!"/>
    <e v="#REF!"/>
    <m/>
    <m/>
    <m/>
    <n v="0"/>
    <m/>
    <m/>
    <m/>
    <m/>
    <m/>
    <m/>
    <m/>
    <s v="MMR015CMP220"/>
    <m/>
  </r>
  <r>
    <x v="124"/>
    <x v="18"/>
    <x v="0"/>
    <s v="KBC"/>
    <s v="Shan_North"/>
    <x v="9"/>
    <s v="Mine Yu Lay village ( Old)"/>
    <m/>
    <m/>
    <m/>
    <m/>
    <m/>
    <m/>
    <m/>
    <m/>
    <m/>
    <m/>
    <m/>
    <m/>
    <m/>
    <m/>
    <m/>
    <m/>
    <m/>
    <n v="15"/>
    <m/>
    <m/>
    <e v="#REF!"/>
    <e v="#REF!"/>
    <e v="#REF!"/>
    <e v="#REF!"/>
    <e v="#REF!"/>
    <e v="#REF!"/>
    <e v="#REF!"/>
    <e v="#REF!"/>
    <e v="#REF!"/>
    <e v="#REF!"/>
    <m/>
    <m/>
    <m/>
    <n v="0"/>
    <m/>
    <m/>
    <m/>
    <m/>
    <m/>
    <m/>
    <m/>
    <s v="MMR015CMP018"/>
    <m/>
  </r>
  <r>
    <x v="124"/>
    <x v="18"/>
    <x v="0"/>
    <s v="KBC"/>
    <s v="Kachin"/>
    <x v="19"/>
    <s v="Tote Tan Ward"/>
    <m/>
    <m/>
    <m/>
    <m/>
    <m/>
    <n v="28"/>
    <m/>
    <m/>
    <m/>
    <m/>
    <m/>
    <m/>
    <m/>
    <m/>
    <m/>
    <m/>
    <m/>
    <m/>
    <m/>
    <m/>
    <e v="#REF!"/>
    <e v="#REF!"/>
    <e v="#REF!"/>
    <e v="#REF!"/>
    <e v="#REF!"/>
    <e v="#REF!"/>
    <e v="#REF!"/>
    <e v="#REF!"/>
    <e v="#REF!"/>
    <e v="#REF!"/>
    <m/>
    <m/>
    <m/>
    <n v="0"/>
    <m/>
    <m/>
    <m/>
    <m/>
    <m/>
    <m/>
    <m/>
    <s v="MMR001CMP075"/>
    <m/>
  </r>
  <r>
    <x v="113"/>
    <x v="17"/>
    <x v="14"/>
    <s v="DDM "/>
    <s v="Kachin"/>
    <x v="0"/>
    <s v="Waimaw Baptist Zonal Office 2"/>
    <m/>
    <m/>
    <m/>
    <n v="80"/>
    <m/>
    <n v="160"/>
    <n v="160"/>
    <n v="160"/>
    <n v="80"/>
    <m/>
    <n v="80"/>
    <m/>
    <m/>
    <m/>
    <m/>
    <m/>
    <m/>
    <m/>
    <m/>
    <m/>
    <e v="#REF!"/>
    <e v="#REF!"/>
    <e v="#REF!"/>
    <e v="#REF!"/>
    <e v="#REF!"/>
    <e v="#REF!"/>
    <e v="#REF!"/>
    <e v="#REF!"/>
    <e v="#REF!"/>
    <e v="#REF!"/>
    <m/>
    <m/>
    <m/>
    <n v="0"/>
    <m/>
    <m/>
    <m/>
    <m/>
    <m/>
    <m/>
    <m/>
    <s v="MMR001CMP269"/>
    <m/>
  </r>
  <r>
    <x v="125"/>
    <x v="18"/>
    <x v="14"/>
    <s v="DDM "/>
    <s v="Kachin"/>
    <x v="1"/>
    <s v="Jan Mai Kawng Catholic Church"/>
    <m/>
    <m/>
    <m/>
    <n v="3"/>
    <m/>
    <n v="6"/>
    <n v="6"/>
    <n v="6"/>
    <n v="3"/>
    <m/>
    <n v="3"/>
    <m/>
    <m/>
    <m/>
    <m/>
    <m/>
    <m/>
    <m/>
    <m/>
    <m/>
    <e v="#REF!"/>
    <e v="#REF!"/>
    <e v="#REF!"/>
    <e v="#REF!"/>
    <e v="#REF!"/>
    <e v="#REF!"/>
    <e v="#REF!"/>
    <e v="#REF!"/>
    <e v="#REF!"/>
    <e v="#REF!"/>
    <m/>
    <m/>
    <m/>
    <n v="0"/>
    <m/>
    <m/>
    <m/>
    <m/>
    <m/>
    <m/>
    <m/>
    <s v="MMR001CMP019"/>
    <m/>
  </r>
  <r>
    <x v="125"/>
    <x v="18"/>
    <x v="14"/>
    <s v="DDM "/>
    <s v="Kachin"/>
    <x v="1"/>
    <s v="Pa Dauk Myaing(Pa La Na)"/>
    <m/>
    <m/>
    <m/>
    <n v="11"/>
    <m/>
    <n v="22"/>
    <n v="22"/>
    <n v="22"/>
    <n v="11"/>
    <m/>
    <n v="11"/>
    <m/>
    <m/>
    <m/>
    <m/>
    <m/>
    <m/>
    <m/>
    <m/>
    <m/>
    <e v="#REF!"/>
    <e v="#REF!"/>
    <e v="#REF!"/>
    <e v="#REF!"/>
    <e v="#REF!"/>
    <e v="#REF!"/>
    <e v="#REF!"/>
    <e v="#REF!"/>
    <e v="#REF!"/>
    <e v="#REF!"/>
    <m/>
    <m/>
    <m/>
    <n v="0"/>
    <m/>
    <m/>
    <m/>
    <m/>
    <m/>
    <m/>
    <m/>
    <s v="MMR001CMP162"/>
    <m/>
  </r>
  <r>
    <x v="125"/>
    <x v="18"/>
    <x v="14"/>
    <s v="DDM "/>
    <s v="Kachin"/>
    <x v="17"/>
    <s v="Ma Hawng Baptist Church"/>
    <m/>
    <m/>
    <m/>
    <n v="6"/>
    <m/>
    <n v="12"/>
    <n v="12"/>
    <n v="12"/>
    <n v="6"/>
    <m/>
    <n v="6"/>
    <m/>
    <m/>
    <m/>
    <m/>
    <m/>
    <m/>
    <m/>
    <m/>
    <m/>
    <e v="#REF!"/>
    <e v="#REF!"/>
    <e v="#REF!"/>
    <e v="#REF!"/>
    <e v="#REF!"/>
    <e v="#REF!"/>
    <e v="#REF!"/>
    <e v="#REF!"/>
    <e v="#REF!"/>
    <e v="#REF!"/>
    <m/>
    <m/>
    <m/>
    <n v="0"/>
    <m/>
    <m/>
    <m/>
    <m/>
    <m/>
    <m/>
    <m/>
    <s v="MMR001CMP077"/>
    <m/>
  </r>
  <r>
    <x v="126"/>
    <x v="18"/>
    <x v="14"/>
    <s v="DDM "/>
    <s v="Kachin"/>
    <x v="0"/>
    <s v="Qtr. 4 Monestry (Thargaya Thayett Taw)"/>
    <m/>
    <m/>
    <m/>
    <n v="35"/>
    <m/>
    <n v="70"/>
    <n v="70"/>
    <n v="70"/>
    <n v="35"/>
    <m/>
    <n v="35"/>
    <m/>
    <m/>
    <m/>
    <m/>
    <m/>
    <m/>
    <m/>
    <m/>
    <m/>
    <e v="#REF!"/>
    <e v="#REF!"/>
    <e v="#REF!"/>
    <e v="#REF!"/>
    <e v="#REF!"/>
    <e v="#REF!"/>
    <e v="#REF!"/>
    <e v="#REF!"/>
    <e v="#REF!"/>
    <e v="#REF!"/>
    <m/>
    <m/>
    <m/>
    <n v="0"/>
    <m/>
    <m/>
    <m/>
    <m/>
    <m/>
    <m/>
    <m/>
    <s v="MMR001CMP026"/>
    <m/>
  </r>
  <r>
    <x v="127"/>
    <x v="19"/>
    <x v="0"/>
    <s v="Shalom"/>
    <s v="Kachin"/>
    <x v="1"/>
    <s v="Tat Kone Emanuel Church"/>
    <m/>
    <m/>
    <m/>
    <n v="9"/>
    <n v="9"/>
    <n v="29"/>
    <n v="9"/>
    <n v="29"/>
    <n v="10"/>
    <m/>
    <n v="9"/>
    <n v="46"/>
    <m/>
    <m/>
    <m/>
    <m/>
    <n v="9"/>
    <m/>
    <m/>
    <m/>
    <e v="#REF!"/>
    <e v="#REF!"/>
    <e v="#REF!"/>
    <e v="#REF!"/>
    <e v="#REF!"/>
    <e v="#REF!"/>
    <e v="#REF!"/>
    <e v="#REF!"/>
    <e v="#REF!"/>
    <e v="#REF!"/>
    <m/>
    <m/>
    <m/>
    <n v="0"/>
    <m/>
    <m/>
    <m/>
    <m/>
    <m/>
    <m/>
    <m/>
    <s v="MMR001CMP004"/>
    <m/>
  </r>
  <r>
    <x v="128"/>
    <x v="18"/>
    <x v="0"/>
    <s v="Shalom"/>
    <s v="Kachin"/>
    <x v="0"/>
    <s v="Qtr. 3 Mu-yin  Baptist Church"/>
    <m/>
    <m/>
    <m/>
    <m/>
    <m/>
    <m/>
    <n v="20"/>
    <m/>
    <m/>
    <m/>
    <m/>
    <m/>
    <m/>
    <m/>
    <m/>
    <m/>
    <m/>
    <m/>
    <m/>
    <m/>
    <e v="#REF!"/>
    <e v="#REF!"/>
    <e v="#REF!"/>
    <e v="#REF!"/>
    <e v="#REF!"/>
    <e v="#REF!"/>
    <e v="#REF!"/>
    <e v="#REF!"/>
    <e v="#REF!"/>
    <e v="#REF!"/>
    <m/>
    <m/>
    <m/>
    <n v="0"/>
    <m/>
    <m/>
    <m/>
    <m/>
    <m/>
    <m/>
    <m/>
    <s v="MMR001CMP030"/>
    <m/>
  </r>
  <r>
    <x v="129"/>
    <x v="19"/>
    <x v="0"/>
    <m/>
    <s v="Kachin"/>
    <x v="17"/>
    <s v="Myo Oo St. Dominic RC Church"/>
    <m/>
    <m/>
    <m/>
    <n v="1"/>
    <m/>
    <n v="8"/>
    <n v="1"/>
    <n v="3"/>
    <n v="3"/>
    <m/>
    <n v="1"/>
    <n v="3"/>
    <m/>
    <m/>
    <m/>
    <m/>
    <m/>
    <m/>
    <m/>
    <m/>
    <e v="#REF!"/>
    <e v="#REF!"/>
    <e v="#REF!"/>
    <e v="#REF!"/>
    <e v="#REF!"/>
    <e v="#REF!"/>
    <e v="#REF!"/>
    <e v="#REF!"/>
    <e v="#REF!"/>
    <e v="#REF!"/>
    <m/>
    <m/>
    <m/>
    <n v="0"/>
    <m/>
    <m/>
    <m/>
    <m/>
    <m/>
    <m/>
    <m/>
    <s v="MMR001CMP259"/>
    <m/>
  </r>
  <r>
    <x v="130"/>
    <x v="19"/>
    <x v="0"/>
    <m/>
    <s v="Kachin"/>
    <x v="17"/>
    <s v="Lan Gwa St.Paul RC Church"/>
    <m/>
    <m/>
    <m/>
    <m/>
    <m/>
    <m/>
    <m/>
    <m/>
    <n v="1"/>
    <m/>
    <m/>
    <n v="5"/>
    <m/>
    <m/>
    <m/>
    <m/>
    <m/>
    <m/>
    <m/>
    <m/>
    <e v="#REF!"/>
    <e v="#REF!"/>
    <e v="#REF!"/>
    <e v="#REF!"/>
    <e v="#REF!"/>
    <e v="#REF!"/>
    <e v="#REF!"/>
    <e v="#REF!"/>
    <e v="#REF!"/>
    <e v="#REF!"/>
    <m/>
    <m/>
    <m/>
    <n v="0"/>
    <m/>
    <m/>
    <m/>
    <m/>
    <m/>
    <m/>
    <m/>
    <s v="MMR001CMP260"/>
    <m/>
  </r>
  <r>
    <x v="130"/>
    <x v="19"/>
    <x v="0"/>
    <m/>
    <s v="Kachin"/>
    <x v="17"/>
    <s v="Emmanuel AG Church"/>
    <m/>
    <m/>
    <m/>
    <m/>
    <m/>
    <m/>
    <m/>
    <n v="1"/>
    <m/>
    <m/>
    <m/>
    <m/>
    <m/>
    <m/>
    <m/>
    <m/>
    <m/>
    <m/>
    <m/>
    <m/>
    <e v="#REF!"/>
    <e v="#REF!"/>
    <e v="#REF!"/>
    <e v="#REF!"/>
    <e v="#REF!"/>
    <e v="#REF!"/>
    <e v="#REF!"/>
    <e v="#REF!"/>
    <e v="#REF!"/>
    <e v="#REF!"/>
    <m/>
    <m/>
    <m/>
    <n v="0"/>
    <m/>
    <m/>
    <m/>
    <m/>
    <m/>
    <m/>
    <m/>
    <s v="MMR001CMP262"/>
    <m/>
  </r>
  <r>
    <x v="130"/>
    <x v="19"/>
    <x v="0"/>
    <m/>
    <s v="Kachin"/>
    <x v="17"/>
    <s v="Namti Labraw Yang KBC Camp"/>
    <m/>
    <m/>
    <m/>
    <m/>
    <m/>
    <n v="6"/>
    <m/>
    <m/>
    <m/>
    <m/>
    <m/>
    <n v="21"/>
    <m/>
    <m/>
    <m/>
    <m/>
    <m/>
    <m/>
    <m/>
    <m/>
    <e v="#REF!"/>
    <e v="#REF!"/>
    <e v="#REF!"/>
    <e v="#REF!"/>
    <e v="#REF!"/>
    <e v="#REF!"/>
    <e v="#REF!"/>
    <e v="#REF!"/>
    <e v="#REF!"/>
    <e v="#REF!"/>
    <m/>
    <m/>
    <m/>
    <n v="0"/>
    <m/>
    <m/>
    <m/>
    <m/>
    <m/>
    <m/>
    <m/>
    <s v="MMR001CMP261"/>
    <m/>
  </r>
  <r>
    <x v="130"/>
    <x v="19"/>
    <x v="0"/>
    <s v="KBC"/>
    <s v="Shan_North"/>
    <x v="9"/>
    <s v="Nam Hpak Ka Mare "/>
    <m/>
    <m/>
    <m/>
    <m/>
    <m/>
    <m/>
    <m/>
    <n v="20"/>
    <m/>
    <m/>
    <m/>
    <n v="37"/>
    <m/>
    <m/>
    <m/>
    <m/>
    <m/>
    <m/>
    <m/>
    <m/>
    <e v="#REF!"/>
    <e v="#REF!"/>
    <e v="#REF!"/>
    <e v="#REF!"/>
    <e v="#REF!"/>
    <e v="#REF!"/>
    <e v="#REF!"/>
    <e v="#REF!"/>
    <e v="#REF!"/>
    <e v="#REF!"/>
    <m/>
    <m/>
    <m/>
    <n v="0"/>
    <m/>
    <m/>
    <m/>
    <m/>
    <m/>
    <m/>
    <m/>
    <s v="MMR015CMP007"/>
    <m/>
  </r>
  <r>
    <x v="130"/>
    <x v="19"/>
    <x v="0"/>
    <s v="KBC"/>
    <s v="Shan_North"/>
    <x v="9"/>
    <s v="Mine Yu Lay village ( Old)"/>
    <m/>
    <m/>
    <m/>
    <m/>
    <m/>
    <m/>
    <m/>
    <n v="20"/>
    <m/>
    <m/>
    <m/>
    <n v="56"/>
    <m/>
    <m/>
    <m/>
    <m/>
    <m/>
    <m/>
    <m/>
    <m/>
    <e v="#REF!"/>
    <e v="#REF!"/>
    <e v="#REF!"/>
    <e v="#REF!"/>
    <e v="#REF!"/>
    <e v="#REF!"/>
    <e v="#REF!"/>
    <e v="#REF!"/>
    <e v="#REF!"/>
    <e v="#REF!"/>
    <m/>
    <m/>
    <m/>
    <n v="0"/>
    <m/>
    <m/>
    <m/>
    <m/>
    <m/>
    <m/>
    <m/>
    <s v="MMR015CMP018"/>
    <m/>
  </r>
  <r>
    <x v="130"/>
    <x v="19"/>
    <x v="0"/>
    <s v="KBC"/>
    <s v="Shan_North"/>
    <x v="9"/>
    <s v="Mai Yu Lay New (Ta'ang)"/>
    <m/>
    <m/>
    <m/>
    <m/>
    <m/>
    <m/>
    <m/>
    <n v="30"/>
    <m/>
    <m/>
    <m/>
    <n v="55"/>
    <m/>
    <m/>
    <m/>
    <m/>
    <m/>
    <m/>
    <m/>
    <m/>
    <e v="#REF!"/>
    <e v="#REF!"/>
    <e v="#REF!"/>
    <e v="#REF!"/>
    <e v="#REF!"/>
    <e v="#REF!"/>
    <e v="#REF!"/>
    <e v="#REF!"/>
    <e v="#REF!"/>
    <e v="#REF!"/>
    <m/>
    <m/>
    <m/>
    <n v="0"/>
    <m/>
    <m/>
    <m/>
    <m/>
    <m/>
    <m/>
    <m/>
    <s v="MMR015CMP220"/>
    <m/>
  </r>
  <r>
    <x v="130"/>
    <x v="19"/>
    <x v="0"/>
    <s v="KBC"/>
    <s v="Shan_North"/>
    <x v="9"/>
    <s v="Kutkai downtown (KBC Church)"/>
    <m/>
    <m/>
    <m/>
    <m/>
    <m/>
    <m/>
    <m/>
    <n v="20"/>
    <m/>
    <m/>
    <m/>
    <n v="33"/>
    <m/>
    <m/>
    <m/>
    <m/>
    <m/>
    <m/>
    <m/>
    <m/>
    <e v="#REF!"/>
    <e v="#REF!"/>
    <e v="#REF!"/>
    <e v="#REF!"/>
    <e v="#REF!"/>
    <e v="#REF!"/>
    <e v="#REF!"/>
    <e v="#REF!"/>
    <e v="#REF!"/>
    <e v="#REF!"/>
    <m/>
    <m/>
    <m/>
    <n v="0"/>
    <m/>
    <m/>
    <m/>
    <m/>
    <m/>
    <m/>
    <m/>
    <s v="MMR015CMP016"/>
    <m/>
  </r>
  <r>
    <x v="130"/>
    <x v="19"/>
    <x v="0"/>
    <s v="KBC"/>
    <s v="Shan_North"/>
    <x v="9"/>
    <s v="Kutkai downtown (KBC Church-2)"/>
    <m/>
    <m/>
    <m/>
    <m/>
    <m/>
    <m/>
    <m/>
    <n v="15"/>
    <m/>
    <m/>
    <m/>
    <n v="22"/>
    <m/>
    <m/>
    <m/>
    <m/>
    <m/>
    <m/>
    <m/>
    <m/>
    <e v="#REF!"/>
    <e v="#REF!"/>
    <e v="#REF!"/>
    <e v="#REF!"/>
    <e v="#REF!"/>
    <e v="#REF!"/>
    <e v="#REF!"/>
    <e v="#REF!"/>
    <e v="#REF!"/>
    <e v="#REF!"/>
    <m/>
    <m/>
    <m/>
    <n v="0"/>
    <m/>
    <m/>
    <m/>
    <m/>
    <m/>
    <m/>
    <m/>
    <s v="MMR015CMP245"/>
    <m/>
  </r>
  <r>
    <x v="130"/>
    <x v="19"/>
    <x v="0"/>
    <s v="KBC"/>
    <s v="Shan_North"/>
    <x v="9"/>
    <s v="Zup Aung Camp"/>
    <m/>
    <m/>
    <m/>
    <m/>
    <m/>
    <m/>
    <m/>
    <n v="42"/>
    <m/>
    <m/>
    <m/>
    <n v="16"/>
    <m/>
    <m/>
    <m/>
    <m/>
    <m/>
    <m/>
    <m/>
    <m/>
    <e v="#REF!"/>
    <e v="#REF!"/>
    <e v="#REF!"/>
    <e v="#REF!"/>
    <e v="#REF!"/>
    <e v="#REF!"/>
    <e v="#REF!"/>
    <e v="#REF!"/>
    <e v="#REF!"/>
    <e v="#REF!"/>
    <m/>
    <m/>
    <m/>
    <n v="0"/>
    <m/>
    <m/>
    <m/>
    <m/>
    <m/>
    <m/>
    <m/>
    <s v="MMR015CMP020"/>
    <m/>
  </r>
  <r>
    <x v="130"/>
    <x v="19"/>
    <x v="0"/>
    <s v="KBC"/>
    <s v="Shan_North"/>
    <x v="9"/>
    <s v="Mungji Pa Dabang (Baptist Church)         "/>
    <m/>
    <m/>
    <m/>
    <m/>
    <n v="25"/>
    <m/>
    <m/>
    <n v="15"/>
    <m/>
    <m/>
    <n v="26"/>
    <n v="44"/>
    <m/>
    <m/>
    <m/>
    <m/>
    <m/>
    <m/>
    <m/>
    <m/>
    <e v="#REF!"/>
    <e v="#REF!"/>
    <e v="#REF!"/>
    <e v="#REF!"/>
    <e v="#REF!"/>
    <e v="#REF!"/>
    <e v="#REF!"/>
    <e v="#REF!"/>
    <e v="#REF!"/>
    <e v="#REF!"/>
    <m/>
    <m/>
    <m/>
    <n v="0"/>
    <m/>
    <m/>
    <m/>
    <m/>
    <m/>
    <m/>
    <m/>
    <s v="MMR015CMP006"/>
    <m/>
  </r>
  <r>
    <x v="130"/>
    <x v="19"/>
    <x v="0"/>
    <s v="KBC"/>
    <s v="Shan_North"/>
    <x v="9"/>
    <s v="Nam Sa Larp"/>
    <m/>
    <m/>
    <m/>
    <n v="20"/>
    <m/>
    <m/>
    <m/>
    <n v="10"/>
    <m/>
    <m/>
    <m/>
    <n v="24"/>
    <m/>
    <m/>
    <m/>
    <m/>
    <m/>
    <m/>
    <m/>
    <m/>
    <e v="#REF!"/>
    <e v="#REF!"/>
    <e v="#REF!"/>
    <e v="#REF!"/>
    <e v="#REF!"/>
    <e v="#REF!"/>
    <e v="#REF!"/>
    <e v="#REF!"/>
    <e v="#REF!"/>
    <e v="#REF!"/>
    <m/>
    <m/>
    <m/>
    <n v="0"/>
    <m/>
    <m/>
    <m/>
    <m/>
    <m/>
    <m/>
    <m/>
    <s v="MMR015CMP218"/>
    <m/>
  </r>
  <r>
    <x v="130"/>
    <x v="19"/>
    <x v="0"/>
    <s v="KBC"/>
    <s v="Shan_North"/>
    <x v="11"/>
    <s v="Nam Tu Baptist"/>
    <m/>
    <m/>
    <m/>
    <m/>
    <m/>
    <m/>
    <m/>
    <n v="15"/>
    <m/>
    <m/>
    <m/>
    <n v="25"/>
    <m/>
    <m/>
    <m/>
    <m/>
    <m/>
    <m/>
    <m/>
    <m/>
    <e v="#REF!"/>
    <e v="#REF!"/>
    <e v="#REF!"/>
    <e v="#REF!"/>
    <e v="#REF!"/>
    <e v="#REF!"/>
    <e v="#REF!"/>
    <e v="#REF!"/>
    <e v="#REF!"/>
    <e v="#REF!"/>
    <m/>
    <m/>
    <m/>
    <n v="0"/>
    <m/>
    <m/>
    <m/>
    <m/>
    <m/>
    <m/>
    <m/>
    <s v="MMR015CMP014"/>
    <m/>
  </r>
  <r>
    <x v="130"/>
    <x v="19"/>
    <x v="0"/>
    <s v="KBC"/>
    <s v="Shan_North"/>
    <x v="20"/>
    <s v="Mandung - Jinghpaw"/>
    <m/>
    <m/>
    <m/>
    <m/>
    <m/>
    <m/>
    <m/>
    <n v="20"/>
    <m/>
    <m/>
    <m/>
    <n v="24"/>
    <m/>
    <m/>
    <m/>
    <m/>
    <m/>
    <m/>
    <m/>
    <m/>
    <e v="#REF!"/>
    <e v="#REF!"/>
    <e v="#REF!"/>
    <e v="#REF!"/>
    <e v="#REF!"/>
    <e v="#REF!"/>
    <e v="#REF!"/>
    <e v="#REF!"/>
    <e v="#REF!"/>
    <e v="#REF!"/>
    <m/>
    <m/>
    <m/>
    <n v="0"/>
    <m/>
    <m/>
    <m/>
    <m/>
    <m/>
    <m/>
    <m/>
    <s v="MMR015CMP009"/>
    <m/>
  </r>
  <r>
    <x v="130"/>
    <x v="19"/>
    <x v="0"/>
    <s v="KBC"/>
    <s v="Shan_North"/>
    <x v="9"/>
    <s v="Man Loi"/>
    <m/>
    <m/>
    <m/>
    <m/>
    <m/>
    <m/>
    <m/>
    <n v="10"/>
    <m/>
    <m/>
    <m/>
    <n v="13"/>
    <m/>
    <m/>
    <m/>
    <m/>
    <m/>
    <m/>
    <m/>
    <m/>
    <e v="#REF!"/>
    <e v="#REF!"/>
    <e v="#REF!"/>
    <e v="#REF!"/>
    <e v="#REF!"/>
    <e v="#REF!"/>
    <e v="#REF!"/>
    <e v="#REF!"/>
    <e v="#REF!"/>
    <e v="#REF!"/>
    <m/>
    <m/>
    <m/>
    <n v="0"/>
    <m/>
    <m/>
    <m/>
    <m/>
    <m/>
    <m/>
    <m/>
    <s v="MMR015CMP246"/>
    <m/>
  </r>
  <r>
    <x v="130"/>
    <x v="19"/>
    <x v="0"/>
    <s v="KBC"/>
    <s v="Shan_North"/>
    <x v="1"/>
    <s v="Manlun-Tsanlun"/>
    <m/>
    <m/>
    <m/>
    <m/>
    <m/>
    <m/>
    <m/>
    <m/>
    <n v="35"/>
    <m/>
    <n v="28"/>
    <n v="40"/>
    <m/>
    <m/>
    <m/>
    <m/>
    <m/>
    <m/>
    <m/>
    <m/>
    <e v="#REF!"/>
    <e v="#REF!"/>
    <e v="#REF!"/>
    <e v="#REF!"/>
    <e v="#REF!"/>
    <e v="#REF!"/>
    <e v="#REF!"/>
    <e v="#REF!"/>
    <e v="#REF!"/>
    <e v="#REF!"/>
    <m/>
    <m/>
    <m/>
    <n v="0"/>
    <m/>
    <m/>
    <m/>
    <m/>
    <m/>
    <m/>
    <m/>
    <s v=""/>
    <m/>
  </r>
  <r>
    <x v="130"/>
    <x v="19"/>
    <x v="0"/>
    <s v="KBC"/>
    <s v="Shan_North"/>
    <x v="9"/>
    <s v="Hu Hku"/>
    <m/>
    <m/>
    <m/>
    <m/>
    <m/>
    <n v="2"/>
    <n v="1"/>
    <m/>
    <n v="14"/>
    <m/>
    <m/>
    <n v="32"/>
    <m/>
    <m/>
    <m/>
    <m/>
    <n v="15"/>
    <m/>
    <m/>
    <m/>
    <e v="#REF!"/>
    <e v="#REF!"/>
    <e v="#REF!"/>
    <e v="#REF!"/>
    <e v="#REF!"/>
    <e v="#REF!"/>
    <e v="#REF!"/>
    <e v="#REF!"/>
    <e v="#REF!"/>
    <e v="#REF!"/>
    <m/>
    <m/>
    <m/>
    <n v="0"/>
    <m/>
    <m/>
    <m/>
    <m/>
    <m/>
    <m/>
    <m/>
    <s v=""/>
    <m/>
  </r>
  <r>
    <x v="130"/>
    <x v="19"/>
    <x v="0"/>
    <s v="KBC"/>
    <s v="Shan_North"/>
    <x v="9"/>
    <s v="Nam Hpak Ka Ta'ang ( Aung Tha Pyay)"/>
    <m/>
    <m/>
    <m/>
    <m/>
    <m/>
    <m/>
    <m/>
    <n v="10"/>
    <m/>
    <m/>
    <m/>
    <n v="28"/>
    <m/>
    <m/>
    <m/>
    <m/>
    <m/>
    <m/>
    <m/>
    <m/>
    <e v="#REF!"/>
    <e v="#REF!"/>
    <e v="#REF!"/>
    <e v="#REF!"/>
    <e v="#REF!"/>
    <e v="#REF!"/>
    <e v="#REF!"/>
    <e v="#REF!"/>
    <e v="#REF!"/>
    <e v="#REF!"/>
    <m/>
    <m/>
    <m/>
    <n v="0"/>
    <m/>
    <m/>
    <m/>
    <m/>
    <m/>
    <m/>
    <m/>
    <s v="MMR015CMP225"/>
    <m/>
  </r>
  <r>
    <x v="130"/>
    <x v="19"/>
    <x v="0"/>
    <s v="KBC"/>
    <s v="Shan_North"/>
    <x v="13"/>
    <s v="Hpai Kawng"/>
    <m/>
    <m/>
    <m/>
    <m/>
    <m/>
    <n v="76"/>
    <n v="1"/>
    <n v="153"/>
    <m/>
    <m/>
    <m/>
    <n v="77"/>
    <n v="156"/>
    <m/>
    <m/>
    <m/>
    <m/>
    <m/>
    <m/>
    <m/>
    <e v="#REF!"/>
    <e v="#REF!"/>
    <e v="#REF!"/>
    <e v="#REF!"/>
    <e v="#REF!"/>
    <e v="#REF!"/>
    <e v="#REF!"/>
    <e v="#REF!"/>
    <e v="#REF!"/>
    <e v="#REF!"/>
    <m/>
    <m/>
    <m/>
    <n v="1"/>
    <m/>
    <m/>
    <m/>
    <m/>
    <m/>
    <m/>
    <m/>
    <s v="MMR015CMP247"/>
    <m/>
  </r>
  <r>
    <x v="130"/>
    <x v="19"/>
    <x v="0"/>
    <s v="KBC"/>
    <s v="Shan_North"/>
    <x v="14"/>
    <s v="Namhkan - Pang Long KBC"/>
    <m/>
    <m/>
    <m/>
    <m/>
    <m/>
    <n v="58"/>
    <m/>
    <n v="115"/>
    <m/>
    <m/>
    <n v="115"/>
    <n v="77"/>
    <m/>
    <m/>
    <m/>
    <m/>
    <m/>
    <m/>
    <m/>
    <m/>
    <e v="#REF!"/>
    <e v="#REF!"/>
    <e v="#REF!"/>
    <e v="#REF!"/>
    <e v="#REF!"/>
    <e v="#REF!"/>
    <e v="#REF!"/>
    <e v="#REF!"/>
    <e v="#REF!"/>
    <e v="#REF!"/>
    <m/>
    <m/>
    <m/>
    <n v="0"/>
    <m/>
    <m/>
    <m/>
    <m/>
    <m/>
    <m/>
    <m/>
    <s v="MMR015CMP215"/>
    <m/>
  </r>
  <r>
    <x v="130"/>
    <x v="19"/>
    <x v="0"/>
    <s v="KBC"/>
    <s v="Shan_North"/>
    <x v="14"/>
    <s v="Nam Hkam - Nay Win Ni (Palawng)"/>
    <m/>
    <m/>
    <m/>
    <m/>
    <m/>
    <n v="80"/>
    <n v="17"/>
    <n v="76"/>
    <m/>
    <m/>
    <n v="63"/>
    <m/>
    <m/>
    <m/>
    <m/>
    <m/>
    <n v="15"/>
    <m/>
    <m/>
    <m/>
    <e v="#REF!"/>
    <e v="#REF!"/>
    <e v="#REF!"/>
    <e v="#REF!"/>
    <e v="#REF!"/>
    <e v="#REF!"/>
    <e v="#REF!"/>
    <e v="#REF!"/>
    <e v="#REF!"/>
    <e v="#REF!"/>
    <m/>
    <m/>
    <m/>
    <n v="0"/>
    <m/>
    <m/>
    <m/>
    <m/>
    <m/>
    <m/>
    <m/>
    <s v="MMR015CMP004"/>
    <m/>
  </r>
  <r>
    <x v="130"/>
    <x v="19"/>
    <x v="0"/>
    <s v="KBC"/>
    <s v="Kachin"/>
    <x v="2"/>
    <s v="Man Wing Baptist Church"/>
    <m/>
    <m/>
    <m/>
    <m/>
    <m/>
    <n v="66"/>
    <n v="4"/>
    <n v="61"/>
    <m/>
    <m/>
    <m/>
    <n v="177"/>
    <n v="128"/>
    <m/>
    <m/>
    <m/>
    <m/>
    <m/>
    <m/>
    <m/>
    <e v="#REF!"/>
    <e v="#REF!"/>
    <e v="#REF!"/>
    <e v="#REF!"/>
    <e v="#REF!"/>
    <e v="#REF!"/>
    <e v="#REF!"/>
    <e v="#REF!"/>
    <e v="#REF!"/>
    <e v="#REF!"/>
    <m/>
    <m/>
    <m/>
    <n v="1"/>
    <m/>
    <m/>
    <m/>
    <m/>
    <m/>
    <m/>
    <m/>
    <s v="MMR001CMP133"/>
    <m/>
  </r>
  <r>
    <x v="130"/>
    <x v="19"/>
    <x v="0"/>
    <s v="KBC"/>
    <s v="Kachin"/>
    <x v="2"/>
    <s v="Man Wing Baptist Church Cultural Compound"/>
    <m/>
    <m/>
    <m/>
    <n v="25"/>
    <m/>
    <n v="78"/>
    <m/>
    <n v="156"/>
    <m/>
    <m/>
    <m/>
    <n v="82"/>
    <n v="155"/>
    <m/>
    <m/>
    <m/>
    <m/>
    <m/>
    <m/>
    <m/>
    <e v="#REF!"/>
    <e v="#REF!"/>
    <e v="#REF!"/>
    <e v="#REF!"/>
    <e v="#REF!"/>
    <e v="#REF!"/>
    <e v="#REF!"/>
    <e v="#REF!"/>
    <e v="#REF!"/>
    <e v="#REF!"/>
    <m/>
    <m/>
    <m/>
    <n v="1"/>
    <m/>
    <m/>
    <m/>
    <m/>
    <m/>
    <m/>
    <m/>
    <s v="MMR001CMP230"/>
    <m/>
  </r>
  <r>
    <x v="130"/>
    <x v="19"/>
    <x v="0"/>
    <s v="KBC"/>
    <s v="Shan_North"/>
    <x v="13"/>
    <s v="Muse Baptist Church"/>
    <m/>
    <m/>
    <m/>
    <n v="24"/>
    <m/>
    <n v="41"/>
    <m/>
    <m/>
    <m/>
    <m/>
    <m/>
    <n v="55"/>
    <n v="17"/>
    <m/>
    <m/>
    <m/>
    <m/>
    <m/>
    <m/>
    <m/>
    <e v="#REF!"/>
    <e v="#REF!"/>
    <e v="#REF!"/>
    <e v="#REF!"/>
    <e v="#REF!"/>
    <e v="#REF!"/>
    <e v="#REF!"/>
    <e v="#REF!"/>
    <e v="#REF!"/>
    <e v="#REF!"/>
    <m/>
    <m/>
    <m/>
    <n v="1"/>
    <m/>
    <m/>
    <m/>
    <m/>
    <m/>
    <m/>
    <m/>
    <s v="MMR015CMP213"/>
    <m/>
  </r>
  <r>
    <x v="130"/>
    <x v="19"/>
    <x v="0"/>
    <s v="KBC"/>
    <s v="Shan_North"/>
    <x v="14"/>
    <s v="Nam Hkam (KBC Jaw Wang)"/>
    <m/>
    <m/>
    <m/>
    <n v="67"/>
    <m/>
    <n v="68"/>
    <m/>
    <m/>
    <m/>
    <m/>
    <m/>
    <n v="95"/>
    <m/>
    <m/>
    <m/>
    <m/>
    <m/>
    <m/>
    <m/>
    <m/>
    <e v="#REF!"/>
    <e v="#REF!"/>
    <e v="#REF!"/>
    <e v="#REF!"/>
    <e v="#REF!"/>
    <e v="#REF!"/>
    <e v="#REF!"/>
    <e v="#REF!"/>
    <e v="#REF!"/>
    <e v="#REF!"/>
    <m/>
    <m/>
    <m/>
    <n v="0"/>
    <m/>
    <m/>
    <m/>
    <m/>
    <m/>
    <m/>
    <m/>
    <s v="MMR015CMP001"/>
    <m/>
  </r>
  <r>
    <x v="130"/>
    <x v="19"/>
    <x v="0"/>
    <s v="KBC"/>
    <s v="Shan_North"/>
    <x v="14"/>
    <s v="Nam Hkam (KBC Jaw Wang) II"/>
    <m/>
    <m/>
    <m/>
    <n v="38"/>
    <m/>
    <n v="38"/>
    <m/>
    <m/>
    <m/>
    <m/>
    <m/>
    <n v="54"/>
    <m/>
    <m/>
    <m/>
    <m/>
    <m/>
    <m/>
    <m/>
    <m/>
    <e v="#REF!"/>
    <e v="#REF!"/>
    <e v="#REF!"/>
    <e v="#REF!"/>
    <e v="#REF!"/>
    <e v="#REF!"/>
    <e v="#REF!"/>
    <e v="#REF!"/>
    <e v="#REF!"/>
    <e v="#REF!"/>
    <m/>
    <m/>
    <m/>
    <n v="0"/>
    <m/>
    <m/>
    <m/>
    <m/>
    <m/>
    <m/>
    <m/>
    <s v="MMR015CMP214"/>
    <m/>
  </r>
  <r>
    <x v="131"/>
    <x v="19"/>
    <x v="2"/>
    <s v="NRC"/>
    <s v="Kachin"/>
    <x v="17"/>
    <s v="Lan Gwa St.Paul RC Church"/>
    <m/>
    <m/>
    <m/>
    <m/>
    <m/>
    <m/>
    <m/>
    <m/>
    <m/>
    <m/>
    <m/>
    <n v="125"/>
    <m/>
    <m/>
    <m/>
    <m/>
    <m/>
    <m/>
    <m/>
    <m/>
    <e v="#REF!"/>
    <e v="#REF!"/>
    <e v="#REF!"/>
    <e v="#REF!"/>
    <e v="#REF!"/>
    <e v="#REF!"/>
    <e v="#REF!"/>
    <e v="#REF!"/>
    <e v="#REF!"/>
    <e v="#REF!"/>
    <m/>
    <m/>
    <m/>
    <n v="0"/>
    <m/>
    <m/>
    <m/>
    <m/>
    <m/>
    <m/>
    <m/>
    <s v="MMR001CMP260"/>
    <m/>
  </r>
  <r>
    <x v="132"/>
    <x v="19"/>
    <x v="2"/>
    <s v="NRC"/>
    <s v="Kachin"/>
    <x v="0"/>
    <s v="Waimaw Baptist Zonal Office 2"/>
    <m/>
    <m/>
    <m/>
    <m/>
    <m/>
    <m/>
    <m/>
    <m/>
    <n v="72"/>
    <m/>
    <m/>
    <m/>
    <m/>
    <m/>
    <n v="9"/>
    <m/>
    <m/>
    <m/>
    <m/>
    <m/>
    <e v="#REF!"/>
    <e v="#REF!"/>
    <e v="#REF!"/>
    <e v="#REF!"/>
    <e v="#REF!"/>
    <e v="#REF!"/>
    <e v="#REF!"/>
    <e v="#REF!"/>
    <e v="#REF!"/>
    <e v="#REF!"/>
    <m/>
    <m/>
    <m/>
    <n v="1"/>
    <m/>
    <m/>
    <m/>
    <m/>
    <m/>
    <m/>
    <m/>
    <s v="MMR001CMP269"/>
    <m/>
  </r>
  <r>
    <x v="133"/>
    <x v="20"/>
    <x v="0"/>
    <s v="Shalom"/>
    <s v="Kachin"/>
    <x v="0"/>
    <s v="Qtr. 3 Mu-yin  Baptist Church"/>
    <m/>
    <m/>
    <m/>
    <m/>
    <m/>
    <m/>
    <n v="19"/>
    <m/>
    <m/>
    <m/>
    <m/>
    <m/>
    <m/>
    <m/>
    <m/>
    <m/>
    <m/>
    <m/>
    <m/>
    <m/>
    <e v="#REF!"/>
    <e v="#REF!"/>
    <e v="#REF!"/>
    <e v="#REF!"/>
    <e v="#REF!"/>
    <e v="#REF!"/>
    <e v="#REF!"/>
    <e v="#REF!"/>
    <e v="#REF!"/>
    <e v="#REF!"/>
    <m/>
    <m/>
    <m/>
    <n v="0"/>
    <m/>
    <m/>
    <m/>
    <m/>
    <m/>
    <m/>
    <m/>
    <s v="MMR001CMP030"/>
    <m/>
  </r>
  <r>
    <x v="133"/>
    <x v="20"/>
    <x v="0"/>
    <s v="Shalom"/>
    <s v="Kachin"/>
    <x v="1"/>
    <s v="Shatapru Thida Aye Baptist Church"/>
    <m/>
    <m/>
    <m/>
    <m/>
    <m/>
    <m/>
    <n v="1"/>
    <m/>
    <m/>
    <m/>
    <m/>
    <m/>
    <m/>
    <m/>
    <m/>
    <m/>
    <m/>
    <m/>
    <m/>
    <m/>
    <e v="#REF!"/>
    <e v="#REF!"/>
    <e v="#REF!"/>
    <e v="#REF!"/>
    <e v="#REF!"/>
    <e v="#REF!"/>
    <e v="#REF!"/>
    <e v="#REF!"/>
    <e v="#REF!"/>
    <e v="#REF!"/>
    <m/>
    <m/>
    <m/>
    <n v="0"/>
    <m/>
    <m/>
    <m/>
    <m/>
    <m/>
    <m/>
    <m/>
    <s v="MMR001CMP007"/>
    <m/>
  </r>
  <r>
    <x v="134"/>
    <x v="21"/>
    <x v="12"/>
    <m/>
    <s v="Kachin"/>
    <x v="2"/>
    <s v="Man Wing Catholic Church"/>
    <n v="1"/>
    <m/>
    <m/>
    <m/>
    <m/>
    <m/>
    <m/>
    <m/>
    <m/>
    <m/>
    <m/>
    <m/>
    <m/>
    <m/>
    <m/>
    <m/>
    <m/>
    <m/>
    <m/>
    <m/>
    <e v="#REF!"/>
    <e v="#REF!"/>
    <e v="#REF!"/>
    <e v="#REF!"/>
    <e v="#REF!"/>
    <e v="#REF!"/>
    <e v="#REF!"/>
    <e v="#REF!"/>
    <e v="#REF!"/>
    <e v="#REF!"/>
    <m/>
    <m/>
    <m/>
    <n v="0"/>
    <m/>
    <m/>
    <m/>
    <m/>
    <m/>
    <m/>
    <m/>
    <s v="MMR001CMP132"/>
    <m/>
  </r>
  <r>
    <x v="135"/>
    <x v="21"/>
    <x v="12"/>
    <m/>
    <s v="Shan_North"/>
    <x v="14"/>
    <s v="Nam Hkam Catholic Church ( St. Thomas I)"/>
    <m/>
    <m/>
    <m/>
    <n v="44"/>
    <m/>
    <m/>
    <m/>
    <m/>
    <m/>
    <m/>
    <m/>
    <m/>
    <m/>
    <m/>
    <m/>
    <m/>
    <m/>
    <m/>
    <m/>
    <m/>
    <e v="#REF!"/>
    <e v="#REF!"/>
    <e v="#REF!"/>
    <e v="#REF!"/>
    <e v="#REF!"/>
    <e v="#REF!"/>
    <e v="#REF!"/>
    <e v="#REF!"/>
    <e v="#REF!"/>
    <e v="#REF!"/>
    <m/>
    <m/>
    <m/>
    <n v="0"/>
    <m/>
    <m/>
    <m/>
    <m/>
    <m/>
    <m/>
    <m/>
    <s v="MMR015CMP003"/>
    <m/>
  </r>
  <r>
    <x v="136"/>
    <x v="21"/>
    <x v="12"/>
    <m/>
    <s v="Shan_North"/>
    <x v="9"/>
    <s v="Kutkai downtown (KBC Church)"/>
    <m/>
    <m/>
    <m/>
    <n v="53"/>
    <m/>
    <m/>
    <m/>
    <m/>
    <n v="53"/>
    <m/>
    <m/>
    <m/>
    <m/>
    <m/>
    <m/>
    <m/>
    <m/>
    <n v="53"/>
    <n v="53"/>
    <m/>
    <e v="#REF!"/>
    <e v="#REF!"/>
    <e v="#REF!"/>
    <e v="#REF!"/>
    <e v="#REF!"/>
    <e v="#REF!"/>
    <e v="#REF!"/>
    <e v="#REF!"/>
    <e v="#REF!"/>
    <e v="#REF!"/>
    <m/>
    <m/>
    <m/>
    <n v="0"/>
    <m/>
    <m/>
    <m/>
    <m/>
    <m/>
    <m/>
    <m/>
    <s v="MMR015CMP016"/>
    <m/>
  </r>
  <r>
    <x v="137"/>
    <x v="21"/>
    <x v="12"/>
    <m/>
    <s v="Shan_North"/>
    <x v="20"/>
    <s v="Mandung - RC"/>
    <n v="27"/>
    <m/>
    <m/>
    <m/>
    <m/>
    <m/>
    <m/>
    <m/>
    <m/>
    <m/>
    <m/>
    <m/>
    <m/>
    <m/>
    <m/>
    <m/>
    <m/>
    <m/>
    <m/>
    <m/>
    <e v="#REF!"/>
    <e v="#REF!"/>
    <e v="#REF!"/>
    <e v="#REF!"/>
    <e v="#REF!"/>
    <e v="#REF!"/>
    <e v="#REF!"/>
    <e v="#REF!"/>
    <e v="#REF!"/>
    <e v="#REF!"/>
    <m/>
    <m/>
    <m/>
    <n v="0"/>
    <m/>
    <m/>
    <m/>
    <m/>
    <m/>
    <m/>
    <m/>
    <s v="MMR015CMP209"/>
    <m/>
  </r>
  <r>
    <x v="135"/>
    <x v="21"/>
    <x v="12"/>
    <m/>
    <s v="Shan_North"/>
    <x v="11"/>
    <s v="Lisu Church Namtu"/>
    <m/>
    <m/>
    <m/>
    <n v="32"/>
    <m/>
    <m/>
    <m/>
    <n v="32"/>
    <m/>
    <m/>
    <m/>
    <m/>
    <m/>
    <m/>
    <m/>
    <m/>
    <m/>
    <m/>
    <m/>
    <m/>
    <e v="#REF!"/>
    <e v="#REF!"/>
    <e v="#REF!"/>
    <e v="#REF!"/>
    <e v="#REF!"/>
    <e v="#REF!"/>
    <e v="#REF!"/>
    <e v="#REF!"/>
    <e v="#REF!"/>
    <e v="#REF!"/>
    <m/>
    <m/>
    <m/>
    <n v="0"/>
    <m/>
    <m/>
    <m/>
    <m/>
    <m/>
    <m/>
    <m/>
    <s v="MMR015CMP232"/>
    <m/>
  </r>
  <r>
    <x v="135"/>
    <x v="21"/>
    <x v="12"/>
    <m/>
    <s v="Shan_North"/>
    <x v="14"/>
    <m/>
    <m/>
    <m/>
    <m/>
    <m/>
    <m/>
    <m/>
    <m/>
    <m/>
    <m/>
    <m/>
    <m/>
    <m/>
    <m/>
    <m/>
    <m/>
    <m/>
    <m/>
    <m/>
    <m/>
    <m/>
    <e v="#REF!"/>
    <e v="#REF!"/>
    <e v="#REF!"/>
    <e v="#REF!"/>
    <e v="#REF!"/>
    <e v="#REF!"/>
    <e v="#REF!"/>
    <e v="#REF!"/>
    <e v="#REF!"/>
    <e v="#REF!"/>
    <m/>
    <m/>
    <m/>
    <n v="0"/>
    <m/>
    <m/>
    <m/>
    <m/>
    <m/>
    <m/>
    <m/>
    <s v=""/>
    <m/>
  </r>
  <r>
    <x v="138"/>
    <x v="22"/>
    <x v="0"/>
    <s v="KBC"/>
    <s v="Kachin"/>
    <x v="1"/>
    <s v="Trinity Camp"/>
    <m/>
    <m/>
    <m/>
    <n v="52"/>
    <m/>
    <n v="79"/>
    <m/>
    <n v="79"/>
    <n v="44"/>
    <m/>
    <m/>
    <n v="189"/>
    <m/>
    <m/>
    <m/>
    <m/>
    <n v="52"/>
    <m/>
    <m/>
    <m/>
    <e v="#REF!"/>
    <e v="#REF!"/>
    <e v="#REF!"/>
    <e v="#REF!"/>
    <e v="#REF!"/>
    <e v="#REF!"/>
    <e v="#REF!"/>
    <e v="#REF!"/>
    <e v="#REF!"/>
    <e v="#REF!"/>
    <m/>
    <m/>
    <m/>
    <n v="0"/>
    <m/>
    <m/>
    <m/>
    <m/>
    <m/>
    <m/>
    <m/>
    <s v="MMR001CMP263"/>
    <m/>
  </r>
  <r>
    <x v="139"/>
    <x v="22"/>
    <x v="16"/>
    <m/>
    <s v="Shan_North"/>
    <x v="16"/>
    <s v="Thanti Thuhka Dama Yone"/>
    <m/>
    <n v="43"/>
    <m/>
    <m/>
    <m/>
    <m/>
    <m/>
    <m/>
    <n v="43"/>
    <m/>
    <m/>
    <m/>
    <m/>
    <m/>
    <m/>
    <m/>
    <m/>
    <m/>
    <m/>
    <m/>
    <e v="#REF!"/>
    <e v="#REF!"/>
    <e v="#REF!"/>
    <e v="#REF!"/>
    <e v="#REF!"/>
    <e v="#REF!"/>
    <e v="#REF!"/>
    <e v="#REF!"/>
    <e v="#REF!"/>
    <e v="#REF!"/>
    <m/>
    <m/>
    <m/>
    <n v="0"/>
    <m/>
    <m/>
    <m/>
    <m/>
    <m/>
    <m/>
    <m/>
    <s v=""/>
    <m/>
  </r>
  <r>
    <x v="140"/>
    <x v="22"/>
    <x v="16"/>
    <m/>
    <s v="Shan_North"/>
    <x v="16"/>
    <s v="Tu Seter Yone Monastery "/>
    <m/>
    <n v="22"/>
    <m/>
    <m/>
    <m/>
    <m/>
    <m/>
    <m/>
    <n v="22"/>
    <m/>
    <m/>
    <m/>
    <m/>
    <m/>
    <m/>
    <m/>
    <m/>
    <m/>
    <m/>
    <m/>
    <e v="#REF!"/>
    <e v="#REF!"/>
    <e v="#REF!"/>
    <e v="#REF!"/>
    <e v="#REF!"/>
    <e v="#REF!"/>
    <e v="#REF!"/>
    <e v="#REF!"/>
    <e v="#REF!"/>
    <e v="#REF!"/>
    <m/>
    <m/>
    <m/>
    <n v="0"/>
    <m/>
    <m/>
    <m/>
    <m/>
    <m/>
    <m/>
    <m/>
    <s v=""/>
    <m/>
  </r>
  <r>
    <x v="141"/>
    <x v="12"/>
    <x v="8"/>
    <m/>
    <s v="Shan_North"/>
    <x v="14"/>
    <s v="Namhkan - Pang Long KBC"/>
    <m/>
    <m/>
    <m/>
    <m/>
    <m/>
    <m/>
    <m/>
    <m/>
    <m/>
    <m/>
    <m/>
    <m/>
    <n v="65"/>
    <n v="1"/>
    <m/>
    <m/>
    <m/>
    <m/>
    <m/>
    <m/>
    <e v="#REF!"/>
    <e v="#REF!"/>
    <e v="#REF!"/>
    <e v="#REF!"/>
    <e v="#REF!"/>
    <e v="#REF!"/>
    <e v="#REF!"/>
    <e v="#REF!"/>
    <e v="#REF!"/>
    <e v="#REF!"/>
    <m/>
    <m/>
    <m/>
    <n v="1"/>
    <m/>
    <m/>
    <m/>
    <m/>
    <m/>
    <m/>
    <m/>
    <s v="MMR015CMP215"/>
    <m/>
  </r>
  <r>
    <x v="142"/>
    <x v="12"/>
    <x v="8"/>
    <s v="KMSS - Lashio"/>
    <s v="Kachin"/>
    <x v="2"/>
    <s v="Man Wing Catholic Church"/>
    <m/>
    <m/>
    <m/>
    <m/>
    <m/>
    <m/>
    <m/>
    <m/>
    <m/>
    <m/>
    <m/>
    <m/>
    <n v="43"/>
    <n v="4"/>
    <m/>
    <m/>
    <m/>
    <m/>
    <m/>
    <m/>
    <e v="#REF!"/>
    <e v="#REF!"/>
    <e v="#REF!"/>
    <e v="#REF!"/>
    <e v="#REF!"/>
    <e v="#REF!"/>
    <e v="#REF!"/>
    <e v="#REF!"/>
    <e v="#REF!"/>
    <e v="#REF!"/>
    <m/>
    <m/>
    <m/>
    <n v="1"/>
    <m/>
    <m/>
    <m/>
    <m/>
    <m/>
    <m/>
    <m/>
    <s v="MMR001CMP132"/>
    <m/>
  </r>
  <r>
    <x v="143"/>
    <x v="12"/>
    <x v="8"/>
    <s v="KMSS - Lashio"/>
    <s v="Shan_North"/>
    <x v="14"/>
    <s v="Nam Hkam Catholic Church ( St. Thomas I)"/>
    <m/>
    <m/>
    <m/>
    <m/>
    <m/>
    <m/>
    <m/>
    <m/>
    <m/>
    <m/>
    <m/>
    <m/>
    <n v="14"/>
    <m/>
    <m/>
    <m/>
    <m/>
    <m/>
    <m/>
    <m/>
    <e v="#REF!"/>
    <e v="#REF!"/>
    <e v="#REF!"/>
    <e v="#REF!"/>
    <e v="#REF!"/>
    <e v="#REF!"/>
    <e v="#REF!"/>
    <e v="#REF!"/>
    <e v="#REF!"/>
    <e v="#REF!"/>
    <m/>
    <m/>
    <m/>
    <n v="1"/>
    <m/>
    <m/>
    <m/>
    <m/>
    <m/>
    <m/>
    <m/>
    <s v="MMR015CMP003"/>
    <m/>
  </r>
  <r>
    <x v="143"/>
    <x v="12"/>
    <x v="8"/>
    <s v="KMSS - Lashio"/>
    <s v="Shan_North"/>
    <x v="14"/>
    <s v="Nam Hkam (KBC Jaw Wang)"/>
    <m/>
    <m/>
    <m/>
    <m/>
    <m/>
    <m/>
    <m/>
    <m/>
    <m/>
    <m/>
    <m/>
    <m/>
    <n v="27"/>
    <m/>
    <m/>
    <m/>
    <m/>
    <m/>
    <m/>
    <m/>
    <e v="#REF!"/>
    <e v="#REF!"/>
    <e v="#REF!"/>
    <e v="#REF!"/>
    <e v="#REF!"/>
    <e v="#REF!"/>
    <e v="#REF!"/>
    <e v="#REF!"/>
    <e v="#REF!"/>
    <e v="#REF!"/>
    <m/>
    <m/>
    <m/>
    <n v="1"/>
    <m/>
    <m/>
    <m/>
    <m/>
    <m/>
    <m/>
    <m/>
    <s v="MMR015CMP001"/>
    <m/>
  </r>
  <r>
    <x v="141"/>
    <x v="12"/>
    <x v="8"/>
    <s v="KMSS - Lashio"/>
    <s v="Shan_North"/>
    <x v="9"/>
    <s v="Mungji Pa Dabang (Catholic Church)"/>
    <m/>
    <m/>
    <m/>
    <m/>
    <m/>
    <m/>
    <m/>
    <m/>
    <m/>
    <m/>
    <m/>
    <m/>
    <n v="58"/>
    <m/>
    <m/>
    <m/>
    <m/>
    <m/>
    <m/>
    <m/>
    <e v="#REF!"/>
    <e v="#REF!"/>
    <e v="#REF!"/>
    <e v="#REF!"/>
    <e v="#REF!"/>
    <e v="#REF!"/>
    <e v="#REF!"/>
    <e v="#REF!"/>
    <e v="#REF!"/>
    <e v="#REF!"/>
    <m/>
    <m/>
    <m/>
    <n v="1"/>
    <m/>
    <m/>
    <m/>
    <m/>
    <m/>
    <m/>
    <m/>
    <s v="MMR015CMP217"/>
    <m/>
  </r>
  <r>
    <x v="142"/>
    <x v="12"/>
    <x v="8"/>
    <s v="KMSS - Lashio"/>
    <s v="Kachin"/>
    <x v="2"/>
    <s v="Man Wing Baptist Church"/>
    <m/>
    <m/>
    <m/>
    <m/>
    <m/>
    <m/>
    <m/>
    <m/>
    <m/>
    <m/>
    <m/>
    <m/>
    <n v="48"/>
    <n v="4"/>
    <m/>
    <m/>
    <m/>
    <m/>
    <m/>
    <m/>
    <e v="#REF!"/>
    <e v="#REF!"/>
    <e v="#REF!"/>
    <e v="#REF!"/>
    <e v="#REF!"/>
    <e v="#REF!"/>
    <e v="#REF!"/>
    <e v="#REF!"/>
    <e v="#REF!"/>
    <e v="#REF!"/>
    <m/>
    <m/>
    <m/>
    <n v="1"/>
    <m/>
    <m/>
    <m/>
    <m/>
    <m/>
    <m/>
    <m/>
    <s v="MMR001CMP133"/>
    <m/>
  </r>
  <r>
    <x v="142"/>
    <x v="12"/>
    <x v="8"/>
    <s v="KMSS - Lashio"/>
    <s v="Kachin"/>
    <x v="2"/>
    <s v="Man Wing Baptist Church Cultural Compound"/>
    <m/>
    <m/>
    <m/>
    <m/>
    <m/>
    <m/>
    <m/>
    <m/>
    <m/>
    <m/>
    <m/>
    <m/>
    <n v="11"/>
    <n v="1"/>
    <m/>
    <m/>
    <m/>
    <m/>
    <m/>
    <m/>
    <e v="#REF!"/>
    <e v="#REF!"/>
    <e v="#REF!"/>
    <e v="#REF!"/>
    <e v="#REF!"/>
    <e v="#REF!"/>
    <e v="#REF!"/>
    <e v="#REF!"/>
    <e v="#REF!"/>
    <e v="#REF!"/>
    <m/>
    <m/>
    <m/>
    <n v="1"/>
    <m/>
    <m/>
    <m/>
    <m/>
    <m/>
    <m/>
    <m/>
    <s v="MMR001CMP230"/>
    <m/>
  </r>
  <r>
    <x v="142"/>
    <x v="12"/>
    <x v="8"/>
    <s v="KMSS - Lashio"/>
    <s v="Kachin"/>
    <x v="2"/>
    <s v="Man Wing Catholic Church II"/>
    <m/>
    <m/>
    <m/>
    <m/>
    <m/>
    <m/>
    <m/>
    <m/>
    <m/>
    <m/>
    <m/>
    <m/>
    <n v="13"/>
    <n v="2"/>
    <m/>
    <m/>
    <m/>
    <m/>
    <m/>
    <m/>
    <e v="#REF!"/>
    <e v="#REF!"/>
    <e v="#REF!"/>
    <e v="#REF!"/>
    <e v="#REF!"/>
    <e v="#REF!"/>
    <e v="#REF!"/>
    <e v="#REF!"/>
    <e v="#REF!"/>
    <e v="#REF!"/>
    <m/>
    <m/>
    <m/>
    <n v="1"/>
    <m/>
    <m/>
    <m/>
    <m/>
    <m/>
    <m/>
    <m/>
    <s v="MMR001CMP228"/>
    <m/>
  </r>
  <r>
    <x v="143"/>
    <x v="12"/>
    <x v="8"/>
    <s v="KMSS - Lashio"/>
    <s v="Shan_North"/>
    <x v="14"/>
    <s v="Nam Hkam - Nay Win Ni (Palawng)"/>
    <m/>
    <m/>
    <m/>
    <m/>
    <m/>
    <m/>
    <m/>
    <m/>
    <m/>
    <m/>
    <m/>
    <m/>
    <n v="26"/>
    <m/>
    <m/>
    <m/>
    <m/>
    <m/>
    <m/>
    <m/>
    <e v="#REF!"/>
    <e v="#REF!"/>
    <e v="#REF!"/>
    <e v="#REF!"/>
    <e v="#REF!"/>
    <e v="#REF!"/>
    <e v="#REF!"/>
    <e v="#REF!"/>
    <e v="#REF!"/>
    <e v="#REF!"/>
    <m/>
    <m/>
    <m/>
    <n v="1"/>
    <m/>
    <m/>
    <m/>
    <m/>
    <m/>
    <m/>
    <m/>
    <s v="MMR015CMP004"/>
    <m/>
  </r>
  <r>
    <x v="141"/>
    <x v="12"/>
    <x v="8"/>
    <s v="KMSS - Lashio"/>
    <s v="Shan_North"/>
    <x v="14"/>
    <s v="Nam Hkam (KBC Jaw Wang) II"/>
    <m/>
    <m/>
    <m/>
    <m/>
    <m/>
    <m/>
    <m/>
    <m/>
    <m/>
    <m/>
    <m/>
    <m/>
    <n v="17"/>
    <n v="1"/>
    <m/>
    <m/>
    <m/>
    <m/>
    <m/>
    <m/>
    <e v="#REF!"/>
    <e v="#REF!"/>
    <e v="#REF!"/>
    <e v="#REF!"/>
    <e v="#REF!"/>
    <e v="#REF!"/>
    <e v="#REF!"/>
    <e v="#REF!"/>
    <e v="#REF!"/>
    <e v="#REF!"/>
    <m/>
    <m/>
    <m/>
    <n v="1"/>
    <m/>
    <m/>
    <m/>
    <m/>
    <m/>
    <m/>
    <m/>
    <s v="MMR015CMP214"/>
    <m/>
  </r>
  <r>
    <x v="144"/>
    <x v="12"/>
    <x v="8"/>
    <s v="KMSS - Lashio"/>
    <s v="Kachin"/>
    <x v="2"/>
    <s v="Man Wing Catholic Church"/>
    <m/>
    <m/>
    <n v="47"/>
    <m/>
    <m/>
    <m/>
    <m/>
    <m/>
    <m/>
    <m/>
    <m/>
    <m/>
    <m/>
    <m/>
    <m/>
    <m/>
    <m/>
    <m/>
    <m/>
    <m/>
    <e v="#REF!"/>
    <e v="#REF!"/>
    <e v="#REF!"/>
    <e v="#REF!"/>
    <e v="#REF!"/>
    <e v="#REF!"/>
    <e v="#REF!"/>
    <e v="#REF!"/>
    <e v="#REF!"/>
    <e v="#REF!"/>
    <m/>
    <m/>
    <m/>
    <n v="0"/>
    <m/>
    <m/>
    <m/>
    <m/>
    <m/>
    <m/>
    <m/>
    <s v="MMR001CMP132"/>
    <m/>
  </r>
  <r>
    <x v="76"/>
    <x v="12"/>
    <x v="8"/>
    <s v="KMSS - Lashio"/>
    <s v="Kachin"/>
    <x v="2"/>
    <s v="Man Wing Baptist Church"/>
    <m/>
    <m/>
    <n v="46"/>
    <m/>
    <m/>
    <m/>
    <m/>
    <m/>
    <m/>
    <m/>
    <m/>
    <m/>
    <m/>
    <m/>
    <m/>
    <m/>
    <m/>
    <m/>
    <m/>
    <m/>
    <e v="#REF!"/>
    <e v="#REF!"/>
    <e v="#REF!"/>
    <e v="#REF!"/>
    <e v="#REF!"/>
    <e v="#REF!"/>
    <e v="#REF!"/>
    <e v="#REF!"/>
    <e v="#REF!"/>
    <e v="#REF!"/>
    <m/>
    <m/>
    <m/>
    <n v="0"/>
    <m/>
    <m/>
    <m/>
    <m/>
    <m/>
    <m/>
    <m/>
    <s v="MMR001CMP133"/>
    <m/>
  </r>
  <r>
    <x v="76"/>
    <x v="12"/>
    <x v="8"/>
    <s v="KMSS - Lashio"/>
    <s v="Kachin"/>
    <x v="2"/>
    <s v="Man Wing Catholic Church II"/>
    <m/>
    <m/>
    <n v="14"/>
    <m/>
    <m/>
    <m/>
    <m/>
    <m/>
    <m/>
    <m/>
    <m/>
    <m/>
    <m/>
    <m/>
    <m/>
    <m/>
    <m/>
    <m/>
    <m/>
    <m/>
    <e v="#REF!"/>
    <e v="#REF!"/>
    <e v="#REF!"/>
    <e v="#REF!"/>
    <e v="#REF!"/>
    <e v="#REF!"/>
    <e v="#REF!"/>
    <e v="#REF!"/>
    <e v="#REF!"/>
    <e v="#REF!"/>
    <m/>
    <m/>
    <m/>
    <n v="0"/>
    <m/>
    <m/>
    <m/>
    <m/>
    <m/>
    <m/>
    <m/>
    <s v="MMR001CMP228"/>
    <m/>
  </r>
  <r>
    <x v="76"/>
    <x v="12"/>
    <x v="8"/>
    <s v="IRC"/>
    <s v="Shan_North"/>
    <x v="10"/>
    <s v="Kaung Ai village"/>
    <m/>
    <m/>
    <n v="63"/>
    <m/>
    <m/>
    <m/>
    <m/>
    <m/>
    <m/>
    <m/>
    <m/>
    <m/>
    <m/>
    <m/>
    <m/>
    <m/>
    <m/>
    <m/>
    <m/>
    <m/>
    <e v="#REF!"/>
    <e v="#REF!"/>
    <e v="#REF!"/>
    <e v="#REF!"/>
    <e v="#REF!"/>
    <e v="#REF!"/>
    <e v="#REF!"/>
    <e v="#REF!"/>
    <e v="#REF!"/>
    <e v="#REF!"/>
    <m/>
    <m/>
    <m/>
    <n v="0"/>
    <m/>
    <m/>
    <m/>
    <m/>
    <m/>
    <m/>
    <m/>
    <s v=""/>
    <m/>
  </r>
  <r>
    <x v="81"/>
    <x v="13"/>
    <x v="8"/>
    <s v="IRC"/>
    <s v="Shan_North"/>
    <x v="9"/>
    <s v="Kutkai downtown (KBC Church)"/>
    <m/>
    <m/>
    <m/>
    <m/>
    <m/>
    <m/>
    <m/>
    <m/>
    <m/>
    <m/>
    <m/>
    <m/>
    <n v="42"/>
    <m/>
    <m/>
    <m/>
    <m/>
    <m/>
    <m/>
    <m/>
    <e v="#REF!"/>
    <e v="#REF!"/>
    <e v="#REF!"/>
    <e v="#REF!"/>
    <e v="#REF!"/>
    <e v="#REF!"/>
    <e v="#REF!"/>
    <e v="#REF!"/>
    <e v="#REF!"/>
    <e v="#REF!"/>
    <m/>
    <m/>
    <m/>
    <n v="1"/>
    <m/>
    <m/>
    <m/>
    <m/>
    <m/>
    <m/>
    <m/>
    <s v="MMR015CMP016"/>
    <m/>
  </r>
  <r>
    <x v="145"/>
    <x v="13"/>
    <x v="8"/>
    <s v="IRC"/>
    <s v="Shan_North"/>
    <x v="9"/>
    <s v="Mine Yu Lay village ( Old)"/>
    <m/>
    <m/>
    <m/>
    <m/>
    <m/>
    <m/>
    <m/>
    <m/>
    <m/>
    <m/>
    <m/>
    <m/>
    <n v="38"/>
    <m/>
    <m/>
    <m/>
    <m/>
    <m/>
    <m/>
    <m/>
    <e v="#REF!"/>
    <e v="#REF!"/>
    <e v="#REF!"/>
    <e v="#REF!"/>
    <e v="#REF!"/>
    <e v="#REF!"/>
    <e v="#REF!"/>
    <e v="#REF!"/>
    <e v="#REF!"/>
    <e v="#REF!"/>
    <m/>
    <m/>
    <m/>
    <n v="1"/>
    <m/>
    <m/>
    <m/>
    <m/>
    <m/>
    <m/>
    <m/>
    <s v="MMR015CMP018"/>
    <m/>
  </r>
  <r>
    <x v="145"/>
    <x v="13"/>
    <x v="8"/>
    <s v="IRC"/>
    <s v="Shan_North"/>
    <x v="9"/>
    <s v="Mai Yu Lay New (Ta'ang)"/>
    <m/>
    <m/>
    <m/>
    <m/>
    <m/>
    <m/>
    <m/>
    <m/>
    <m/>
    <m/>
    <m/>
    <m/>
    <n v="112"/>
    <m/>
    <m/>
    <m/>
    <m/>
    <m/>
    <m/>
    <m/>
    <e v="#REF!"/>
    <e v="#REF!"/>
    <e v="#REF!"/>
    <e v="#REF!"/>
    <e v="#REF!"/>
    <e v="#REF!"/>
    <e v="#REF!"/>
    <e v="#REF!"/>
    <e v="#REF!"/>
    <e v="#REF!"/>
    <m/>
    <m/>
    <m/>
    <n v="1"/>
    <m/>
    <m/>
    <m/>
    <m/>
    <m/>
    <m/>
    <m/>
    <s v="MMR015CMP220"/>
    <m/>
  </r>
  <r>
    <x v="145"/>
    <x v="13"/>
    <x v="8"/>
    <s v="IRC"/>
    <s v="Shan_North"/>
    <x v="11"/>
    <s v="Mansan monastery"/>
    <m/>
    <m/>
    <n v="72"/>
    <m/>
    <m/>
    <m/>
    <m/>
    <m/>
    <m/>
    <m/>
    <m/>
    <m/>
    <m/>
    <m/>
    <m/>
    <m/>
    <m/>
    <m/>
    <m/>
    <m/>
    <e v="#REF!"/>
    <e v="#REF!"/>
    <e v="#REF!"/>
    <e v="#REF!"/>
    <e v="#REF!"/>
    <e v="#REF!"/>
    <e v="#REF!"/>
    <e v="#REF!"/>
    <e v="#REF!"/>
    <e v="#REF!"/>
    <m/>
    <m/>
    <m/>
    <n v="0"/>
    <m/>
    <m/>
    <m/>
    <m/>
    <m/>
    <m/>
    <m/>
    <s v=""/>
    <m/>
  </r>
  <r>
    <x v="87"/>
    <x v="14"/>
    <x v="8"/>
    <s v="IRC"/>
    <s v="Shan_North"/>
    <x v="11"/>
    <s v="Moe Guk monastery"/>
    <m/>
    <m/>
    <n v="12"/>
    <m/>
    <m/>
    <m/>
    <m/>
    <m/>
    <m/>
    <m/>
    <m/>
    <m/>
    <m/>
    <m/>
    <m/>
    <m/>
    <m/>
    <m/>
    <m/>
    <m/>
    <e v="#REF!"/>
    <e v="#REF!"/>
    <e v="#REF!"/>
    <e v="#REF!"/>
    <e v="#REF!"/>
    <e v="#REF!"/>
    <e v="#REF!"/>
    <e v="#REF!"/>
    <e v="#REF!"/>
    <e v="#REF!"/>
    <m/>
    <m/>
    <m/>
    <n v="0"/>
    <m/>
    <m/>
    <m/>
    <m/>
    <m/>
    <m/>
    <m/>
    <s v=""/>
    <m/>
  </r>
  <r>
    <x v="87"/>
    <x v="14"/>
    <x v="8"/>
    <s v="IRC"/>
    <s v="Shan_North"/>
    <x v="11"/>
    <s v="Poppa Yung monastery"/>
    <m/>
    <m/>
    <n v="46"/>
    <m/>
    <m/>
    <m/>
    <m/>
    <m/>
    <m/>
    <m/>
    <m/>
    <m/>
    <m/>
    <m/>
    <m/>
    <m/>
    <m/>
    <m/>
    <m/>
    <m/>
    <e v="#REF!"/>
    <e v="#REF!"/>
    <e v="#REF!"/>
    <e v="#REF!"/>
    <e v="#REF!"/>
    <e v="#REF!"/>
    <e v="#REF!"/>
    <e v="#REF!"/>
    <e v="#REF!"/>
    <e v="#REF!"/>
    <m/>
    <m/>
    <m/>
    <n v="0"/>
    <m/>
    <m/>
    <m/>
    <m/>
    <m/>
    <m/>
    <m/>
    <s v=""/>
    <m/>
  </r>
  <r>
    <x v="87"/>
    <x v="14"/>
    <x v="8"/>
    <s v="IRC"/>
    <s v="Shan_North"/>
    <x v="11"/>
    <s v="Kyu Sot"/>
    <m/>
    <m/>
    <m/>
    <m/>
    <m/>
    <m/>
    <m/>
    <m/>
    <m/>
    <n v="32"/>
    <m/>
    <m/>
    <m/>
    <m/>
    <m/>
    <m/>
    <m/>
    <m/>
    <m/>
    <m/>
    <e v="#REF!"/>
    <e v="#REF!"/>
    <e v="#REF!"/>
    <e v="#REF!"/>
    <e v="#REF!"/>
    <e v="#REF!"/>
    <e v="#REF!"/>
    <e v="#REF!"/>
    <e v="#REF!"/>
    <e v="#REF!"/>
    <m/>
    <m/>
    <m/>
    <n v="0"/>
    <m/>
    <m/>
    <m/>
    <m/>
    <m/>
    <m/>
    <m/>
    <s v="MMR015CMP248"/>
    <m/>
  </r>
  <r>
    <x v="146"/>
    <x v="12"/>
    <x v="8"/>
    <s v="IRC"/>
    <s v="Shan_North"/>
    <x v="11"/>
    <s v="Wing Nan monastery"/>
    <m/>
    <m/>
    <n v="50"/>
    <m/>
    <m/>
    <m/>
    <m/>
    <m/>
    <m/>
    <m/>
    <m/>
    <m/>
    <m/>
    <m/>
    <m/>
    <m/>
    <m/>
    <m/>
    <m/>
    <m/>
    <e v="#REF!"/>
    <e v="#REF!"/>
    <e v="#REF!"/>
    <e v="#REF!"/>
    <e v="#REF!"/>
    <e v="#REF!"/>
    <e v="#REF!"/>
    <e v="#REF!"/>
    <e v="#REF!"/>
    <e v="#REF!"/>
    <m/>
    <m/>
    <m/>
    <n v="0"/>
    <m/>
    <m/>
    <m/>
    <m/>
    <m/>
    <m/>
    <m/>
    <s v=""/>
    <m/>
  </r>
  <r>
    <x v="103"/>
    <x v="17"/>
    <x v="8"/>
    <s v="IRC"/>
    <s v="Shan_North"/>
    <x v="11"/>
    <s v="Mai Yin monastery"/>
    <m/>
    <m/>
    <n v="70"/>
    <m/>
    <m/>
    <m/>
    <m/>
    <m/>
    <m/>
    <m/>
    <m/>
    <m/>
    <m/>
    <m/>
    <m/>
    <m/>
    <m/>
    <m/>
    <m/>
    <m/>
    <e v="#REF!"/>
    <e v="#REF!"/>
    <e v="#REF!"/>
    <e v="#REF!"/>
    <e v="#REF!"/>
    <e v="#REF!"/>
    <e v="#REF!"/>
    <e v="#REF!"/>
    <e v="#REF!"/>
    <e v="#REF!"/>
    <m/>
    <m/>
    <m/>
    <n v="0"/>
    <m/>
    <m/>
    <m/>
    <m/>
    <m/>
    <m/>
    <m/>
    <s v=""/>
    <m/>
  </r>
  <r>
    <x v="103"/>
    <x v="17"/>
    <x v="8"/>
    <s v="IRC"/>
    <s v="Shan_North"/>
    <x v="11"/>
    <s v="Pang Kham monastery"/>
    <m/>
    <m/>
    <n v="103"/>
    <m/>
    <m/>
    <m/>
    <m/>
    <m/>
    <m/>
    <m/>
    <m/>
    <m/>
    <m/>
    <m/>
    <m/>
    <m/>
    <m/>
    <m/>
    <m/>
    <m/>
    <e v="#REF!"/>
    <e v="#REF!"/>
    <e v="#REF!"/>
    <e v="#REF!"/>
    <e v="#REF!"/>
    <e v="#REF!"/>
    <e v="#REF!"/>
    <e v="#REF!"/>
    <e v="#REF!"/>
    <e v="#REF!"/>
    <m/>
    <m/>
    <m/>
    <n v="0"/>
    <m/>
    <m/>
    <m/>
    <m/>
    <m/>
    <m/>
    <m/>
    <s v=""/>
    <m/>
  </r>
  <r>
    <x v="110"/>
    <x v="17"/>
    <x v="8"/>
    <s v="IRC"/>
    <s v="Shan_North"/>
    <x v="9"/>
    <s v="Pan Law"/>
    <m/>
    <m/>
    <n v="44"/>
    <m/>
    <m/>
    <m/>
    <m/>
    <m/>
    <m/>
    <m/>
    <m/>
    <m/>
    <m/>
    <m/>
    <m/>
    <m/>
    <m/>
    <m/>
    <m/>
    <m/>
    <e v="#REF!"/>
    <e v="#REF!"/>
    <e v="#REF!"/>
    <e v="#REF!"/>
    <e v="#REF!"/>
    <e v="#REF!"/>
    <e v="#REF!"/>
    <e v="#REF!"/>
    <e v="#REF!"/>
    <e v="#REF!"/>
    <m/>
    <m/>
    <m/>
    <n v="0"/>
    <m/>
    <m/>
    <m/>
    <m/>
    <m/>
    <m/>
    <m/>
    <s v="MMR015CMP249"/>
    <m/>
  </r>
  <r>
    <x v="147"/>
    <x v="18"/>
    <x v="8"/>
    <s v="IRC"/>
    <s v="Shan_North"/>
    <x v="11"/>
    <s v="Mansan monastery"/>
    <m/>
    <m/>
    <m/>
    <m/>
    <m/>
    <m/>
    <m/>
    <m/>
    <m/>
    <m/>
    <m/>
    <m/>
    <m/>
    <m/>
    <m/>
    <m/>
    <m/>
    <m/>
    <m/>
    <m/>
    <e v="#REF!"/>
    <e v="#REF!"/>
    <e v="#REF!"/>
    <e v="#REF!"/>
    <e v="#REF!"/>
    <e v="#REF!"/>
    <e v="#REF!"/>
    <e v="#REF!"/>
    <e v="#REF!"/>
    <e v="#REF!"/>
    <m/>
    <m/>
    <m/>
    <n v="0"/>
    <m/>
    <m/>
    <m/>
    <m/>
    <m/>
    <m/>
    <m/>
    <s v=""/>
    <m/>
  </r>
  <r>
    <x v="148"/>
    <x v="20"/>
    <x v="8"/>
    <s v="IRC"/>
    <s v="Shan_North"/>
    <x v="11"/>
    <s v="Kamahtan monastery"/>
    <m/>
    <m/>
    <m/>
    <m/>
    <m/>
    <m/>
    <m/>
    <m/>
    <m/>
    <m/>
    <m/>
    <m/>
    <m/>
    <m/>
    <m/>
    <m/>
    <m/>
    <m/>
    <m/>
    <m/>
    <e v="#REF!"/>
    <e v="#REF!"/>
    <e v="#REF!"/>
    <e v="#REF!"/>
    <e v="#REF!"/>
    <e v="#REF!"/>
    <e v="#REF!"/>
    <e v="#REF!"/>
    <e v="#REF!"/>
    <e v="#REF!"/>
    <m/>
    <m/>
    <m/>
    <n v="0"/>
    <m/>
    <m/>
    <m/>
    <m/>
    <m/>
    <m/>
    <m/>
    <s v=""/>
    <m/>
  </r>
  <r>
    <x v="148"/>
    <x v="20"/>
    <x v="8"/>
    <s v="IRC"/>
    <s v="Shan_North"/>
    <x v="11"/>
    <s v="Mine Mu monastery"/>
    <m/>
    <m/>
    <m/>
    <m/>
    <m/>
    <m/>
    <m/>
    <m/>
    <m/>
    <m/>
    <m/>
    <m/>
    <m/>
    <m/>
    <m/>
    <m/>
    <m/>
    <m/>
    <m/>
    <m/>
    <e v="#REF!"/>
    <e v="#REF!"/>
    <e v="#REF!"/>
    <e v="#REF!"/>
    <e v="#REF!"/>
    <e v="#REF!"/>
    <e v="#REF!"/>
    <e v="#REF!"/>
    <e v="#REF!"/>
    <e v="#REF!"/>
    <m/>
    <m/>
    <m/>
    <n v="0"/>
    <m/>
    <m/>
    <m/>
    <m/>
    <m/>
    <m/>
    <m/>
    <s v=""/>
    <m/>
  </r>
  <r>
    <x v="148"/>
    <x v="20"/>
    <x v="8"/>
    <s v="IRC"/>
    <s v="Shan_North"/>
    <x v="21"/>
    <s v="Aung Minggalar monastery"/>
    <m/>
    <m/>
    <m/>
    <m/>
    <m/>
    <m/>
    <m/>
    <m/>
    <m/>
    <m/>
    <m/>
    <m/>
    <m/>
    <m/>
    <m/>
    <m/>
    <m/>
    <m/>
    <m/>
    <m/>
    <e v="#REF!"/>
    <e v="#REF!"/>
    <e v="#REF!"/>
    <e v="#REF!"/>
    <e v="#REF!"/>
    <e v="#REF!"/>
    <e v="#REF!"/>
    <e v="#REF!"/>
    <e v="#REF!"/>
    <e v="#REF!"/>
    <m/>
    <m/>
    <m/>
    <n v="0"/>
    <m/>
    <m/>
    <m/>
    <m/>
    <m/>
    <m/>
    <m/>
    <s v=""/>
    <m/>
  </r>
  <r>
    <x v="149"/>
    <x v="23"/>
    <x v="8"/>
    <s v="KMSS - Lashio"/>
    <s v="Shan_North"/>
    <x v="9"/>
    <s v="Kutkai downtown (RC Church)"/>
    <m/>
    <m/>
    <n v="1"/>
    <m/>
    <m/>
    <m/>
    <m/>
    <m/>
    <m/>
    <m/>
    <m/>
    <m/>
    <m/>
    <m/>
    <m/>
    <m/>
    <m/>
    <m/>
    <m/>
    <m/>
    <e v="#REF!"/>
    <e v="#REF!"/>
    <e v="#REF!"/>
    <e v="#REF!"/>
    <e v="#REF!"/>
    <e v="#REF!"/>
    <e v="#REF!"/>
    <e v="#REF!"/>
    <e v="#REF!"/>
    <e v="#REF!"/>
    <m/>
    <m/>
    <m/>
    <n v="0"/>
    <m/>
    <m/>
    <m/>
    <m/>
    <m/>
    <m/>
    <m/>
    <s v="MMR015CMP017"/>
    <m/>
  </r>
  <r>
    <x v="150"/>
    <x v="20"/>
    <x v="8"/>
    <s v="IRC"/>
    <s v="Shan_North"/>
    <x v="11"/>
    <s v="Mansan monastery"/>
    <m/>
    <m/>
    <n v="45"/>
    <n v="47"/>
    <m/>
    <m/>
    <m/>
    <m/>
    <m/>
    <m/>
    <m/>
    <m/>
    <m/>
    <m/>
    <m/>
    <m/>
    <m/>
    <m/>
    <m/>
    <m/>
    <e v="#REF!"/>
    <e v="#REF!"/>
    <e v="#REF!"/>
    <e v="#REF!"/>
    <e v="#REF!"/>
    <e v="#REF!"/>
    <e v="#REF!"/>
    <e v="#REF!"/>
    <e v="#REF!"/>
    <e v="#REF!"/>
    <m/>
    <m/>
    <m/>
    <n v="0"/>
    <m/>
    <m/>
    <m/>
    <m/>
    <m/>
    <m/>
    <m/>
    <s v=""/>
    <m/>
  </r>
  <r>
    <x v="151"/>
    <x v="23"/>
    <x v="8"/>
    <s v="IRC"/>
    <s v="Shan_North"/>
    <x v="22"/>
    <s v="Lashio Mansu monastery"/>
    <m/>
    <m/>
    <m/>
    <n v="209"/>
    <m/>
    <m/>
    <m/>
    <m/>
    <m/>
    <m/>
    <m/>
    <m/>
    <m/>
    <m/>
    <m/>
    <m/>
    <m/>
    <m/>
    <m/>
    <m/>
    <e v="#REF!"/>
    <e v="#REF!"/>
    <e v="#REF!"/>
    <e v="#REF!"/>
    <e v="#REF!"/>
    <e v="#REF!"/>
    <e v="#REF!"/>
    <e v="#REF!"/>
    <e v="#REF!"/>
    <e v="#REF!"/>
    <m/>
    <m/>
    <m/>
    <n v="0"/>
    <m/>
    <m/>
    <m/>
    <m/>
    <m/>
    <m/>
    <m/>
    <s v=""/>
    <m/>
  </r>
  <r>
    <x v="152"/>
    <x v="21"/>
    <x v="8"/>
    <s v="IRC"/>
    <s v="Shan_North"/>
    <x v="22"/>
    <s v="Lashio Catholic Church camp"/>
    <m/>
    <m/>
    <m/>
    <n v="30"/>
    <m/>
    <m/>
    <m/>
    <m/>
    <m/>
    <m/>
    <m/>
    <m/>
    <m/>
    <m/>
    <m/>
    <m/>
    <m/>
    <m/>
    <m/>
    <m/>
    <e v="#REF!"/>
    <e v="#REF!"/>
    <e v="#REF!"/>
    <e v="#REF!"/>
    <e v="#REF!"/>
    <e v="#REF!"/>
    <e v="#REF!"/>
    <e v="#REF!"/>
    <e v="#REF!"/>
    <e v="#REF!"/>
    <m/>
    <m/>
    <m/>
    <n v="0"/>
    <m/>
    <m/>
    <m/>
    <m/>
    <m/>
    <m/>
    <m/>
    <s v=""/>
    <m/>
  </r>
  <r>
    <x v="153"/>
    <x v="21"/>
    <x v="8"/>
    <s v="IRC"/>
    <s v="Kachin"/>
    <x v="2"/>
    <s v="Man Wing Catholic Church"/>
    <m/>
    <m/>
    <m/>
    <m/>
    <m/>
    <m/>
    <m/>
    <m/>
    <m/>
    <m/>
    <m/>
    <m/>
    <m/>
    <m/>
    <m/>
    <m/>
    <m/>
    <n v="121"/>
    <m/>
    <m/>
    <e v="#REF!"/>
    <e v="#REF!"/>
    <e v="#REF!"/>
    <e v="#REF!"/>
    <e v="#REF!"/>
    <e v="#REF!"/>
    <e v="#REF!"/>
    <e v="#REF!"/>
    <e v="#REF!"/>
    <e v="#REF!"/>
    <m/>
    <m/>
    <m/>
    <n v="0"/>
    <m/>
    <m/>
    <m/>
    <m/>
    <m/>
    <m/>
    <m/>
    <s v="MMR001CMP132"/>
    <m/>
  </r>
  <r>
    <x v="133"/>
    <x v="20"/>
    <x v="8"/>
    <s v="KMSS - Lashio"/>
    <s v="Kachin"/>
    <x v="2"/>
    <s v="Man Wing Catholic Church II"/>
    <m/>
    <m/>
    <m/>
    <m/>
    <m/>
    <m/>
    <m/>
    <m/>
    <m/>
    <m/>
    <m/>
    <m/>
    <m/>
    <m/>
    <m/>
    <m/>
    <m/>
    <n v="30"/>
    <m/>
    <m/>
    <e v="#REF!"/>
    <e v="#REF!"/>
    <e v="#REF!"/>
    <e v="#REF!"/>
    <e v="#REF!"/>
    <e v="#REF!"/>
    <e v="#REF!"/>
    <e v="#REF!"/>
    <e v="#REF!"/>
    <e v="#REF!"/>
    <m/>
    <m/>
    <m/>
    <n v="0"/>
    <m/>
    <m/>
    <m/>
    <m/>
    <m/>
    <m/>
    <m/>
    <s v="MMR001CMP228"/>
    <m/>
  </r>
  <r>
    <x v="133"/>
    <x v="20"/>
    <x v="8"/>
    <s v="KMSS - Lashio"/>
    <s v="Shan_North"/>
    <x v="9"/>
    <s v="Mungji Pa Dabang (Baptist Church)         "/>
    <m/>
    <m/>
    <m/>
    <m/>
    <m/>
    <m/>
    <m/>
    <m/>
    <m/>
    <m/>
    <m/>
    <m/>
    <m/>
    <m/>
    <m/>
    <m/>
    <m/>
    <n v="39"/>
    <m/>
    <m/>
    <e v="#REF!"/>
    <e v="#REF!"/>
    <e v="#REF!"/>
    <e v="#REF!"/>
    <e v="#REF!"/>
    <e v="#REF!"/>
    <e v="#REF!"/>
    <e v="#REF!"/>
    <e v="#REF!"/>
    <e v="#REF!"/>
    <m/>
    <m/>
    <m/>
    <n v="0"/>
    <m/>
    <m/>
    <m/>
    <m/>
    <m/>
    <m/>
    <m/>
    <s v="MMR015CMP006"/>
    <m/>
  </r>
  <r>
    <x v="154"/>
    <x v="20"/>
    <x v="8"/>
    <s v="IRC"/>
    <s v="Shan_North"/>
    <x v="9"/>
    <s v="Zup Aung Camp"/>
    <m/>
    <m/>
    <m/>
    <m/>
    <m/>
    <m/>
    <m/>
    <m/>
    <m/>
    <m/>
    <m/>
    <m/>
    <m/>
    <m/>
    <m/>
    <m/>
    <m/>
    <n v="73"/>
    <m/>
    <m/>
    <e v="#REF!"/>
    <e v="#REF!"/>
    <e v="#REF!"/>
    <e v="#REF!"/>
    <e v="#REF!"/>
    <e v="#REF!"/>
    <e v="#REF!"/>
    <e v="#REF!"/>
    <e v="#REF!"/>
    <e v="#REF!"/>
    <m/>
    <m/>
    <m/>
    <n v="0"/>
    <m/>
    <m/>
    <m/>
    <m/>
    <m/>
    <m/>
    <m/>
    <s v="MMR015CMP020"/>
    <m/>
  </r>
  <r>
    <x v="155"/>
    <x v="23"/>
    <x v="8"/>
    <s v="KMSS - Lashio"/>
    <s v="Shan_North"/>
    <x v="9"/>
    <s v="Mungji Pa Dabang (Catholic Church)"/>
    <m/>
    <m/>
    <m/>
    <m/>
    <n v="41"/>
    <m/>
    <m/>
    <m/>
    <m/>
    <m/>
    <m/>
    <m/>
    <m/>
    <m/>
    <m/>
    <m/>
    <m/>
    <m/>
    <m/>
    <m/>
    <e v="#REF!"/>
    <e v="#REF!"/>
    <e v="#REF!"/>
    <e v="#REF!"/>
    <e v="#REF!"/>
    <e v="#REF!"/>
    <e v="#REF!"/>
    <e v="#REF!"/>
    <e v="#REF!"/>
    <e v="#REF!"/>
    <m/>
    <m/>
    <m/>
    <n v="0"/>
    <m/>
    <m/>
    <m/>
    <m/>
    <m/>
    <m/>
    <m/>
    <s v="MMR015CMP217"/>
    <m/>
  </r>
  <r>
    <x v="156"/>
    <x v="19"/>
    <x v="8"/>
    <s v="KMSS - Lashio"/>
    <s v="Shan_North"/>
    <x v="9"/>
    <s v="Mungji Pa Dabang (Baptist Church)         "/>
    <m/>
    <m/>
    <m/>
    <m/>
    <n v="34"/>
    <m/>
    <m/>
    <m/>
    <m/>
    <m/>
    <m/>
    <m/>
    <m/>
    <m/>
    <m/>
    <m/>
    <m/>
    <m/>
    <m/>
    <m/>
    <e v="#REF!"/>
    <e v="#REF!"/>
    <e v="#REF!"/>
    <e v="#REF!"/>
    <e v="#REF!"/>
    <e v="#REF!"/>
    <e v="#REF!"/>
    <e v="#REF!"/>
    <e v="#REF!"/>
    <e v="#REF!"/>
    <m/>
    <m/>
    <m/>
    <n v="0"/>
    <m/>
    <m/>
    <m/>
    <m/>
    <m/>
    <m/>
    <m/>
    <s v="MMR015CMP006"/>
    <m/>
  </r>
  <r>
    <x v="156"/>
    <x v="19"/>
    <x v="8"/>
    <s v="IRC"/>
    <s v="Shan_North"/>
    <x v="13"/>
    <s v="Muse Baptist Church"/>
    <m/>
    <m/>
    <m/>
    <m/>
    <n v="60"/>
    <m/>
    <m/>
    <m/>
    <m/>
    <m/>
    <m/>
    <m/>
    <m/>
    <m/>
    <m/>
    <m/>
    <m/>
    <m/>
    <m/>
    <m/>
    <e v="#REF!"/>
    <e v="#REF!"/>
    <e v="#REF!"/>
    <e v="#REF!"/>
    <e v="#REF!"/>
    <e v="#REF!"/>
    <e v="#REF!"/>
    <e v="#REF!"/>
    <e v="#REF!"/>
    <e v="#REF!"/>
    <m/>
    <m/>
    <m/>
    <n v="0"/>
    <m/>
    <m/>
    <m/>
    <m/>
    <m/>
    <m/>
    <m/>
    <s v="MMR015CMP213"/>
    <m/>
  </r>
  <r>
    <x v="157"/>
    <x v="20"/>
    <x v="8"/>
    <s v="KMSS - Lashio"/>
    <s v="Shan_North"/>
    <x v="14"/>
    <s v="Nam Hkam - Nay Win Ni (Palawng)"/>
    <m/>
    <m/>
    <m/>
    <m/>
    <n v="52"/>
    <m/>
    <m/>
    <m/>
    <m/>
    <m/>
    <m/>
    <m/>
    <m/>
    <m/>
    <m/>
    <m/>
    <m/>
    <m/>
    <m/>
    <m/>
    <e v="#REF!"/>
    <e v="#REF!"/>
    <e v="#REF!"/>
    <e v="#REF!"/>
    <e v="#REF!"/>
    <e v="#REF!"/>
    <e v="#REF!"/>
    <e v="#REF!"/>
    <e v="#REF!"/>
    <e v="#REF!"/>
    <m/>
    <m/>
    <m/>
    <n v="0"/>
    <m/>
    <m/>
    <m/>
    <m/>
    <m/>
    <m/>
    <m/>
    <s v="MMR015CMP004"/>
    <m/>
  </r>
  <r>
    <x v="158"/>
    <x v="20"/>
    <x v="8"/>
    <s v="KMSS - Lashio"/>
    <s v="Kachin"/>
    <x v="2"/>
    <s v="Man Wing Baptist Church Cultural Compound"/>
    <m/>
    <m/>
    <m/>
    <m/>
    <n v="123"/>
    <m/>
    <m/>
    <m/>
    <m/>
    <m/>
    <m/>
    <m/>
    <m/>
    <m/>
    <m/>
    <m/>
    <m/>
    <m/>
    <m/>
    <m/>
    <e v="#REF!"/>
    <e v="#REF!"/>
    <e v="#REF!"/>
    <e v="#REF!"/>
    <e v="#REF!"/>
    <e v="#REF!"/>
    <e v="#REF!"/>
    <e v="#REF!"/>
    <e v="#REF!"/>
    <e v="#REF!"/>
    <m/>
    <m/>
    <m/>
    <n v="0"/>
    <m/>
    <m/>
    <m/>
    <m/>
    <m/>
    <m/>
    <m/>
    <s v="MMR001CMP230"/>
    <m/>
  </r>
  <r>
    <x v="159"/>
    <x v="20"/>
    <x v="8"/>
    <s v="KMSS - Lashio"/>
    <s v="Kachin"/>
    <x v="2"/>
    <s v="Man Wing Baptist Church"/>
    <m/>
    <m/>
    <m/>
    <m/>
    <n v="85"/>
    <m/>
    <m/>
    <m/>
    <m/>
    <m/>
    <m/>
    <m/>
    <m/>
    <m/>
    <m/>
    <m/>
    <m/>
    <m/>
    <m/>
    <m/>
    <e v="#REF!"/>
    <e v="#REF!"/>
    <e v="#REF!"/>
    <e v="#REF!"/>
    <e v="#REF!"/>
    <e v="#REF!"/>
    <e v="#REF!"/>
    <e v="#REF!"/>
    <e v="#REF!"/>
    <e v="#REF!"/>
    <m/>
    <m/>
    <m/>
    <n v="0"/>
    <m/>
    <m/>
    <m/>
    <m/>
    <m/>
    <m/>
    <m/>
    <s v="MMR001CMP133"/>
    <m/>
  </r>
  <r>
    <x v="160"/>
    <x v="20"/>
    <x v="8"/>
    <s v="IRC"/>
    <s v="Shan_North"/>
    <x v="9"/>
    <s v="Zup Aung Camp"/>
    <m/>
    <m/>
    <m/>
    <m/>
    <n v="200"/>
    <m/>
    <m/>
    <m/>
    <m/>
    <m/>
    <m/>
    <m/>
    <m/>
    <m/>
    <m/>
    <m/>
    <m/>
    <m/>
    <m/>
    <m/>
    <e v="#REF!"/>
    <e v="#REF!"/>
    <e v="#REF!"/>
    <e v="#REF!"/>
    <e v="#REF!"/>
    <e v="#REF!"/>
    <e v="#REF!"/>
    <e v="#REF!"/>
    <e v="#REF!"/>
    <e v="#REF!"/>
    <m/>
    <m/>
    <m/>
    <n v="0"/>
    <m/>
    <m/>
    <m/>
    <m/>
    <m/>
    <m/>
    <m/>
    <s v="MMR015CMP020"/>
    <m/>
  </r>
  <r>
    <x v="161"/>
    <x v="20"/>
    <x v="8"/>
    <s v="IRC"/>
    <s v="Shan_North"/>
    <x v="14"/>
    <s v="Nam Hkam (KBC Jaw Wang) II"/>
    <m/>
    <m/>
    <m/>
    <m/>
    <n v="82"/>
    <m/>
    <m/>
    <m/>
    <m/>
    <m/>
    <m/>
    <m/>
    <m/>
    <m/>
    <m/>
    <m/>
    <m/>
    <m/>
    <m/>
    <m/>
    <e v="#REF!"/>
    <e v="#REF!"/>
    <e v="#REF!"/>
    <e v="#REF!"/>
    <e v="#REF!"/>
    <e v="#REF!"/>
    <e v="#REF!"/>
    <e v="#REF!"/>
    <e v="#REF!"/>
    <e v="#REF!"/>
    <m/>
    <m/>
    <m/>
    <n v="0"/>
    <m/>
    <m/>
    <m/>
    <m/>
    <m/>
    <m/>
    <m/>
    <s v="MMR015CMP214"/>
    <m/>
  </r>
  <r>
    <x v="160"/>
    <x v="20"/>
    <x v="8"/>
    <s v="IRC"/>
    <s v="Shan_North"/>
    <x v="9"/>
    <s v="Nam Hkam (KBC Jaw Wang)"/>
    <m/>
    <m/>
    <m/>
    <m/>
    <n v="90"/>
    <m/>
    <m/>
    <m/>
    <m/>
    <m/>
    <m/>
    <m/>
    <m/>
    <m/>
    <m/>
    <m/>
    <m/>
    <m/>
    <m/>
    <m/>
    <e v="#REF!"/>
    <e v="#REF!"/>
    <e v="#REF!"/>
    <e v="#REF!"/>
    <e v="#REF!"/>
    <e v="#REF!"/>
    <e v="#REF!"/>
    <e v="#REF!"/>
    <e v="#REF!"/>
    <e v="#REF!"/>
    <m/>
    <m/>
    <m/>
    <n v="0"/>
    <m/>
    <m/>
    <m/>
    <m/>
    <m/>
    <m/>
    <m/>
    <s v="MMR015CMP001"/>
    <m/>
  </r>
  <r>
    <x v="157"/>
    <x v="20"/>
    <x v="8"/>
    <s v="IRC"/>
    <s v="Shan_North"/>
    <x v="9"/>
    <s v="Kutkai downtown (KBC Church)"/>
    <m/>
    <m/>
    <m/>
    <m/>
    <n v="66"/>
    <m/>
    <m/>
    <m/>
    <m/>
    <m/>
    <m/>
    <m/>
    <m/>
    <m/>
    <m/>
    <m/>
    <m/>
    <m/>
    <m/>
    <m/>
    <e v="#REF!"/>
    <e v="#REF!"/>
    <e v="#REF!"/>
    <e v="#REF!"/>
    <e v="#REF!"/>
    <e v="#REF!"/>
    <e v="#REF!"/>
    <e v="#REF!"/>
    <e v="#REF!"/>
    <e v="#REF!"/>
    <m/>
    <m/>
    <m/>
    <n v="0"/>
    <m/>
    <m/>
    <m/>
    <m/>
    <m/>
    <m/>
    <m/>
    <s v="MMR015CMP016"/>
    <m/>
  </r>
  <r>
    <x v="155"/>
    <x v="23"/>
    <x v="8"/>
    <s v="KMSS - Lashio"/>
    <s v="Shan_North"/>
    <x v="14"/>
    <s v="Nam Hkam (KBC Jaw Wang)"/>
    <m/>
    <m/>
    <m/>
    <m/>
    <n v="60"/>
    <m/>
    <m/>
    <m/>
    <m/>
    <m/>
    <m/>
    <m/>
    <m/>
    <m/>
    <m/>
    <m/>
    <m/>
    <m/>
    <m/>
    <m/>
    <e v="#REF!"/>
    <e v="#REF!"/>
    <e v="#REF!"/>
    <e v="#REF!"/>
    <e v="#REF!"/>
    <e v="#REF!"/>
    <e v="#REF!"/>
    <e v="#REF!"/>
    <e v="#REF!"/>
    <e v="#REF!"/>
    <m/>
    <m/>
    <m/>
    <n v="0"/>
    <m/>
    <m/>
    <m/>
    <m/>
    <m/>
    <m/>
    <m/>
    <s v="MMR015CMP001"/>
    <m/>
  </r>
  <r>
    <x v="162"/>
    <x v="23"/>
    <x v="8"/>
    <s v="IRC"/>
    <s v="Shan_North"/>
    <x v="9"/>
    <s v="Zup Aung Camp"/>
    <m/>
    <m/>
    <m/>
    <m/>
    <n v="151"/>
    <m/>
    <m/>
    <m/>
    <m/>
    <m/>
    <m/>
    <m/>
    <m/>
    <m/>
    <m/>
    <m/>
    <m/>
    <m/>
    <m/>
    <m/>
    <e v="#REF!"/>
    <e v="#REF!"/>
    <e v="#REF!"/>
    <e v="#REF!"/>
    <e v="#REF!"/>
    <e v="#REF!"/>
    <e v="#REF!"/>
    <e v="#REF!"/>
    <e v="#REF!"/>
    <e v="#REF!"/>
    <m/>
    <m/>
    <m/>
    <n v="0"/>
    <m/>
    <m/>
    <m/>
    <m/>
    <m/>
    <m/>
    <m/>
    <s v="MMR015CMP020"/>
    <m/>
  </r>
  <r>
    <x v="163"/>
    <x v="23"/>
    <x v="8"/>
    <s v="KMSS - Lashio"/>
    <s v="Shan_North"/>
    <x v="9"/>
    <s v="Mungji Pa Dabang (Baptist Church)         "/>
    <m/>
    <m/>
    <m/>
    <m/>
    <n v="33"/>
    <m/>
    <m/>
    <m/>
    <m/>
    <m/>
    <m/>
    <m/>
    <m/>
    <m/>
    <m/>
    <m/>
    <m/>
    <m/>
    <m/>
    <m/>
    <e v="#REF!"/>
    <e v="#REF!"/>
    <e v="#REF!"/>
    <e v="#REF!"/>
    <e v="#REF!"/>
    <e v="#REF!"/>
    <e v="#REF!"/>
    <e v="#REF!"/>
    <e v="#REF!"/>
    <e v="#REF!"/>
    <m/>
    <m/>
    <m/>
    <n v="0"/>
    <m/>
    <m/>
    <m/>
    <m/>
    <m/>
    <m/>
    <m/>
    <s v="MMR015CMP006"/>
    <m/>
  </r>
  <r>
    <x v="164"/>
    <x v="21"/>
    <x v="8"/>
    <s v="IRC"/>
    <s v="Shan_North"/>
    <x v="9"/>
    <s v="Kutkai downtown (KBC Church-2)"/>
    <m/>
    <m/>
    <m/>
    <m/>
    <n v="32"/>
    <m/>
    <m/>
    <m/>
    <m/>
    <m/>
    <m/>
    <m/>
    <m/>
    <m/>
    <m/>
    <m/>
    <m/>
    <m/>
    <m/>
    <m/>
    <e v="#REF!"/>
    <e v="#REF!"/>
    <e v="#REF!"/>
    <e v="#REF!"/>
    <e v="#REF!"/>
    <e v="#REF!"/>
    <e v="#REF!"/>
    <e v="#REF!"/>
    <e v="#REF!"/>
    <e v="#REF!"/>
    <m/>
    <m/>
    <m/>
    <n v="0"/>
    <m/>
    <m/>
    <m/>
    <m/>
    <m/>
    <m/>
    <m/>
    <s v="MMR015CMP245"/>
    <m/>
  </r>
  <r>
    <x v="165"/>
    <x v="20"/>
    <x v="8"/>
    <s v="IRC"/>
    <s v="Shan_North"/>
    <x v="9"/>
    <s v="Kutkai downtown (KBC Church-2)"/>
    <m/>
    <m/>
    <m/>
    <m/>
    <n v="32"/>
    <m/>
    <m/>
    <m/>
    <m/>
    <m/>
    <m/>
    <m/>
    <m/>
    <m/>
    <m/>
    <m/>
    <m/>
    <m/>
    <m/>
    <m/>
    <e v="#REF!"/>
    <e v="#REF!"/>
    <e v="#REF!"/>
    <e v="#REF!"/>
    <e v="#REF!"/>
    <e v="#REF!"/>
    <e v="#REF!"/>
    <e v="#REF!"/>
    <e v="#REF!"/>
    <e v="#REF!"/>
    <m/>
    <m/>
    <m/>
    <n v="0"/>
    <m/>
    <m/>
    <m/>
    <m/>
    <m/>
    <m/>
    <m/>
    <s v="MMR015CMP245"/>
    <m/>
  </r>
  <r>
    <x v="166"/>
    <x v="23"/>
    <x v="8"/>
    <s v="IRC"/>
    <s v="Shan_North"/>
    <x v="9"/>
    <s v="Kutkai downtown (KBC Church-2)"/>
    <m/>
    <m/>
    <m/>
    <m/>
    <n v="32"/>
    <m/>
    <m/>
    <m/>
    <m/>
    <m/>
    <m/>
    <m/>
    <m/>
    <m/>
    <m/>
    <m/>
    <m/>
    <m/>
    <m/>
    <m/>
    <e v="#REF!"/>
    <e v="#REF!"/>
    <e v="#REF!"/>
    <e v="#REF!"/>
    <e v="#REF!"/>
    <e v="#REF!"/>
    <e v="#REF!"/>
    <e v="#REF!"/>
    <e v="#REF!"/>
    <e v="#REF!"/>
    <m/>
    <m/>
    <m/>
    <n v="0"/>
    <m/>
    <m/>
    <m/>
    <m/>
    <m/>
    <m/>
    <m/>
    <s v="MMR015CMP245"/>
    <m/>
  </r>
  <r>
    <x v="167"/>
    <x v="21"/>
    <x v="8"/>
    <s v="KMSS - Lashio"/>
    <s v="Shan_North"/>
    <x v="14"/>
    <s v="Nam Hkam (KBC Jaw Wang)"/>
    <m/>
    <m/>
    <m/>
    <m/>
    <n v="114"/>
    <m/>
    <m/>
    <m/>
    <m/>
    <m/>
    <m/>
    <m/>
    <m/>
    <m/>
    <m/>
    <m/>
    <m/>
    <m/>
    <m/>
    <m/>
    <e v="#REF!"/>
    <e v="#REF!"/>
    <e v="#REF!"/>
    <e v="#REF!"/>
    <e v="#REF!"/>
    <e v="#REF!"/>
    <e v="#REF!"/>
    <e v="#REF!"/>
    <e v="#REF!"/>
    <e v="#REF!"/>
    <m/>
    <m/>
    <m/>
    <n v="0"/>
    <m/>
    <m/>
    <m/>
    <m/>
    <m/>
    <m/>
    <m/>
    <s v="MMR015CMP001"/>
    <m/>
  </r>
  <r>
    <x v="167"/>
    <x v="21"/>
    <x v="8"/>
    <s v="KMSS - Lashio"/>
    <s v="Shan_North"/>
    <x v="14"/>
    <s v="Nam Hkam - Nay Win Ni (Palawng)"/>
    <m/>
    <m/>
    <m/>
    <m/>
    <n v="73"/>
    <m/>
    <m/>
    <m/>
    <m/>
    <m/>
    <m/>
    <m/>
    <m/>
    <m/>
    <m/>
    <m/>
    <m/>
    <m/>
    <m/>
    <m/>
    <e v="#REF!"/>
    <e v="#REF!"/>
    <e v="#REF!"/>
    <e v="#REF!"/>
    <e v="#REF!"/>
    <e v="#REF!"/>
    <e v="#REF!"/>
    <e v="#REF!"/>
    <e v="#REF!"/>
    <e v="#REF!"/>
    <m/>
    <m/>
    <m/>
    <n v="0"/>
    <m/>
    <m/>
    <m/>
    <m/>
    <m/>
    <m/>
    <m/>
    <s v="MMR015CMP004"/>
    <m/>
  </r>
  <r>
    <x v="168"/>
    <x v="21"/>
    <x v="8"/>
    <s v="IRC"/>
    <s v="Shan_North"/>
    <x v="13"/>
    <s v="Muse Baptist Church"/>
    <m/>
    <m/>
    <m/>
    <m/>
    <n v="20"/>
    <m/>
    <m/>
    <m/>
    <m/>
    <m/>
    <m/>
    <m/>
    <m/>
    <m/>
    <m/>
    <m/>
    <m/>
    <m/>
    <m/>
    <m/>
    <e v="#REF!"/>
    <e v="#REF!"/>
    <e v="#REF!"/>
    <e v="#REF!"/>
    <e v="#REF!"/>
    <e v="#REF!"/>
    <e v="#REF!"/>
    <e v="#REF!"/>
    <e v="#REF!"/>
    <e v="#REF!"/>
    <m/>
    <m/>
    <m/>
    <n v="0"/>
    <m/>
    <m/>
    <m/>
    <m/>
    <m/>
    <m/>
    <m/>
    <s v="MMR015CMP213"/>
    <m/>
  </r>
  <r>
    <x v="169"/>
    <x v="21"/>
    <x v="8"/>
    <s v="IRC"/>
    <s v="Shan_North"/>
    <x v="9"/>
    <s v="Mai Yu Lay New (Ta'ang)"/>
    <m/>
    <m/>
    <m/>
    <m/>
    <n v="9"/>
    <m/>
    <m/>
    <m/>
    <m/>
    <m/>
    <m/>
    <m/>
    <m/>
    <m/>
    <m/>
    <m/>
    <m/>
    <m/>
    <m/>
    <m/>
    <e v="#REF!"/>
    <e v="#REF!"/>
    <e v="#REF!"/>
    <e v="#REF!"/>
    <e v="#REF!"/>
    <e v="#REF!"/>
    <e v="#REF!"/>
    <e v="#REF!"/>
    <e v="#REF!"/>
    <e v="#REF!"/>
    <m/>
    <m/>
    <m/>
    <n v="0"/>
    <m/>
    <m/>
    <m/>
    <m/>
    <m/>
    <m/>
    <m/>
    <s v="MMR015CMP220"/>
    <m/>
  </r>
  <r>
    <x v="153"/>
    <x v="21"/>
    <x v="8"/>
    <s v="IRC"/>
    <s v="Shan_North"/>
    <x v="14"/>
    <s v="Namhkan - Pang Long KBC"/>
    <m/>
    <m/>
    <m/>
    <m/>
    <n v="59"/>
    <m/>
    <m/>
    <m/>
    <m/>
    <m/>
    <m/>
    <m/>
    <m/>
    <m/>
    <m/>
    <m/>
    <m/>
    <m/>
    <m/>
    <m/>
    <e v="#REF!"/>
    <e v="#REF!"/>
    <e v="#REF!"/>
    <e v="#REF!"/>
    <e v="#REF!"/>
    <e v="#REF!"/>
    <e v="#REF!"/>
    <e v="#REF!"/>
    <e v="#REF!"/>
    <e v="#REF!"/>
    <m/>
    <m/>
    <m/>
    <n v="0"/>
    <m/>
    <m/>
    <m/>
    <m/>
    <m/>
    <m/>
    <m/>
    <s v="MMR015CMP215"/>
    <m/>
  </r>
  <r>
    <x v="168"/>
    <x v="21"/>
    <x v="8"/>
    <s v="IRC"/>
    <s v="Shan_North"/>
    <x v="22"/>
    <s v="West Kachin Baptist Church"/>
    <m/>
    <m/>
    <m/>
    <m/>
    <m/>
    <m/>
    <m/>
    <m/>
    <m/>
    <m/>
    <m/>
    <m/>
    <m/>
    <m/>
    <m/>
    <m/>
    <m/>
    <m/>
    <m/>
    <m/>
    <e v="#REF!"/>
    <e v="#REF!"/>
    <e v="#REF!"/>
    <e v="#REF!"/>
    <e v="#REF!"/>
    <e v="#REF!"/>
    <e v="#REF!"/>
    <e v="#REF!"/>
    <e v="#REF!"/>
    <e v="#REF!"/>
    <m/>
    <m/>
    <m/>
    <n v="0"/>
    <m/>
    <m/>
    <m/>
    <m/>
    <m/>
    <m/>
    <m/>
    <s v=""/>
    <m/>
  </r>
  <r>
    <x v="170"/>
    <x v="24"/>
    <x v="16"/>
    <m/>
    <s v="Shan_North"/>
    <x v="9"/>
    <s v="Man Loi"/>
    <n v="22"/>
    <m/>
    <m/>
    <m/>
    <m/>
    <m/>
    <m/>
    <m/>
    <m/>
    <m/>
    <m/>
    <n v="46"/>
    <m/>
    <m/>
    <m/>
    <n v="46"/>
    <m/>
    <n v="23"/>
    <m/>
    <m/>
    <e v="#REF!"/>
    <e v="#REF!"/>
    <e v="#REF!"/>
    <e v="#REF!"/>
    <e v="#REF!"/>
    <e v="#REF!"/>
    <e v="#REF!"/>
    <e v="#REF!"/>
    <e v="#REF!"/>
    <e v="#REF!"/>
    <m/>
    <m/>
    <m/>
    <n v="1"/>
    <m/>
    <m/>
    <m/>
    <m/>
    <m/>
    <m/>
    <m/>
    <s v="MMR015CMP246"/>
    <m/>
  </r>
  <r>
    <x v="170"/>
    <x v="24"/>
    <x v="16"/>
    <m/>
    <s v="Shan_North"/>
    <x v="9"/>
    <s v="Nam Hpak Ka Mare "/>
    <n v="36"/>
    <m/>
    <m/>
    <m/>
    <m/>
    <m/>
    <m/>
    <m/>
    <m/>
    <m/>
    <m/>
    <n v="72"/>
    <m/>
    <m/>
    <m/>
    <n v="72"/>
    <m/>
    <n v="36"/>
    <m/>
    <m/>
    <e v="#REF!"/>
    <e v="#REF!"/>
    <e v="#REF!"/>
    <e v="#REF!"/>
    <e v="#REF!"/>
    <e v="#REF!"/>
    <e v="#REF!"/>
    <e v="#REF!"/>
    <e v="#REF!"/>
    <e v="#REF!"/>
    <m/>
    <m/>
    <m/>
    <n v="1"/>
    <m/>
    <m/>
    <m/>
    <m/>
    <m/>
    <m/>
    <m/>
    <s v="MMR015CMP007"/>
    <m/>
  </r>
  <r>
    <x v="170"/>
    <x v="24"/>
    <x v="16"/>
    <m/>
    <s v="Shan_North"/>
    <x v="9"/>
    <s v="Nam Hpak Ka Ta'ang ( Aung Tha Pyay)"/>
    <n v="57"/>
    <m/>
    <m/>
    <m/>
    <m/>
    <m/>
    <m/>
    <m/>
    <m/>
    <m/>
    <m/>
    <n v="114"/>
    <m/>
    <m/>
    <m/>
    <n v="114"/>
    <m/>
    <n v="57"/>
    <m/>
    <m/>
    <e v="#REF!"/>
    <e v="#REF!"/>
    <e v="#REF!"/>
    <e v="#REF!"/>
    <e v="#REF!"/>
    <e v="#REF!"/>
    <e v="#REF!"/>
    <e v="#REF!"/>
    <e v="#REF!"/>
    <e v="#REF!"/>
    <m/>
    <m/>
    <m/>
    <n v="1"/>
    <m/>
    <m/>
    <m/>
    <m/>
    <m/>
    <m/>
    <m/>
    <s v="MMR015CMP225"/>
    <m/>
  </r>
  <r>
    <x v="170"/>
    <x v="24"/>
    <x v="16"/>
    <m/>
    <s v="Shan_North"/>
    <x v="13"/>
    <s v="Hpai Kawng"/>
    <n v="149"/>
    <m/>
    <m/>
    <m/>
    <m/>
    <m/>
    <m/>
    <m/>
    <m/>
    <m/>
    <m/>
    <n v="306"/>
    <m/>
    <m/>
    <m/>
    <n v="306"/>
    <m/>
    <n v="153"/>
    <m/>
    <m/>
    <e v="#REF!"/>
    <e v="#REF!"/>
    <e v="#REF!"/>
    <e v="#REF!"/>
    <e v="#REF!"/>
    <e v="#REF!"/>
    <e v="#REF!"/>
    <e v="#REF!"/>
    <e v="#REF!"/>
    <e v="#REF!"/>
    <m/>
    <m/>
    <m/>
    <n v="1"/>
    <m/>
    <m/>
    <m/>
    <m/>
    <m/>
    <m/>
    <m/>
    <s v="MMR015CMP247"/>
    <m/>
  </r>
  <r>
    <x v="170"/>
    <x v="24"/>
    <x v="16"/>
    <m/>
    <s v="Shan_North"/>
    <x v="9"/>
    <s v="Nam Hpat Kar (Host Community) "/>
    <n v="67"/>
    <m/>
    <m/>
    <m/>
    <m/>
    <m/>
    <m/>
    <m/>
    <m/>
    <m/>
    <m/>
    <n v="134"/>
    <m/>
    <m/>
    <m/>
    <n v="134"/>
    <m/>
    <n v="67"/>
    <m/>
    <m/>
    <e v="#REF!"/>
    <e v="#REF!"/>
    <e v="#REF!"/>
    <e v="#REF!"/>
    <e v="#REF!"/>
    <e v="#REF!"/>
    <e v="#REF!"/>
    <e v="#REF!"/>
    <e v="#REF!"/>
    <e v="#REF!"/>
    <m/>
    <m/>
    <m/>
    <n v="1"/>
    <m/>
    <m/>
    <m/>
    <m/>
    <m/>
    <m/>
    <m/>
    <s v=""/>
    <m/>
  </r>
  <r>
    <x v="170"/>
    <x v="24"/>
    <x v="16"/>
    <m/>
    <s v="Shan_North"/>
    <x v="11"/>
    <s v="Nam Tu Baptist"/>
    <n v="40"/>
    <m/>
    <m/>
    <m/>
    <m/>
    <m/>
    <m/>
    <m/>
    <m/>
    <m/>
    <m/>
    <n v="80"/>
    <m/>
    <m/>
    <m/>
    <n v="80"/>
    <m/>
    <n v="40"/>
    <m/>
    <m/>
    <e v="#REF!"/>
    <e v="#REF!"/>
    <e v="#REF!"/>
    <e v="#REF!"/>
    <e v="#REF!"/>
    <e v="#REF!"/>
    <e v="#REF!"/>
    <e v="#REF!"/>
    <e v="#REF!"/>
    <e v="#REF!"/>
    <m/>
    <m/>
    <m/>
    <n v="1"/>
    <m/>
    <m/>
    <m/>
    <m/>
    <m/>
    <m/>
    <m/>
    <s v="MMR015CMP014"/>
    <m/>
  </r>
  <r>
    <x v="170"/>
    <x v="24"/>
    <x v="16"/>
    <m/>
    <s v="Shan_North"/>
    <x v="11"/>
    <s v="Kyu Sot"/>
    <n v="62"/>
    <m/>
    <m/>
    <m/>
    <m/>
    <m/>
    <m/>
    <m/>
    <m/>
    <m/>
    <m/>
    <n v="126"/>
    <m/>
    <m/>
    <m/>
    <n v="126"/>
    <m/>
    <n v="63"/>
    <m/>
    <m/>
    <e v="#REF!"/>
    <e v="#REF!"/>
    <e v="#REF!"/>
    <e v="#REF!"/>
    <e v="#REF!"/>
    <e v="#REF!"/>
    <e v="#REF!"/>
    <e v="#REF!"/>
    <e v="#REF!"/>
    <e v="#REF!"/>
    <m/>
    <m/>
    <m/>
    <n v="1"/>
    <m/>
    <m/>
    <m/>
    <m/>
    <m/>
    <m/>
    <m/>
    <s v="MMR015CMP248"/>
    <m/>
  </r>
  <r>
    <x v="170"/>
    <x v="24"/>
    <x v="16"/>
    <m/>
    <s v="Shan_North"/>
    <x v="11"/>
    <s v="Lisu Church Namtu"/>
    <n v="29"/>
    <m/>
    <m/>
    <m/>
    <m/>
    <m/>
    <m/>
    <m/>
    <m/>
    <m/>
    <m/>
    <n v="60"/>
    <m/>
    <m/>
    <m/>
    <n v="60"/>
    <m/>
    <n v="30"/>
    <m/>
    <m/>
    <e v="#REF!"/>
    <e v="#REF!"/>
    <e v="#REF!"/>
    <e v="#REF!"/>
    <e v="#REF!"/>
    <e v="#REF!"/>
    <e v="#REF!"/>
    <e v="#REF!"/>
    <e v="#REF!"/>
    <e v="#REF!"/>
    <m/>
    <m/>
    <m/>
    <n v="1"/>
    <m/>
    <m/>
    <m/>
    <m/>
    <m/>
    <m/>
    <m/>
    <s v="MMR015CMP232"/>
    <m/>
  </r>
  <r>
    <x v="170"/>
    <x v="24"/>
    <x v="16"/>
    <m/>
    <s v="Shan_North"/>
    <x v="22"/>
    <s v="Than Lwin host community"/>
    <n v="14"/>
    <m/>
    <m/>
    <m/>
    <m/>
    <m/>
    <m/>
    <m/>
    <m/>
    <m/>
    <m/>
    <n v="40"/>
    <m/>
    <m/>
    <m/>
    <n v="40"/>
    <m/>
    <n v="20"/>
    <m/>
    <m/>
    <e v="#REF!"/>
    <e v="#REF!"/>
    <e v="#REF!"/>
    <e v="#REF!"/>
    <e v="#REF!"/>
    <e v="#REF!"/>
    <e v="#REF!"/>
    <e v="#REF!"/>
    <e v="#REF!"/>
    <e v="#REF!"/>
    <m/>
    <m/>
    <m/>
    <n v="1"/>
    <m/>
    <m/>
    <m/>
    <m/>
    <m/>
    <m/>
    <m/>
    <s v=""/>
    <m/>
  </r>
  <r>
    <x v="170"/>
    <x v="24"/>
    <x v="16"/>
    <m/>
    <s v="Shan_North"/>
    <x v="22"/>
    <s v="Than Lwin resettlement"/>
    <n v="51"/>
    <m/>
    <m/>
    <m/>
    <m/>
    <m/>
    <m/>
    <m/>
    <m/>
    <m/>
    <m/>
    <n v="96"/>
    <m/>
    <m/>
    <m/>
    <n v="96"/>
    <m/>
    <n v="48"/>
    <m/>
    <m/>
    <e v="#REF!"/>
    <e v="#REF!"/>
    <e v="#REF!"/>
    <e v="#REF!"/>
    <e v="#REF!"/>
    <e v="#REF!"/>
    <e v="#REF!"/>
    <e v="#REF!"/>
    <e v="#REF!"/>
    <e v="#REF!"/>
    <m/>
    <m/>
    <m/>
    <n v="1"/>
    <m/>
    <m/>
    <m/>
    <m/>
    <m/>
    <m/>
    <m/>
    <s v=""/>
    <m/>
  </r>
  <r>
    <x v="170"/>
    <x v="24"/>
    <x v="16"/>
    <m/>
    <s v="Shan_North"/>
    <x v="9"/>
    <s v="Mungji Pa Dabang (Baptist Church)         "/>
    <n v="37"/>
    <m/>
    <m/>
    <m/>
    <m/>
    <m/>
    <m/>
    <m/>
    <m/>
    <m/>
    <m/>
    <n v="78"/>
    <m/>
    <m/>
    <m/>
    <n v="78"/>
    <m/>
    <n v="39"/>
    <m/>
    <m/>
    <e v="#REF!"/>
    <e v="#REF!"/>
    <e v="#REF!"/>
    <e v="#REF!"/>
    <e v="#REF!"/>
    <e v="#REF!"/>
    <e v="#REF!"/>
    <e v="#REF!"/>
    <e v="#REF!"/>
    <e v="#REF!"/>
    <m/>
    <m/>
    <m/>
    <n v="1"/>
    <m/>
    <m/>
    <m/>
    <m/>
    <m/>
    <m/>
    <m/>
    <s v="MMR015CMP006"/>
    <m/>
  </r>
  <r>
    <x v="170"/>
    <x v="24"/>
    <x v="16"/>
    <m/>
    <s v="Shan_North"/>
    <x v="9"/>
    <s v="Mungji Pa Dabang (Catholic Church)"/>
    <n v="19"/>
    <m/>
    <m/>
    <m/>
    <m/>
    <m/>
    <m/>
    <m/>
    <m/>
    <m/>
    <m/>
    <n v="42"/>
    <m/>
    <m/>
    <m/>
    <n v="42"/>
    <m/>
    <n v="21"/>
    <m/>
    <m/>
    <e v="#REF!"/>
    <e v="#REF!"/>
    <e v="#REF!"/>
    <e v="#REF!"/>
    <e v="#REF!"/>
    <e v="#REF!"/>
    <e v="#REF!"/>
    <e v="#REF!"/>
    <e v="#REF!"/>
    <e v="#REF!"/>
    <m/>
    <m/>
    <m/>
    <n v="1"/>
    <m/>
    <m/>
    <m/>
    <m/>
    <m/>
    <m/>
    <m/>
    <s v="MMR015CMP217"/>
    <m/>
  </r>
  <r>
    <x v="170"/>
    <x v="24"/>
    <x v="16"/>
    <m/>
    <s v="Shan_North"/>
    <x v="9"/>
    <s v="Zup Aung Camp"/>
    <n v="174"/>
    <m/>
    <m/>
    <m/>
    <m/>
    <m/>
    <m/>
    <m/>
    <m/>
    <m/>
    <m/>
    <n v="482"/>
    <m/>
    <m/>
    <m/>
    <n v="482"/>
    <m/>
    <n v="241"/>
    <m/>
    <m/>
    <e v="#REF!"/>
    <e v="#REF!"/>
    <e v="#REF!"/>
    <e v="#REF!"/>
    <e v="#REF!"/>
    <e v="#REF!"/>
    <e v="#REF!"/>
    <e v="#REF!"/>
    <e v="#REF!"/>
    <e v="#REF!"/>
    <m/>
    <m/>
    <m/>
    <n v="1"/>
    <m/>
    <m/>
    <m/>
    <m/>
    <m/>
    <m/>
    <m/>
    <s v="MMR015CMP020"/>
    <m/>
  </r>
  <r>
    <x v="170"/>
    <x v="24"/>
    <x v="16"/>
    <m/>
    <s v="Shan_North"/>
    <x v="9"/>
    <s v="Galeng (Palaung) &amp; Kone Khem"/>
    <n v="66"/>
    <m/>
    <m/>
    <m/>
    <m/>
    <m/>
    <m/>
    <m/>
    <m/>
    <m/>
    <m/>
    <n v="142"/>
    <m/>
    <m/>
    <m/>
    <n v="142"/>
    <m/>
    <n v="71"/>
    <m/>
    <m/>
    <e v="#REF!"/>
    <e v="#REF!"/>
    <e v="#REF!"/>
    <e v="#REF!"/>
    <e v="#REF!"/>
    <e v="#REF!"/>
    <e v="#REF!"/>
    <e v="#REF!"/>
    <e v="#REF!"/>
    <e v="#REF!"/>
    <m/>
    <m/>
    <m/>
    <n v="1"/>
    <m/>
    <m/>
    <m/>
    <m/>
    <m/>
    <m/>
    <m/>
    <s v="MMR015CMP212"/>
    <m/>
  </r>
  <r>
    <x v="170"/>
    <x v="24"/>
    <x v="16"/>
    <m/>
    <s v="Shan_North"/>
    <x v="9"/>
    <s v="New Pang Ku "/>
    <n v="103"/>
    <m/>
    <m/>
    <m/>
    <m/>
    <m/>
    <m/>
    <m/>
    <m/>
    <m/>
    <m/>
    <n v="208"/>
    <m/>
    <m/>
    <m/>
    <n v="208"/>
    <m/>
    <n v="104"/>
    <m/>
    <m/>
    <e v="#REF!"/>
    <e v="#REF!"/>
    <e v="#REF!"/>
    <e v="#REF!"/>
    <e v="#REF!"/>
    <e v="#REF!"/>
    <e v="#REF!"/>
    <e v="#REF!"/>
    <e v="#REF!"/>
    <e v="#REF!"/>
    <m/>
    <m/>
    <m/>
    <n v="1"/>
    <m/>
    <m/>
    <m/>
    <m/>
    <m/>
    <m/>
    <m/>
    <s v="MMR015CMP219"/>
    <m/>
  </r>
  <r>
    <x v="170"/>
    <x v="24"/>
    <x v="16"/>
    <m/>
    <s v="Shan_North"/>
    <x v="9"/>
    <s v="Kutkai downtown (KBC Church)"/>
    <n v="53"/>
    <m/>
    <m/>
    <m/>
    <m/>
    <m/>
    <m/>
    <m/>
    <m/>
    <m/>
    <m/>
    <n v="106"/>
    <m/>
    <m/>
    <m/>
    <n v="106"/>
    <m/>
    <n v="53"/>
    <m/>
    <m/>
    <e v="#REF!"/>
    <e v="#REF!"/>
    <e v="#REF!"/>
    <e v="#REF!"/>
    <e v="#REF!"/>
    <e v="#REF!"/>
    <e v="#REF!"/>
    <e v="#REF!"/>
    <e v="#REF!"/>
    <e v="#REF!"/>
    <m/>
    <m/>
    <m/>
    <n v="1"/>
    <m/>
    <m/>
    <m/>
    <m/>
    <m/>
    <m/>
    <m/>
    <s v="MMR015CMP016"/>
    <m/>
  </r>
  <r>
    <x v="170"/>
    <x v="24"/>
    <x v="16"/>
    <m/>
    <s v="Shan_North"/>
    <x v="9"/>
    <s v="Kutkai downtown (KBC Church-2)"/>
    <n v="35"/>
    <m/>
    <m/>
    <m/>
    <m/>
    <m/>
    <m/>
    <m/>
    <m/>
    <m/>
    <m/>
    <n v="70"/>
    <m/>
    <m/>
    <m/>
    <n v="70"/>
    <m/>
    <n v="35"/>
    <m/>
    <m/>
    <e v="#REF!"/>
    <e v="#REF!"/>
    <e v="#REF!"/>
    <e v="#REF!"/>
    <e v="#REF!"/>
    <e v="#REF!"/>
    <e v="#REF!"/>
    <e v="#REF!"/>
    <e v="#REF!"/>
    <e v="#REF!"/>
    <m/>
    <m/>
    <m/>
    <n v="1"/>
    <m/>
    <m/>
    <m/>
    <m/>
    <m/>
    <m/>
    <m/>
    <s v="MMR015CMP245"/>
    <m/>
  </r>
  <r>
    <x v="170"/>
    <x v="24"/>
    <x v="16"/>
    <m/>
    <s v="Shan_North"/>
    <x v="9"/>
    <s v="Kutkai downtown (RC Church)"/>
    <n v="28"/>
    <m/>
    <m/>
    <m/>
    <m/>
    <m/>
    <m/>
    <m/>
    <m/>
    <m/>
    <m/>
    <n v="56"/>
    <m/>
    <m/>
    <m/>
    <n v="56"/>
    <m/>
    <n v="28"/>
    <m/>
    <m/>
    <e v="#REF!"/>
    <e v="#REF!"/>
    <e v="#REF!"/>
    <e v="#REF!"/>
    <e v="#REF!"/>
    <e v="#REF!"/>
    <e v="#REF!"/>
    <e v="#REF!"/>
    <e v="#REF!"/>
    <e v="#REF!"/>
    <m/>
    <m/>
    <m/>
    <n v="1"/>
    <m/>
    <m/>
    <m/>
    <m/>
    <m/>
    <m/>
    <m/>
    <s v="MMR015CMP017"/>
    <m/>
  </r>
  <r>
    <x v="170"/>
    <x v="24"/>
    <x v="16"/>
    <m/>
    <s v="Shan_North"/>
    <x v="10"/>
    <s v="Nam Sa Larp"/>
    <n v="32"/>
    <m/>
    <m/>
    <m/>
    <m/>
    <m/>
    <m/>
    <m/>
    <m/>
    <m/>
    <m/>
    <n v="64"/>
    <m/>
    <m/>
    <m/>
    <n v="64"/>
    <m/>
    <n v="32"/>
    <m/>
    <m/>
    <e v="#REF!"/>
    <e v="#REF!"/>
    <e v="#REF!"/>
    <e v="#REF!"/>
    <e v="#REF!"/>
    <e v="#REF!"/>
    <e v="#REF!"/>
    <e v="#REF!"/>
    <e v="#REF!"/>
    <e v="#REF!"/>
    <m/>
    <m/>
    <m/>
    <n v="1"/>
    <m/>
    <m/>
    <m/>
    <m/>
    <m/>
    <m/>
    <m/>
    <s v="MMR015CMP218"/>
    <m/>
  </r>
  <r>
    <x v="170"/>
    <x v="24"/>
    <x v="16"/>
    <m/>
    <s v="Shan_North"/>
    <x v="9"/>
    <s v="Mai Yu Lay New (Ta'ang)"/>
    <m/>
    <m/>
    <m/>
    <m/>
    <m/>
    <m/>
    <m/>
    <m/>
    <m/>
    <m/>
    <m/>
    <n v="170"/>
    <m/>
    <m/>
    <m/>
    <n v="170"/>
    <m/>
    <n v="85"/>
    <m/>
    <m/>
    <e v="#REF!"/>
    <e v="#REF!"/>
    <e v="#REF!"/>
    <e v="#REF!"/>
    <e v="#REF!"/>
    <e v="#REF!"/>
    <e v="#REF!"/>
    <e v="#REF!"/>
    <e v="#REF!"/>
    <e v="#REF!"/>
    <m/>
    <m/>
    <m/>
    <n v="1"/>
    <m/>
    <m/>
    <m/>
    <m/>
    <m/>
    <m/>
    <m/>
    <s v="MMR015CMP220"/>
    <m/>
  </r>
  <r>
    <x v="170"/>
    <x v="24"/>
    <x v="16"/>
    <m/>
    <s v="Shan_North"/>
    <x v="9"/>
    <s v="Mine Yu Lay village ( Old)"/>
    <m/>
    <m/>
    <m/>
    <m/>
    <m/>
    <m/>
    <m/>
    <m/>
    <m/>
    <m/>
    <m/>
    <n v="152"/>
    <m/>
    <m/>
    <m/>
    <n v="152"/>
    <m/>
    <n v="76"/>
    <m/>
    <m/>
    <e v="#REF!"/>
    <e v="#REF!"/>
    <e v="#REF!"/>
    <e v="#REF!"/>
    <e v="#REF!"/>
    <e v="#REF!"/>
    <e v="#REF!"/>
    <e v="#REF!"/>
    <e v="#REF!"/>
    <e v="#REF!"/>
    <m/>
    <m/>
    <m/>
    <n v="1"/>
    <m/>
    <m/>
    <m/>
    <m/>
    <m/>
    <m/>
    <m/>
    <s v="MMR015CMP018"/>
    <m/>
  </r>
  <r>
    <x v="170"/>
    <x v="24"/>
    <x v="16"/>
    <m/>
    <s v="Shan_North"/>
    <x v="9"/>
    <s v="Hoe Hkho  (Resettlement)"/>
    <m/>
    <m/>
    <m/>
    <m/>
    <m/>
    <m/>
    <m/>
    <m/>
    <m/>
    <m/>
    <m/>
    <n v="64"/>
    <m/>
    <m/>
    <m/>
    <n v="64"/>
    <m/>
    <n v="32"/>
    <m/>
    <m/>
    <e v="#REF!"/>
    <e v="#REF!"/>
    <e v="#REF!"/>
    <e v="#REF!"/>
    <e v="#REF!"/>
    <e v="#REF!"/>
    <e v="#REF!"/>
    <e v="#REF!"/>
    <e v="#REF!"/>
    <e v="#REF!"/>
    <m/>
    <m/>
    <m/>
    <n v="1"/>
    <m/>
    <m/>
    <m/>
    <m/>
    <m/>
    <m/>
    <m/>
    <s v=""/>
    <m/>
  </r>
  <r>
    <x v="170"/>
    <x v="24"/>
    <x v="16"/>
    <m/>
    <s v="Shan_North"/>
    <x v="9"/>
    <s v="Kone Sone village (Host Community)"/>
    <m/>
    <m/>
    <m/>
    <m/>
    <m/>
    <m/>
    <m/>
    <m/>
    <m/>
    <m/>
    <m/>
    <n v="262"/>
    <m/>
    <m/>
    <m/>
    <n v="262"/>
    <m/>
    <n v="131"/>
    <m/>
    <m/>
    <e v="#REF!"/>
    <e v="#REF!"/>
    <e v="#REF!"/>
    <e v="#REF!"/>
    <e v="#REF!"/>
    <e v="#REF!"/>
    <e v="#REF!"/>
    <e v="#REF!"/>
    <e v="#REF!"/>
    <e v="#REF!"/>
    <m/>
    <m/>
    <m/>
    <n v="1"/>
    <m/>
    <m/>
    <m/>
    <m/>
    <m/>
    <m/>
    <m/>
    <s v=""/>
    <m/>
  </r>
  <r>
    <x v="170"/>
    <x v="24"/>
    <x v="16"/>
    <m/>
    <s v="Shan_North"/>
    <x v="9"/>
    <s v="Mong Yu Lay (Host Community)"/>
    <m/>
    <m/>
    <m/>
    <m/>
    <m/>
    <m/>
    <m/>
    <m/>
    <m/>
    <m/>
    <m/>
    <n v="200"/>
    <m/>
    <m/>
    <m/>
    <n v="200"/>
    <m/>
    <n v="100"/>
    <m/>
    <m/>
    <e v="#REF!"/>
    <e v="#REF!"/>
    <e v="#REF!"/>
    <e v="#REF!"/>
    <e v="#REF!"/>
    <e v="#REF!"/>
    <e v="#REF!"/>
    <e v="#REF!"/>
    <e v="#REF!"/>
    <e v="#REF!"/>
    <m/>
    <m/>
    <m/>
    <n v="1"/>
    <m/>
    <m/>
    <m/>
    <m/>
    <m/>
    <m/>
    <m/>
    <s v=""/>
    <m/>
  </r>
  <r>
    <x v="170"/>
    <x v="24"/>
    <x v="16"/>
    <m/>
    <s v="Shan_North"/>
    <x v="9"/>
    <s v="Long Kan village"/>
    <m/>
    <m/>
    <m/>
    <m/>
    <m/>
    <m/>
    <m/>
    <m/>
    <m/>
    <m/>
    <m/>
    <n v="268"/>
    <m/>
    <m/>
    <m/>
    <n v="268"/>
    <m/>
    <n v="134"/>
    <m/>
    <m/>
    <e v="#REF!"/>
    <e v="#REF!"/>
    <e v="#REF!"/>
    <e v="#REF!"/>
    <e v="#REF!"/>
    <e v="#REF!"/>
    <e v="#REF!"/>
    <e v="#REF!"/>
    <e v="#REF!"/>
    <e v="#REF!"/>
    <m/>
    <m/>
    <m/>
    <n v="1"/>
    <m/>
    <m/>
    <m/>
    <m/>
    <m/>
    <m/>
    <m/>
    <s v=""/>
    <m/>
  </r>
  <r>
    <x v="170"/>
    <x v="24"/>
    <x v="16"/>
    <m/>
    <s v="Shan_North"/>
    <x v="9"/>
    <s v="Pan Law"/>
    <m/>
    <m/>
    <m/>
    <m/>
    <m/>
    <m/>
    <m/>
    <m/>
    <m/>
    <m/>
    <m/>
    <n v="72"/>
    <m/>
    <m/>
    <m/>
    <n v="72"/>
    <m/>
    <n v="36"/>
    <m/>
    <m/>
    <e v="#REF!"/>
    <e v="#REF!"/>
    <e v="#REF!"/>
    <e v="#REF!"/>
    <e v="#REF!"/>
    <e v="#REF!"/>
    <e v="#REF!"/>
    <e v="#REF!"/>
    <e v="#REF!"/>
    <e v="#REF!"/>
    <m/>
    <m/>
    <m/>
    <n v="1"/>
    <m/>
    <m/>
    <m/>
    <m/>
    <m/>
    <m/>
    <m/>
    <s v="MMR015CMP249"/>
    <m/>
  </r>
  <r>
    <x v="170"/>
    <x v="24"/>
    <x v="16"/>
    <m/>
    <s v="Shan_North"/>
    <x v="23"/>
    <s v="HaiPa  and Kong Nim (Mai Shu)"/>
    <m/>
    <m/>
    <m/>
    <m/>
    <m/>
    <m/>
    <m/>
    <m/>
    <m/>
    <m/>
    <m/>
    <n v="130"/>
    <m/>
    <m/>
    <m/>
    <n v="130"/>
    <m/>
    <n v="65"/>
    <m/>
    <m/>
    <e v="#REF!"/>
    <e v="#REF!"/>
    <e v="#REF!"/>
    <e v="#REF!"/>
    <e v="#REF!"/>
    <e v="#REF!"/>
    <e v="#REF!"/>
    <e v="#REF!"/>
    <e v="#REF!"/>
    <e v="#REF!"/>
    <m/>
    <m/>
    <m/>
    <n v="1"/>
    <m/>
    <m/>
    <m/>
    <m/>
    <m/>
    <m/>
    <m/>
    <s v=""/>
    <m/>
  </r>
  <r>
    <x v="170"/>
    <x v="24"/>
    <x v="16"/>
    <m/>
    <s v="Shan_North"/>
    <x v="23"/>
    <s v="Nam Pa Moon (Mai Shu)"/>
    <m/>
    <m/>
    <m/>
    <m/>
    <m/>
    <m/>
    <m/>
    <m/>
    <m/>
    <m/>
    <m/>
    <n v="138"/>
    <m/>
    <m/>
    <m/>
    <n v="138"/>
    <m/>
    <n v="69"/>
    <m/>
    <m/>
    <e v="#REF!"/>
    <e v="#REF!"/>
    <e v="#REF!"/>
    <e v="#REF!"/>
    <e v="#REF!"/>
    <e v="#REF!"/>
    <e v="#REF!"/>
    <e v="#REF!"/>
    <e v="#REF!"/>
    <e v="#REF!"/>
    <m/>
    <m/>
    <m/>
    <n v="1"/>
    <m/>
    <m/>
    <m/>
    <m/>
    <m/>
    <m/>
    <m/>
    <s v=""/>
    <m/>
  </r>
  <r>
    <x v="170"/>
    <x v="24"/>
    <x v="16"/>
    <m/>
    <s v="Shan_North"/>
    <x v="24"/>
    <s v="His Aw Camp"/>
    <m/>
    <m/>
    <m/>
    <m/>
    <m/>
    <m/>
    <m/>
    <m/>
    <m/>
    <m/>
    <m/>
    <n v="174"/>
    <m/>
    <m/>
    <m/>
    <n v="174"/>
    <m/>
    <n v="87"/>
    <m/>
    <m/>
    <e v="#REF!"/>
    <e v="#REF!"/>
    <e v="#REF!"/>
    <e v="#REF!"/>
    <e v="#REF!"/>
    <e v="#REF!"/>
    <e v="#REF!"/>
    <e v="#REF!"/>
    <e v="#REF!"/>
    <e v="#REF!"/>
    <m/>
    <m/>
    <m/>
    <n v="1"/>
    <m/>
    <m/>
    <m/>
    <m/>
    <m/>
    <m/>
    <m/>
    <s v=""/>
    <m/>
  </r>
  <r>
    <x v="170"/>
    <x v="24"/>
    <x v="16"/>
    <m/>
    <s v="Shan_North"/>
    <x v="25"/>
    <s v="Maik Shar Say Village"/>
    <m/>
    <m/>
    <m/>
    <m/>
    <m/>
    <m/>
    <m/>
    <m/>
    <m/>
    <m/>
    <m/>
    <n v="54"/>
    <m/>
    <m/>
    <m/>
    <n v="54"/>
    <m/>
    <n v="27"/>
    <m/>
    <m/>
    <e v="#REF!"/>
    <e v="#REF!"/>
    <e v="#REF!"/>
    <e v="#REF!"/>
    <e v="#REF!"/>
    <e v="#REF!"/>
    <e v="#REF!"/>
    <e v="#REF!"/>
    <e v="#REF!"/>
    <e v="#REF!"/>
    <m/>
    <m/>
    <m/>
    <n v="1"/>
    <m/>
    <m/>
    <m/>
    <m/>
    <m/>
    <m/>
    <m/>
    <s v=""/>
    <m/>
  </r>
  <r>
    <x v="170"/>
    <x v="24"/>
    <x v="16"/>
    <m/>
    <s v="Shan_North"/>
    <x v="26"/>
    <s v="Mu Kwar Kyaing (Resettlement)"/>
    <m/>
    <m/>
    <m/>
    <m/>
    <m/>
    <m/>
    <m/>
    <m/>
    <m/>
    <m/>
    <m/>
    <n v="150"/>
    <m/>
    <m/>
    <m/>
    <n v="150"/>
    <m/>
    <n v="75"/>
    <m/>
    <m/>
    <e v="#REF!"/>
    <e v="#REF!"/>
    <e v="#REF!"/>
    <e v="#REF!"/>
    <e v="#REF!"/>
    <e v="#REF!"/>
    <e v="#REF!"/>
    <e v="#REF!"/>
    <e v="#REF!"/>
    <e v="#REF!"/>
    <m/>
    <m/>
    <m/>
    <n v="1"/>
    <m/>
    <m/>
    <m/>
    <m/>
    <m/>
    <m/>
    <m/>
    <s v=""/>
    <m/>
  </r>
  <r>
    <x v="170"/>
    <x v="24"/>
    <x v="16"/>
    <m/>
    <s v="Shan_North"/>
    <x v="25"/>
    <s v="Pone Soke Village"/>
    <m/>
    <m/>
    <m/>
    <m/>
    <m/>
    <m/>
    <m/>
    <m/>
    <m/>
    <m/>
    <m/>
    <n v="42"/>
    <m/>
    <m/>
    <m/>
    <n v="42"/>
    <m/>
    <n v="21"/>
    <m/>
    <m/>
    <e v="#REF!"/>
    <e v="#REF!"/>
    <e v="#REF!"/>
    <e v="#REF!"/>
    <e v="#REF!"/>
    <e v="#REF!"/>
    <e v="#REF!"/>
    <e v="#REF!"/>
    <e v="#REF!"/>
    <e v="#REF!"/>
    <m/>
    <m/>
    <m/>
    <n v="1"/>
    <m/>
    <m/>
    <m/>
    <m/>
    <m/>
    <m/>
    <m/>
    <s v=""/>
    <m/>
  </r>
  <r>
    <x v="170"/>
    <x v="24"/>
    <x v="16"/>
    <m/>
    <s v="Shan_North"/>
    <x v="26"/>
    <s v="Shwe Yin Si Camp (Resettlement)"/>
    <m/>
    <m/>
    <m/>
    <m/>
    <m/>
    <m/>
    <m/>
    <m/>
    <m/>
    <m/>
    <m/>
    <n v="1186"/>
    <m/>
    <m/>
    <m/>
    <n v="1186"/>
    <m/>
    <n v="593"/>
    <m/>
    <m/>
    <e v="#REF!"/>
    <e v="#REF!"/>
    <e v="#REF!"/>
    <e v="#REF!"/>
    <e v="#REF!"/>
    <e v="#REF!"/>
    <e v="#REF!"/>
    <e v="#REF!"/>
    <e v="#REF!"/>
    <e v="#REF!"/>
    <m/>
    <m/>
    <m/>
    <n v="1"/>
    <m/>
    <m/>
    <m/>
    <m/>
    <m/>
    <m/>
    <m/>
    <s v=""/>
    <m/>
  </r>
  <r>
    <x v="170"/>
    <x v="24"/>
    <x v="16"/>
    <m/>
    <s v="Shan_North"/>
    <x v="26"/>
    <s v="Shwe Sin"/>
    <m/>
    <m/>
    <m/>
    <m/>
    <m/>
    <m/>
    <m/>
    <m/>
    <m/>
    <m/>
    <m/>
    <n v="122"/>
    <m/>
    <m/>
    <m/>
    <n v="122"/>
    <m/>
    <n v="61"/>
    <m/>
    <m/>
    <e v="#REF!"/>
    <e v="#REF!"/>
    <e v="#REF!"/>
    <e v="#REF!"/>
    <e v="#REF!"/>
    <e v="#REF!"/>
    <e v="#REF!"/>
    <e v="#REF!"/>
    <e v="#REF!"/>
    <e v="#REF!"/>
    <m/>
    <m/>
    <m/>
    <n v="1"/>
    <m/>
    <m/>
    <m/>
    <m/>
    <m/>
    <m/>
    <m/>
    <s v=""/>
    <m/>
  </r>
  <r>
    <x v="170"/>
    <x v="24"/>
    <x v="16"/>
    <m/>
    <s v="Shan_North"/>
    <x v="26"/>
    <s v="Tar Shwe Htan "/>
    <m/>
    <m/>
    <m/>
    <m/>
    <m/>
    <m/>
    <m/>
    <m/>
    <m/>
    <m/>
    <m/>
    <n v="220"/>
    <m/>
    <m/>
    <m/>
    <n v="220"/>
    <m/>
    <n v="110"/>
    <m/>
    <m/>
    <e v="#REF!"/>
    <e v="#REF!"/>
    <e v="#REF!"/>
    <e v="#REF!"/>
    <e v="#REF!"/>
    <e v="#REF!"/>
    <e v="#REF!"/>
    <e v="#REF!"/>
    <e v="#REF!"/>
    <e v="#REF!"/>
    <m/>
    <m/>
    <m/>
    <n v="1"/>
    <m/>
    <m/>
    <m/>
    <m/>
    <m/>
    <m/>
    <m/>
    <s v=""/>
    <m/>
  </r>
  <r>
    <x v="171"/>
    <x v="22"/>
    <x v="12"/>
    <m/>
    <s v="Shan_North"/>
    <x v="20"/>
    <s v="Mandung - Jinghpaw"/>
    <m/>
    <m/>
    <m/>
    <n v="1"/>
    <m/>
    <n v="1"/>
    <m/>
    <n v="1"/>
    <m/>
    <m/>
    <m/>
    <n v="1"/>
    <m/>
    <m/>
    <n v="1"/>
    <m/>
    <m/>
    <m/>
    <m/>
    <m/>
    <e v="#REF!"/>
    <e v="#REF!"/>
    <e v="#REF!"/>
    <e v="#REF!"/>
    <e v="#REF!"/>
    <e v="#REF!"/>
    <e v="#REF!"/>
    <e v="#REF!"/>
    <e v="#REF!"/>
    <e v="#REF!"/>
    <m/>
    <m/>
    <m/>
    <n v="1"/>
    <m/>
    <m/>
    <m/>
    <m/>
    <m/>
    <m/>
    <m/>
    <s v="MMR015CMP009"/>
    <m/>
  </r>
  <r>
    <x v="171"/>
    <x v="22"/>
    <x v="12"/>
    <m/>
    <s v="Shan_North"/>
    <x v="27"/>
    <s v="Man Loi"/>
    <m/>
    <m/>
    <m/>
    <m/>
    <m/>
    <m/>
    <m/>
    <m/>
    <m/>
    <m/>
    <m/>
    <m/>
    <m/>
    <m/>
    <m/>
    <m/>
    <m/>
    <n v="1"/>
    <m/>
    <m/>
    <e v="#REF!"/>
    <e v="#REF!"/>
    <e v="#REF!"/>
    <e v="#REF!"/>
    <e v="#REF!"/>
    <e v="#REF!"/>
    <e v="#REF!"/>
    <e v="#REF!"/>
    <e v="#REF!"/>
    <e v="#REF!"/>
    <m/>
    <m/>
    <m/>
    <n v="0"/>
    <m/>
    <m/>
    <m/>
    <m/>
    <m/>
    <m/>
    <m/>
    <s v="MMR015CMP246"/>
    <m/>
  </r>
  <r>
    <x v="172"/>
    <x v="22"/>
    <x v="12"/>
    <m/>
    <s v="Shan_North"/>
    <x v="28"/>
    <s v="Mong Wee Shan"/>
    <n v="8"/>
    <m/>
    <m/>
    <m/>
    <m/>
    <m/>
    <m/>
    <m/>
    <m/>
    <m/>
    <m/>
    <m/>
    <m/>
    <m/>
    <m/>
    <m/>
    <m/>
    <m/>
    <m/>
    <m/>
    <e v="#REF!"/>
    <e v="#REF!"/>
    <e v="#REF!"/>
    <e v="#REF!"/>
    <e v="#REF!"/>
    <e v="#REF!"/>
    <e v="#REF!"/>
    <e v="#REF!"/>
    <e v="#REF!"/>
    <e v="#REF!"/>
    <m/>
    <m/>
    <m/>
    <n v="0"/>
    <m/>
    <m/>
    <m/>
    <m/>
    <m/>
    <m/>
    <m/>
    <s v="MMR015CMP224"/>
    <m/>
  </r>
  <r>
    <x v="172"/>
    <x v="22"/>
    <x v="12"/>
    <m/>
    <s v="Shan_North"/>
    <x v="13"/>
    <s v="Muse Catholic Church"/>
    <m/>
    <m/>
    <m/>
    <n v="1"/>
    <m/>
    <m/>
    <m/>
    <n v="1"/>
    <m/>
    <m/>
    <m/>
    <n v="1"/>
    <m/>
    <m/>
    <n v="1"/>
    <m/>
    <m/>
    <m/>
    <m/>
    <m/>
    <e v="#REF!"/>
    <e v="#REF!"/>
    <e v="#REF!"/>
    <e v="#REF!"/>
    <e v="#REF!"/>
    <e v="#REF!"/>
    <e v="#REF!"/>
    <e v="#REF!"/>
    <e v="#REF!"/>
    <e v="#REF!"/>
    <m/>
    <m/>
    <m/>
    <n v="1"/>
    <m/>
    <m/>
    <m/>
    <m/>
    <m/>
    <m/>
    <m/>
    <s v="MMR015CMP216"/>
    <m/>
  </r>
  <r>
    <x v="172"/>
    <x v="22"/>
    <x v="12"/>
    <m/>
    <s v="Shan_North"/>
    <x v="13"/>
    <s v="Muse Catholic Church"/>
    <m/>
    <m/>
    <m/>
    <m/>
    <m/>
    <m/>
    <m/>
    <m/>
    <m/>
    <n v="17"/>
    <n v="17"/>
    <n v="17"/>
    <m/>
    <n v="17"/>
    <m/>
    <m/>
    <m/>
    <m/>
    <m/>
    <m/>
    <e v="#REF!"/>
    <e v="#REF!"/>
    <e v="#REF!"/>
    <e v="#REF!"/>
    <e v="#REF!"/>
    <e v="#REF!"/>
    <e v="#REF!"/>
    <e v="#REF!"/>
    <e v="#REF!"/>
    <e v="#REF!"/>
    <m/>
    <m/>
    <m/>
    <n v="1"/>
    <m/>
    <m/>
    <m/>
    <m/>
    <m/>
    <m/>
    <m/>
    <s v="MMR015CMP216"/>
    <m/>
  </r>
  <r>
    <x v="173"/>
    <x v="22"/>
    <x v="12"/>
    <m/>
    <s v="Shan_North"/>
    <x v="11"/>
    <s v="Pan Ta Pyae"/>
    <n v="17"/>
    <m/>
    <m/>
    <m/>
    <m/>
    <m/>
    <m/>
    <m/>
    <m/>
    <m/>
    <m/>
    <m/>
    <m/>
    <m/>
    <m/>
    <m/>
    <m/>
    <m/>
    <n v="1"/>
    <m/>
    <e v="#REF!"/>
    <e v="#REF!"/>
    <e v="#REF!"/>
    <e v="#REF!"/>
    <e v="#REF!"/>
    <e v="#REF!"/>
    <e v="#REF!"/>
    <e v="#REF!"/>
    <e v="#REF!"/>
    <e v="#REF!"/>
    <m/>
    <m/>
    <m/>
    <n v="0"/>
    <m/>
    <m/>
    <m/>
    <m/>
    <m/>
    <m/>
    <m/>
    <s v="MMR015CMP221"/>
    <m/>
  </r>
  <r>
    <x v="174"/>
    <x v="22"/>
    <x v="12"/>
    <m/>
    <s v="Kachin"/>
    <x v="2"/>
    <s v="Manwin  RC ( 2 )"/>
    <m/>
    <m/>
    <m/>
    <n v="2"/>
    <m/>
    <m/>
    <m/>
    <m/>
    <m/>
    <m/>
    <m/>
    <m/>
    <m/>
    <m/>
    <m/>
    <m/>
    <m/>
    <m/>
    <m/>
    <m/>
    <e v="#REF!"/>
    <e v="#REF!"/>
    <e v="#REF!"/>
    <e v="#REF!"/>
    <e v="#REF!"/>
    <e v="#REF!"/>
    <e v="#REF!"/>
    <e v="#REF!"/>
    <e v="#REF!"/>
    <e v="#REF!"/>
    <m/>
    <m/>
    <m/>
    <n v="0"/>
    <m/>
    <m/>
    <m/>
    <m/>
    <m/>
    <m/>
    <m/>
    <s v=""/>
    <m/>
  </r>
  <r>
    <x v="174"/>
    <x v="22"/>
    <x v="12"/>
    <m/>
    <s v="Shan_North"/>
    <x v="28"/>
    <s v="Nam Hkam - Chyeju Kaba Wang ( Jaw 2)"/>
    <m/>
    <m/>
    <m/>
    <m/>
    <m/>
    <m/>
    <m/>
    <n v="1"/>
    <m/>
    <m/>
    <m/>
    <m/>
    <m/>
    <m/>
    <m/>
    <m/>
    <m/>
    <m/>
    <m/>
    <m/>
    <e v="#REF!"/>
    <e v="#REF!"/>
    <e v="#REF!"/>
    <e v="#REF!"/>
    <e v="#REF!"/>
    <e v="#REF!"/>
    <e v="#REF!"/>
    <e v="#REF!"/>
    <e v="#REF!"/>
    <e v="#REF!"/>
    <m/>
    <m/>
    <m/>
    <n v="0"/>
    <m/>
    <m/>
    <m/>
    <m/>
    <m/>
    <m/>
    <m/>
    <s v=""/>
    <m/>
  </r>
  <r>
    <x v="175"/>
    <x v="22"/>
    <x v="12"/>
    <m/>
    <s v="Shan_North"/>
    <x v="27"/>
    <s v="New Pang Ku "/>
    <m/>
    <m/>
    <m/>
    <n v="1"/>
    <m/>
    <n v="1"/>
    <m/>
    <n v="1"/>
    <m/>
    <m/>
    <m/>
    <n v="1"/>
    <m/>
    <m/>
    <m/>
    <m/>
    <m/>
    <m/>
    <n v="1"/>
    <m/>
    <e v="#REF!"/>
    <e v="#REF!"/>
    <e v="#REF!"/>
    <e v="#REF!"/>
    <e v="#REF!"/>
    <e v="#REF!"/>
    <e v="#REF!"/>
    <e v="#REF!"/>
    <e v="#REF!"/>
    <e v="#REF!"/>
    <m/>
    <m/>
    <m/>
    <n v="0"/>
    <m/>
    <m/>
    <m/>
    <m/>
    <m/>
    <m/>
    <m/>
    <s v="MMR015CMP219"/>
    <m/>
  </r>
  <r>
    <x v="139"/>
    <x v="22"/>
    <x v="12"/>
    <m/>
    <s v="Shan_North"/>
    <x v="28"/>
    <s v="Nam Hkam - Nay Win Ni (Palawng)"/>
    <m/>
    <m/>
    <m/>
    <n v="1"/>
    <m/>
    <m/>
    <m/>
    <m/>
    <m/>
    <m/>
    <m/>
    <m/>
    <m/>
    <m/>
    <m/>
    <m/>
    <m/>
    <m/>
    <m/>
    <m/>
    <e v="#REF!"/>
    <e v="#REF!"/>
    <e v="#REF!"/>
    <e v="#REF!"/>
    <e v="#REF!"/>
    <e v="#REF!"/>
    <e v="#REF!"/>
    <e v="#REF!"/>
    <e v="#REF!"/>
    <e v="#REF!"/>
    <m/>
    <m/>
    <m/>
    <n v="0"/>
    <m/>
    <m/>
    <m/>
    <m/>
    <m/>
    <m/>
    <m/>
    <s v="MMR015CMP004"/>
    <m/>
  </r>
  <r>
    <x v="139"/>
    <x v="22"/>
    <x v="12"/>
    <m/>
    <s v="Shan_North"/>
    <x v="28"/>
    <s v="Nam Kham Catholic Church_x000a_(St. Thomas)"/>
    <m/>
    <m/>
    <m/>
    <n v="44"/>
    <n v="60"/>
    <n v="90"/>
    <n v="8"/>
    <n v="2"/>
    <m/>
    <m/>
    <m/>
    <m/>
    <m/>
    <m/>
    <m/>
    <m/>
    <m/>
    <m/>
    <m/>
    <m/>
    <e v="#REF!"/>
    <e v="#REF!"/>
    <e v="#REF!"/>
    <e v="#REF!"/>
    <e v="#REF!"/>
    <e v="#REF!"/>
    <e v="#REF!"/>
    <e v="#REF!"/>
    <e v="#REF!"/>
    <e v="#REF!"/>
    <m/>
    <m/>
    <m/>
    <n v="0"/>
    <m/>
    <m/>
    <m/>
    <m/>
    <m/>
    <m/>
    <m/>
    <s v=""/>
    <m/>
  </r>
  <r>
    <x v="176"/>
    <x v="22"/>
    <x v="12"/>
    <m/>
    <s v="Shan_North"/>
    <x v="28"/>
    <s v="Nam Kham Catholic Church_x000a_(St. Thomas)"/>
    <m/>
    <m/>
    <m/>
    <n v="1"/>
    <m/>
    <m/>
    <m/>
    <m/>
    <m/>
    <m/>
    <m/>
    <m/>
    <m/>
    <m/>
    <m/>
    <m/>
    <m/>
    <m/>
    <m/>
    <m/>
    <e v="#REF!"/>
    <e v="#REF!"/>
    <e v="#REF!"/>
    <e v="#REF!"/>
    <e v="#REF!"/>
    <e v="#REF!"/>
    <e v="#REF!"/>
    <e v="#REF!"/>
    <e v="#REF!"/>
    <e v="#REF!"/>
    <m/>
    <m/>
    <m/>
    <n v="0"/>
    <m/>
    <m/>
    <m/>
    <m/>
    <m/>
    <m/>
    <m/>
    <s v=""/>
    <m/>
  </r>
  <r>
    <x v="176"/>
    <x v="22"/>
    <x v="12"/>
    <m/>
    <s v="Shan_North"/>
    <x v="27"/>
    <s v="Man Loi"/>
    <m/>
    <m/>
    <m/>
    <n v="1"/>
    <m/>
    <m/>
    <m/>
    <m/>
    <m/>
    <m/>
    <m/>
    <m/>
    <m/>
    <m/>
    <m/>
    <m/>
    <m/>
    <m/>
    <m/>
    <m/>
    <e v="#REF!"/>
    <e v="#REF!"/>
    <e v="#REF!"/>
    <e v="#REF!"/>
    <e v="#REF!"/>
    <e v="#REF!"/>
    <e v="#REF!"/>
    <e v="#REF!"/>
    <e v="#REF!"/>
    <e v="#REF!"/>
    <m/>
    <m/>
    <m/>
    <n v="0"/>
    <m/>
    <m/>
    <m/>
    <m/>
    <m/>
    <m/>
    <m/>
    <s v="MMR015CMP246"/>
    <m/>
  </r>
  <r>
    <x v="138"/>
    <x v="22"/>
    <x v="12"/>
    <m/>
    <s v="Kachin"/>
    <x v="2"/>
    <s v="Man Win Gyi(KBC)"/>
    <m/>
    <m/>
    <m/>
    <n v="2"/>
    <m/>
    <m/>
    <m/>
    <m/>
    <m/>
    <m/>
    <m/>
    <m/>
    <m/>
    <m/>
    <m/>
    <m/>
    <m/>
    <m/>
    <m/>
    <m/>
    <e v="#REF!"/>
    <e v="#REF!"/>
    <e v="#REF!"/>
    <e v="#REF!"/>
    <e v="#REF!"/>
    <e v="#REF!"/>
    <e v="#REF!"/>
    <e v="#REF!"/>
    <e v="#REF!"/>
    <e v="#REF!"/>
    <m/>
    <m/>
    <m/>
    <n v="0"/>
    <m/>
    <m/>
    <m/>
    <m/>
    <m/>
    <m/>
    <m/>
    <s v=""/>
    <m/>
  </r>
  <r>
    <x v="138"/>
    <x v="22"/>
    <x v="12"/>
    <m/>
    <s v="Shan_North"/>
    <x v="27"/>
    <s v="Kutkai downtown (KBC Church)"/>
    <m/>
    <m/>
    <m/>
    <n v="1"/>
    <m/>
    <m/>
    <m/>
    <n v="1"/>
    <m/>
    <m/>
    <m/>
    <n v="1"/>
    <m/>
    <m/>
    <m/>
    <m/>
    <m/>
    <m/>
    <m/>
    <m/>
    <e v="#REF!"/>
    <e v="#REF!"/>
    <e v="#REF!"/>
    <e v="#REF!"/>
    <e v="#REF!"/>
    <e v="#REF!"/>
    <e v="#REF!"/>
    <e v="#REF!"/>
    <e v="#REF!"/>
    <e v="#REF!"/>
    <m/>
    <m/>
    <m/>
    <n v="0"/>
    <m/>
    <m/>
    <m/>
    <m/>
    <m/>
    <m/>
    <m/>
    <s v="MMR015CMP016"/>
    <m/>
  </r>
  <r>
    <x v="138"/>
    <x v="22"/>
    <x v="12"/>
    <m/>
    <s v="Shan_North"/>
    <x v="27"/>
    <s v="New Pang Ku "/>
    <m/>
    <m/>
    <m/>
    <m/>
    <m/>
    <m/>
    <m/>
    <m/>
    <m/>
    <m/>
    <m/>
    <n v="1"/>
    <m/>
    <m/>
    <m/>
    <m/>
    <m/>
    <m/>
    <m/>
    <m/>
    <e v="#REF!"/>
    <e v="#REF!"/>
    <e v="#REF!"/>
    <e v="#REF!"/>
    <e v="#REF!"/>
    <e v="#REF!"/>
    <e v="#REF!"/>
    <e v="#REF!"/>
    <e v="#REF!"/>
    <e v="#REF!"/>
    <m/>
    <m/>
    <m/>
    <n v="0"/>
    <m/>
    <m/>
    <m/>
    <m/>
    <m/>
    <m/>
    <m/>
    <s v="MMR015CMP219"/>
    <m/>
  </r>
  <r>
    <x v="177"/>
    <x v="22"/>
    <x v="12"/>
    <m/>
    <s v="Shan_North"/>
    <x v="13"/>
    <s v="Muse Baptist Church"/>
    <m/>
    <m/>
    <m/>
    <m/>
    <m/>
    <m/>
    <m/>
    <m/>
    <n v="41"/>
    <m/>
    <m/>
    <m/>
    <m/>
    <m/>
    <m/>
    <m/>
    <m/>
    <m/>
    <m/>
    <m/>
    <e v="#REF!"/>
    <e v="#REF!"/>
    <e v="#REF!"/>
    <e v="#REF!"/>
    <e v="#REF!"/>
    <e v="#REF!"/>
    <e v="#REF!"/>
    <e v="#REF!"/>
    <e v="#REF!"/>
    <e v="#REF!"/>
    <m/>
    <m/>
    <m/>
    <n v="0"/>
    <m/>
    <m/>
    <m/>
    <m/>
    <m/>
    <m/>
    <m/>
    <s v="MMR015CMP213"/>
    <m/>
  </r>
  <r>
    <x v="178"/>
    <x v="22"/>
    <x v="12"/>
    <m/>
    <s v="Shan_North"/>
    <x v="20"/>
    <s v="Mandung - Jinghpaw"/>
    <m/>
    <m/>
    <m/>
    <m/>
    <m/>
    <m/>
    <m/>
    <m/>
    <n v="30"/>
    <m/>
    <m/>
    <m/>
    <m/>
    <m/>
    <m/>
    <m/>
    <m/>
    <m/>
    <m/>
    <m/>
    <e v="#REF!"/>
    <e v="#REF!"/>
    <e v="#REF!"/>
    <e v="#REF!"/>
    <e v="#REF!"/>
    <e v="#REF!"/>
    <e v="#REF!"/>
    <e v="#REF!"/>
    <e v="#REF!"/>
    <e v="#REF!"/>
    <m/>
    <m/>
    <m/>
    <n v="0"/>
    <m/>
    <m/>
    <m/>
    <m/>
    <m/>
    <m/>
    <m/>
    <s v="MMR015CMP009"/>
    <m/>
  </r>
  <r>
    <x v="179"/>
    <x v="22"/>
    <x v="12"/>
    <m/>
    <s v="Shan_North"/>
    <x v="11"/>
    <s v="Kyu Sawt"/>
    <m/>
    <m/>
    <m/>
    <m/>
    <m/>
    <m/>
    <m/>
    <m/>
    <m/>
    <m/>
    <m/>
    <n v="1"/>
    <m/>
    <m/>
    <m/>
    <m/>
    <m/>
    <m/>
    <m/>
    <m/>
    <e v="#REF!"/>
    <e v="#REF!"/>
    <e v="#REF!"/>
    <e v="#REF!"/>
    <e v="#REF!"/>
    <e v="#REF!"/>
    <e v="#REF!"/>
    <e v="#REF!"/>
    <e v="#REF!"/>
    <e v="#REF!"/>
    <m/>
    <m/>
    <m/>
    <n v="0"/>
    <m/>
    <m/>
    <m/>
    <m/>
    <m/>
    <m/>
    <m/>
    <s v=""/>
    <m/>
  </r>
  <r>
    <x v="180"/>
    <x v="22"/>
    <x v="12"/>
    <m/>
    <s v="Shan_North"/>
    <x v="27"/>
    <s v="Kutkai KBC 2"/>
    <n v="3"/>
    <m/>
    <m/>
    <m/>
    <m/>
    <m/>
    <m/>
    <m/>
    <m/>
    <m/>
    <m/>
    <m/>
    <m/>
    <m/>
    <m/>
    <m/>
    <m/>
    <m/>
    <m/>
    <m/>
    <e v="#REF!"/>
    <e v="#REF!"/>
    <e v="#REF!"/>
    <e v="#REF!"/>
    <e v="#REF!"/>
    <e v="#REF!"/>
    <e v="#REF!"/>
    <e v="#REF!"/>
    <e v="#REF!"/>
    <e v="#REF!"/>
    <m/>
    <m/>
    <m/>
    <n v="0"/>
    <m/>
    <m/>
    <m/>
    <m/>
    <m/>
    <m/>
    <m/>
    <s v=""/>
    <m/>
  </r>
  <r>
    <x v="180"/>
    <x v="22"/>
    <x v="12"/>
    <m/>
    <s v="Shan_North"/>
    <x v="11"/>
    <s v="Nam Tu Baptist"/>
    <m/>
    <m/>
    <m/>
    <m/>
    <m/>
    <m/>
    <m/>
    <m/>
    <m/>
    <m/>
    <m/>
    <m/>
    <m/>
    <m/>
    <m/>
    <m/>
    <m/>
    <m/>
    <m/>
    <m/>
    <e v="#REF!"/>
    <e v="#REF!"/>
    <e v="#REF!"/>
    <e v="#REF!"/>
    <e v="#REF!"/>
    <e v="#REF!"/>
    <e v="#REF!"/>
    <e v="#REF!"/>
    <e v="#REF!"/>
    <e v="#REF!"/>
    <m/>
    <m/>
    <m/>
    <n v="0"/>
    <m/>
    <m/>
    <m/>
    <m/>
    <m/>
    <m/>
    <m/>
    <s v="MMR015CMP014"/>
    <m/>
  </r>
  <r>
    <x v="180"/>
    <x v="22"/>
    <x v="12"/>
    <m/>
    <s v="Shan_North"/>
    <x v="28"/>
    <s v="Mong Wee Shan"/>
    <m/>
    <m/>
    <m/>
    <m/>
    <m/>
    <m/>
    <m/>
    <m/>
    <m/>
    <m/>
    <m/>
    <m/>
    <m/>
    <m/>
    <n v="62"/>
    <m/>
    <m/>
    <m/>
    <m/>
    <m/>
    <e v="#REF!"/>
    <e v="#REF!"/>
    <e v="#REF!"/>
    <e v="#REF!"/>
    <e v="#REF!"/>
    <e v="#REF!"/>
    <e v="#REF!"/>
    <e v="#REF!"/>
    <e v="#REF!"/>
    <e v="#REF!"/>
    <m/>
    <m/>
    <m/>
    <n v="1"/>
    <m/>
    <m/>
    <m/>
    <m/>
    <m/>
    <m/>
    <m/>
    <s v="MMR015CMP224"/>
    <m/>
  </r>
  <r>
    <x v="181"/>
    <x v="22"/>
    <x v="12"/>
    <m/>
    <s v="Shan_North"/>
    <x v="11"/>
    <s v="Lisu Church Namtu"/>
    <n v="3"/>
    <m/>
    <m/>
    <n v="1"/>
    <m/>
    <m/>
    <m/>
    <m/>
    <m/>
    <m/>
    <m/>
    <m/>
    <m/>
    <m/>
    <m/>
    <m/>
    <m/>
    <m/>
    <m/>
    <m/>
    <e v="#REF!"/>
    <e v="#REF!"/>
    <e v="#REF!"/>
    <e v="#REF!"/>
    <e v="#REF!"/>
    <e v="#REF!"/>
    <e v="#REF!"/>
    <e v="#REF!"/>
    <e v="#REF!"/>
    <e v="#REF!"/>
    <m/>
    <m/>
    <m/>
    <n v="0"/>
    <m/>
    <m/>
    <m/>
    <m/>
    <m/>
    <m/>
    <m/>
    <s v="MMR015CMP232"/>
    <m/>
  </r>
  <r>
    <x v="181"/>
    <x v="22"/>
    <x v="12"/>
    <m/>
    <s v="Kachin"/>
    <x v="2"/>
    <s v="Man Win Gyi ( Htung Hkring Wang )"/>
    <m/>
    <m/>
    <m/>
    <m/>
    <m/>
    <m/>
    <m/>
    <m/>
    <m/>
    <m/>
    <m/>
    <n v="1"/>
    <m/>
    <m/>
    <m/>
    <m/>
    <m/>
    <m/>
    <m/>
    <m/>
    <e v="#REF!"/>
    <e v="#REF!"/>
    <e v="#REF!"/>
    <e v="#REF!"/>
    <e v="#REF!"/>
    <e v="#REF!"/>
    <e v="#REF!"/>
    <e v="#REF!"/>
    <e v="#REF!"/>
    <e v="#REF!"/>
    <m/>
    <m/>
    <m/>
    <n v="0"/>
    <m/>
    <m/>
    <m/>
    <m/>
    <m/>
    <m/>
    <m/>
    <s v=""/>
    <m/>
  </r>
  <r>
    <x v="181"/>
    <x v="22"/>
    <x v="12"/>
    <m/>
    <s v="Shan_North"/>
    <x v="28"/>
    <s v="Nam Hkam (KBC Jaw Wang)"/>
    <m/>
    <m/>
    <m/>
    <m/>
    <m/>
    <m/>
    <m/>
    <m/>
    <m/>
    <m/>
    <m/>
    <n v="1"/>
    <m/>
    <m/>
    <m/>
    <m/>
    <m/>
    <m/>
    <m/>
    <m/>
    <e v="#REF!"/>
    <e v="#REF!"/>
    <e v="#REF!"/>
    <e v="#REF!"/>
    <e v="#REF!"/>
    <e v="#REF!"/>
    <e v="#REF!"/>
    <e v="#REF!"/>
    <e v="#REF!"/>
    <e v="#REF!"/>
    <m/>
    <m/>
    <m/>
    <n v="0"/>
    <m/>
    <m/>
    <m/>
    <m/>
    <m/>
    <m/>
    <m/>
    <s v="MMR015CMP001"/>
    <m/>
  </r>
  <r>
    <x v="154"/>
    <x v="20"/>
    <x v="2"/>
    <m/>
    <s v="Kachin"/>
    <x v="3"/>
    <s v="Seinlon IDP Boarder"/>
    <m/>
    <m/>
    <m/>
    <m/>
    <m/>
    <n v="25"/>
    <n v="2"/>
    <n v="25"/>
    <m/>
    <m/>
    <m/>
    <n v="25"/>
    <m/>
    <m/>
    <m/>
    <m/>
    <m/>
    <n v="26"/>
    <m/>
    <m/>
    <e v="#REF!"/>
    <e v="#REF!"/>
    <e v="#REF!"/>
    <e v="#REF!"/>
    <e v="#REF!"/>
    <e v="#REF!"/>
    <e v="#REF!"/>
    <e v="#REF!"/>
    <e v="#REF!"/>
    <e v="#REF!"/>
    <m/>
    <m/>
    <m/>
    <n v="0"/>
    <m/>
    <m/>
    <m/>
    <m/>
    <m/>
    <m/>
    <m/>
    <s v=""/>
    <m/>
  </r>
  <r>
    <x v="160"/>
    <x v="20"/>
    <x v="2"/>
    <m/>
    <s v="Kachin"/>
    <x v="2"/>
    <s v="Mansi UDOC"/>
    <m/>
    <m/>
    <m/>
    <m/>
    <m/>
    <m/>
    <m/>
    <m/>
    <m/>
    <m/>
    <m/>
    <m/>
    <m/>
    <m/>
    <m/>
    <m/>
    <m/>
    <m/>
    <m/>
    <m/>
    <e v="#REF!"/>
    <e v="#REF!"/>
    <e v="#REF!"/>
    <e v="#REF!"/>
    <e v="#REF!"/>
    <e v="#REF!"/>
    <e v="#REF!"/>
    <e v="#REF!"/>
    <e v="#REF!"/>
    <e v="#REF!"/>
    <m/>
    <m/>
    <m/>
    <n v="0"/>
    <m/>
    <m/>
    <m/>
    <m/>
    <m/>
    <m/>
    <m/>
    <s v=""/>
    <s v="100 umbrellas distrubuted"/>
  </r>
  <r>
    <x v="182"/>
    <x v="23"/>
    <x v="2"/>
    <m/>
    <s v="Kachin"/>
    <x v="29"/>
    <s v="WBA Camp-2"/>
    <m/>
    <m/>
    <m/>
    <m/>
    <m/>
    <m/>
    <m/>
    <m/>
    <m/>
    <m/>
    <m/>
    <m/>
    <m/>
    <m/>
    <n v="80"/>
    <m/>
    <m/>
    <m/>
    <m/>
    <m/>
    <e v="#REF!"/>
    <e v="#REF!"/>
    <e v="#REF!"/>
    <e v="#REF!"/>
    <e v="#REF!"/>
    <e v="#REF!"/>
    <e v="#REF!"/>
    <e v="#REF!"/>
    <e v="#REF!"/>
    <e v="#REF!"/>
    <m/>
    <m/>
    <m/>
    <n v="1"/>
    <m/>
    <m/>
    <m/>
    <m/>
    <m/>
    <m/>
    <m/>
    <s v=""/>
    <m/>
  </r>
  <r>
    <x v="163"/>
    <x v="23"/>
    <x v="2"/>
    <m/>
    <s v="Shan_North"/>
    <x v="11"/>
    <s v="Pantapye"/>
    <m/>
    <m/>
    <m/>
    <m/>
    <m/>
    <m/>
    <n v="17"/>
    <m/>
    <m/>
    <m/>
    <m/>
    <m/>
    <m/>
    <m/>
    <m/>
    <m/>
    <m/>
    <m/>
    <m/>
    <m/>
    <e v="#REF!"/>
    <e v="#REF!"/>
    <e v="#REF!"/>
    <e v="#REF!"/>
    <e v="#REF!"/>
    <e v="#REF!"/>
    <e v="#REF!"/>
    <e v="#REF!"/>
    <e v="#REF!"/>
    <e v="#REF!"/>
    <m/>
    <m/>
    <m/>
    <n v="0"/>
    <m/>
    <m/>
    <m/>
    <m/>
    <m/>
    <m/>
    <m/>
    <s v=""/>
    <m/>
  </r>
  <r>
    <x v="163"/>
    <x v="23"/>
    <x v="2"/>
    <m/>
    <s v="Shan_North"/>
    <x v="11"/>
    <s v="Lisu Camp"/>
    <m/>
    <m/>
    <m/>
    <m/>
    <m/>
    <m/>
    <n v="32"/>
    <m/>
    <m/>
    <m/>
    <m/>
    <m/>
    <m/>
    <m/>
    <m/>
    <m/>
    <m/>
    <m/>
    <m/>
    <m/>
    <e v="#REF!"/>
    <e v="#REF!"/>
    <e v="#REF!"/>
    <e v="#REF!"/>
    <e v="#REF!"/>
    <e v="#REF!"/>
    <e v="#REF!"/>
    <e v="#REF!"/>
    <e v="#REF!"/>
    <e v="#REF!"/>
    <m/>
    <m/>
    <m/>
    <n v="0"/>
    <m/>
    <m/>
    <m/>
    <m/>
    <m/>
    <m/>
    <m/>
    <s v=""/>
    <m/>
  </r>
  <r>
    <x v="183"/>
    <x v="21"/>
    <x v="2"/>
    <m/>
    <s v="Kachin"/>
    <x v="30"/>
    <s v="Kamai Camp"/>
    <m/>
    <m/>
    <m/>
    <m/>
    <m/>
    <m/>
    <n v="60"/>
    <m/>
    <m/>
    <m/>
    <m/>
    <m/>
    <m/>
    <m/>
    <m/>
    <m/>
    <m/>
    <m/>
    <m/>
    <m/>
    <e v="#REF!"/>
    <e v="#REF!"/>
    <e v="#REF!"/>
    <e v="#REF!"/>
    <e v="#REF!"/>
    <e v="#REF!"/>
    <e v="#REF!"/>
    <e v="#REF!"/>
    <e v="#REF!"/>
    <e v="#REF!"/>
    <m/>
    <m/>
    <m/>
    <n v="0"/>
    <m/>
    <m/>
    <m/>
    <m/>
    <m/>
    <m/>
    <m/>
    <s v=""/>
    <m/>
  </r>
  <r>
    <x v="183"/>
    <x v="21"/>
    <x v="2"/>
    <m/>
    <s v="Kachin"/>
    <x v="31"/>
    <s v="Lawa"/>
    <m/>
    <m/>
    <m/>
    <m/>
    <m/>
    <m/>
    <n v="44"/>
    <m/>
    <m/>
    <m/>
    <m/>
    <m/>
    <m/>
    <m/>
    <m/>
    <m/>
    <m/>
    <m/>
    <m/>
    <m/>
    <e v="#REF!"/>
    <e v="#REF!"/>
    <e v="#REF!"/>
    <e v="#REF!"/>
    <e v="#REF!"/>
    <e v="#REF!"/>
    <e v="#REF!"/>
    <e v="#REF!"/>
    <e v="#REF!"/>
    <e v="#REF!"/>
    <m/>
    <m/>
    <m/>
    <n v="0"/>
    <m/>
    <m/>
    <m/>
    <m/>
    <m/>
    <m/>
    <m/>
    <s v=""/>
    <m/>
  </r>
  <r>
    <x v="184"/>
    <x v="21"/>
    <x v="2"/>
    <m/>
    <s v="Kachin"/>
    <x v="32"/>
    <s v=" San Hka"/>
    <m/>
    <m/>
    <m/>
    <m/>
    <m/>
    <m/>
    <n v="33"/>
    <m/>
    <m/>
    <m/>
    <m/>
    <m/>
    <m/>
    <m/>
    <m/>
    <m/>
    <m/>
    <m/>
    <m/>
    <m/>
    <e v="#REF!"/>
    <e v="#REF!"/>
    <e v="#REF!"/>
    <e v="#REF!"/>
    <e v="#REF!"/>
    <e v="#REF!"/>
    <e v="#REF!"/>
    <e v="#REF!"/>
    <e v="#REF!"/>
    <e v="#REF!"/>
    <m/>
    <m/>
    <m/>
    <n v="0"/>
    <m/>
    <m/>
    <m/>
    <m/>
    <m/>
    <m/>
    <m/>
    <s v=""/>
    <m/>
  </r>
  <r>
    <x v="137"/>
    <x v="21"/>
    <x v="2"/>
    <m/>
    <s v="Shan_North"/>
    <x v="33"/>
    <s v="KBC (1) Camp"/>
    <m/>
    <m/>
    <m/>
    <m/>
    <m/>
    <m/>
    <n v="53"/>
    <m/>
    <m/>
    <m/>
    <m/>
    <m/>
    <m/>
    <m/>
    <m/>
    <m/>
    <m/>
    <m/>
    <m/>
    <m/>
    <e v="#REF!"/>
    <e v="#REF!"/>
    <e v="#REF!"/>
    <e v="#REF!"/>
    <e v="#REF!"/>
    <e v="#REF!"/>
    <e v="#REF!"/>
    <e v="#REF!"/>
    <e v="#REF!"/>
    <e v="#REF!"/>
    <m/>
    <m/>
    <m/>
    <n v="0"/>
    <m/>
    <m/>
    <m/>
    <m/>
    <m/>
    <m/>
    <m/>
    <s v=""/>
    <m/>
  </r>
  <r>
    <x v="137"/>
    <x v="21"/>
    <x v="2"/>
    <m/>
    <s v="Shan_North"/>
    <x v="33"/>
    <s v="KBC (2) Camp"/>
    <m/>
    <m/>
    <m/>
    <m/>
    <m/>
    <m/>
    <n v="37"/>
    <m/>
    <m/>
    <m/>
    <m/>
    <m/>
    <m/>
    <m/>
    <m/>
    <m/>
    <m/>
    <m/>
    <m/>
    <m/>
    <e v="#REF!"/>
    <e v="#REF!"/>
    <e v="#REF!"/>
    <e v="#REF!"/>
    <e v="#REF!"/>
    <e v="#REF!"/>
    <e v="#REF!"/>
    <e v="#REF!"/>
    <e v="#REF!"/>
    <e v="#REF!"/>
    <m/>
    <m/>
    <m/>
    <n v="0"/>
    <m/>
    <m/>
    <m/>
    <m/>
    <m/>
    <m/>
    <m/>
    <s v=""/>
    <m/>
  </r>
  <r>
    <x v="137"/>
    <x v="21"/>
    <x v="2"/>
    <m/>
    <s v="Shan_North"/>
    <x v="33"/>
    <s v="RC Camp"/>
    <m/>
    <m/>
    <m/>
    <m/>
    <m/>
    <m/>
    <n v="28"/>
    <m/>
    <m/>
    <m/>
    <m/>
    <m/>
    <m/>
    <m/>
    <m/>
    <m/>
    <m/>
    <m/>
    <m/>
    <m/>
    <e v="#REF!"/>
    <e v="#REF!"/>
    <e v="#REF!"/>
    <e v="#REF!"/>
    <e v="#REF!"/>
    <e v="#REF!"/>
    <e v="#REF!"/>
    <e v="#REF!"/>
    <e v="#REF!"/>
    <e v="#REF!"/>
    <m/>
    <m/>
    <m/>
    <n v="0"/>
    <m/>
    <m/>
    <m/>
    <m/>
    <m/>
    <m/>
    <m/>
    <s v=""/>
    <m/>
  </r>
  <r>
    <x v="185"/>
    <x v="21"/>
    <x v="2"/>
    <m/>
    <s v="Shan_North"/>
    <x v="34"/>
    <s v="KBC Camp"/>
    <n v="27"/>
    <m/>
    <m/>
    <m/>
    <m/>
    <m/>
    <m/>
    <m/>
    <m/>
    <m/>
    <m/>
    <m/>
    <m/>
    <m/>
    <m/>
    <m/>
    <m/>
    <m/>
    <m/>
    <m/>
    <e v="#REF!"/>
    <e v="#REF!"/>
    <e v="#REF!"/>
    <e v="#REF!"/>
    <e v="#REF!"/>
    <e v="#REF!"/>
    <e v="#REF!"/>
    <e v="#REF!"/>
    <e v="#REF!"/>
    <e v="#REF!"/>
    <m/>
    <m/>
    <m/>
    <n v="0"/>
    <m/>
    <m/>
    <m/>
    <m/>
    <m/>
    <m/>
    <m/>
    <s v=""/>
    <m/>
  </r>
  <r>
    <x v="185"/>
    <x v="21"/>
    <x v="2"/>
    <m/>
    <s v="Shan_North"/>
    <x v="34"/>
    <s v="Pantapye"/>
    <n v="8"/>
    <m/>
    <m/>
    <m/>
    <m/>
    <m/>
    <m/>
    <m/>
    <m/>
    <m/>
    <m/>
    <m/>
    <m/>
    <m/>
    <m/>
    <m/>
    <m/>
    <m/>
    <m/>
    <m/>
    <e v="#REF!"/>
    <e v="#REF!"/>
    <e v="#REF!"/>
    <e v="#REF!"/>
    <e v="#REF!"/>
    <e v="#REF!"/>
    <e v="#REF!"/>
    <e v="#REF!"/>
    <e v="#REF!"/>
    <e v="#REF!"/>
    <m/>
    <m/>
    <m/>
    <n v="0"/>
    <m/>
    <m/>
    <m/>
    <m/>
    <m/>
    <m/>
    <m/>
    <s v=""/>
    <m/>
  </r>
  <r>
    <x v="185"/>
    <x v="21"/>
    <x v="2"/>
    <m/>
    <s v="Shan_North"/>
    <x v="34"/>
    <s v="Lisu Camp"/>
    <n v="18"/>
    <m/>
    <m/>
    <m/>
    <m/>
    <m/>
    <m/>
    <m/>
    <m/>
    <m/>
    <m/>
    <m/>
    <m/>
    <m/>
    <m/>
    <m/>
    <m/>
    <m/>
    <m/>
    <m/>
    <e v="#REF!"/>
    <e v="#REF!"/>
    <e v="#REF!"/>
    <e v="#REF!"/>
    <e v="#REF!"/>
    <e v="#REF!"/>
    <e v="#REF!"/>
    <e v="#REF!"/>
    <e v="#REF!"/>
    <e v="#REF!"/>
    <m/>
    <m/>
    <m/>
    <n v="0"/>
    <m/>
    <m/>
    <m/>
    <m/>
    <m/>
    <m/>
    <m/>
    <s v=""/>
    <m/>
  </r>
  <r>
    <x v="175"/>
    <x v="22"/>
    <x v="2"/>
    <m/>
    <s v="Kachin"/>
    <x v="35"/>
    <s v="UDOC"/>
    <m/>
    <m/>
    <m/>
    <m/>
    <m/>
    <m/>
    <m/>
    <m/>
    <m/>
    <m/>
    <m/>
    <m/>
    <m/>
    <m/>
    <m/>
    <m/>
    <m/>
    <m/>
    <m/>
    <m/>
    <e v="#REF!"/>
    <e v="#REF!"/>
    <e v="#REF!"/>
    <e v="#REF!"/>
    <e v="#REF!"/>
    <e v="#REF!"/>
    <e v="#REF!"/>
    <e v="#REF!"/>
    <e v="#REF!"/>
    <e v="#REF!"/>
    <m/>
    <m/>
    <m/>
    <n v="0"/>
    <m/>
    <m/>
    <m/>
    <m/>
    <m/>
    <m/>
    <m/>
    <s v=""/>
    <s v="7  toilet providec"/>
  </r>
  <r>
    <x v="186"/>
    <x v="22"/>
    <x v="2"/>
    <m/>
    <s v="Kachin"/>
    <x v="36"/>
    <s v="UDOC"/>
    <m/>
    <m/>
    <m/>
    <m/>
    <m/>
    <m/>
    <m/>
    <m/>
    <m/>
    <m/>
    <m/>
    <m/>
    <m/>
    <m/>
    <m/>
    <m/>
    <m/>
    <m/>
    <m/>
    <m/>
    <e v="#REF!"/>
    <e v="#REF!"/>
    <e v="#REF!"/>
    <e v="#REF!"/>
    <e v="#REF!"/>
    <e v="#REF!"/>
    <e v="#REF!"/>
    <e v="#REF!"/>
    <e v="#REF!"/>
    <e v="#REF!"/>
    <m/>
    <m/>
    <m/>
    <n v="0"/>
    <m/>
    <m/>
    <m/>
    <m/>
    <m/>
    <m/>
    <m/>
    <s v=""/>
    <s v="21 tiolet provided"/>
  </r>
  <r>
    <x v="187"/>
    <x v="22"/>
    <x v="2"/>
    <m/>
    <s v="Kachin"/>
    <x v="37"/>
    <s v="Kamai"/>
    <n v="12"/>
    <m/>
    <m/>
    <m/>
    <m/>
    <m/>
    <m/>
    <m/>
    <m/>
    <m/>
    <m/>
    <m/>
    <m/>
    <m/>
    <m/>
    <m/>
    <m/>
    <m/>
    <m/>
    <m/>
    <e v="#REF!"/>
    <e v="#REF!"/>
    <e v="#REF!"/>
    <e v="#REF!"/>
    <e v="#REF!"/>
    <e v="#REF!"/>
    <e v="#REF!"/>
    <e v="#REF!"/>
    <e v="#REF!"/>
    <e v="#REF!"/>
    <m/>
    <m/>
    <m/>
    <n v="0"/>
    <m/>
    <m/>
    <m/>
    <m/>
    <m/>
    <m/>
    <m/>
    <s v=""/>
    <m/>
  </r>
  <r>
    <x v="187"/>
    <x v="22"/>
    <x v="2"/>
    <m/>
    <s v="Kachin"/>
    <x v="38"/>
    <s v="Lawa"/>
    <n v="5"/>
    <m/>
    <m/>
    <m/>
    <m/>
    <m/>
    <m/>
    <m/>
    <m/>
    <m/>
    <m/>
    <m/>
    <m/>
    <m/>
    <m/>
    <m/>
    <m/>
    <m/>
    <m/>
    <m/>
    <e v="#REF!"/>
    <e v="#REF!"/>
    <e v="#REF!"/>
    <e v="#REF!"/>
    <e v="#REF!"/>
    <e v="#REF!"/>
    <e v="#REF!"/>
    <e v="#REF!"/>
    <e v="#REF!"/>
    <e v="#REF!"/>
    <m/>
    <m/>
    <m/>
    <n v="0"/>
    <m/>
    <m/>
    <m/>
    <m/>
    <m/>
    <m/>
    <m/>
    <s v=""/>
    <m/>
  </r>
  <r>
    <x v="187"/>
    <x v="22"/>
    <x v="2"/>
    <m/>
    <s v="Kachin"/>
    <x v="39"/>
    <s v="WBA -2"/>
    <n v="5"/>
    <m/>
    <m/>
    <m/>
    <m/>
    <m/>
    <m/>
    <m/>
    <m/>
    <m/>
    <m/>
    <m/>
    <m/>
    <m/>
    <m/>
    <m/>
    <m/>
    <m/>
    <m/>
    <m/>
    <e v="#REF!"/>
    <e v="#REF!"/>
    <e v="#REF!"/>
    <e v="#REF!"/>
    <e v="#REF!"/>
    <e v="#REF!"/>
    <e v="#REF!"/>
    <e v="#REF!"/>
    <e v="#REF!"/>
    <e v="#REF!"/>
    <m/>
    <m/>
    <m/>
    <n v="0"/>
    <m/>
    <m/>
    <m/>
    <m/>
    <m/>
    <m/>
    <m/>
    <s v=""/>
    <m/>
  </r>
  <r>
    <x v="138"/>
    <x v="22"/>
    <x v="2"/>
    <m/>
    <s v="Shan_North"/>
    <x v="40"/>
    <s v="Jaw Wang 1"/>
    <m/>
    <m/>
    <m/>
    <m/>
    <m/>
    <m/>
    <m/>
    <n v="67"/>
    <m/>
    <m/>
    <m/>
    <n v="67"/>
    <m/>
    <m/>
    <m/>
    <m/>
    <m/>
    <m/>
    <m/>
    <m/>
    <e v="#REF!"/>
    <e v="#REF!"/>
    <e v="#REF!"/>
    <e v="#REF!"/>
    <e v="#REF!"/>
    <e v="#REF!"/>
    <e v="#REF!"/>
    <e v="#REF!"/>
    <e v="#REF!"/>
    <e v="#REF!"/>
    <m/>
    <m/>
    <m/>
    <n v="0"/>
    <m/>
    <m/>
    <m/>
    <m/>
    <m/>
    <m/>
    <m/>
    <s v=""/>
    <s v="67 bedding sheet provided"/>
  </r>
  <r>
    <x v="138"/>
    <x v="22"/>
    <x v="2"/>
    <m/>
    <s v="Shan_North"/>
    <x v="40"/>
    <s v="Jaw Wang 2"/>
    <m/>
    <m/>
    <m/>
    <m/>
    <m/>
    <m/>
    <m/>
    <n v="36"/>
    <m/>
    <m/>
    <m/>
    <n v="36"/>
    <m/>
    <m/>
    <m/>
    <m/>
    <m/>
    <m/>
    <m/>
    <m/>
    <e v="#REF!"/>
    <e v="#REF!"/>
    <e v="#REF!"/>
    <e v="#REF!"/>
    <e v="#REF!"/>
    <e v="#REF!"/>
    <e v="#REF!"/>
    <e v="#REF!"/>
    <e v="#REF!"/>
    <e v="#REF!"/>
    <m/>
    <m/>
    <m/>
    <n v="0"/>
    <m/>
    <m/>
    <m/>
    <m/>
    <m/>
    <m/>
    <m/>
    <s v=""/>
    <s v="36 bedding sheet provided"/>
  </r>
  <r>
    <x v="138"/>
    <x v="22"/>
    <x v="2"/>
    <m/>
    <s v="Shan_North"/>
    <x v="40"/>
    <s v="St; Thomas"/>
    <m/>
    <m/>
    <m/>
    <m/>
    <m/>
    <m/>
    <m/>
    <n v="44"/>
    <m/>
    <m/>
    <m/>
    <n v="44"/>
    <m/>
    <m/>
    <m/>
    <m/>
    <m/>
    <m/>
    <m/>
    <m/>
    <e v="#REF!"/>
    <e v="#REF!"/>
    <e v="#REF!"/>
    <e v="#REF!"/>
    <e v="#REF!"/>
    <e v="#REF!"/>
    <e v="#REF!"/>
    <e v="#REF!"/>
    <e v="#REF!"/>
    <e v="#REF!"/>
    <m/>
    <m/>
    <m/>
    <n v="0"/>
    <m/>
    <m/>
    <m/>
    <m/>
    <m/>
    <m/>
    <m/>
    <s v=""/>
    <s v="44 bedding sheet provided"/>
  </r>
  <r>
    <x v="138"/>
    <x v="22"/>
    <x v="2"/>
    <m/>
    <s v="Shan_North"/>
    <x v="40"/>
    <s v="Mong Wee Shan"/>
    <m/>
    <m/>
    <m/>
    <m/>
    <m/>
    <m/>
    <m/>
    <n v="62"/>
    <m/>
    <m/>
    <m/>
    <n v="62"/>
    <m/>
    <m/>
    <m/>
    <m/>
    <m/>
    <m/>
    <m/>
    <m/>
    <e v="#REF!"/>
    <e v="#REF!"/>
    <e v="#REF!"/>
    <e v="#REF!"/>
    <e v="#REF!"/>
    <e v="#REF!"/>
    <e v="#REF!"/>
    <e v="#REF!"/>
    <e v="#REF!"/>
    <e v="#REF!"/>
    <m/>
    <m/>
    <m/>
    <n v="0"/>
    <m/>
    <m/>
    <m/>
    <m/>
    <m/>
    <m/>
    <m/>
    <s v="MMR015CMP224"/>
    <s v="62 bedding sheet provided"/>
  </r>
  <r>
    <x v="138"/>
    <x v="22"/>
    <x v="2"/>
    <m/>
    <s v="Shan_North"/>
    <x v="40"/>
    <s v="Pang Long"/>
    <m/>
    <m/>
    <m/>
    <m/>
    <m/>
    <m/>
    <m/>
    <n v="117"/>
    <m/>
    <m/>
    <m/>
    <n v="117"/>
    <m/>
    <m/>
    <m/>
    <m/>
    <m/>
    <m/>
    <m/>
    <m/>
    <e v="#REF!"/>
    <e v="#REF!"/>
    <e v="#REF!"/>
    <e v="#REF!"/>
    <e v="#REF!"/>
    <e v="#REF!"/>
    <e v="#REF!"/>
    <e v="#REF!"/>
    <e v="#REF!"/>
    <e v="#REF!"/>
    <m/>
    <m/>
    <m/>
    <n v="0"/>
    <m/>
    <m/>
    <m/>
    <m/>
    <m/>
    <m/>
    <m/>
    <s v=""/>
    <s v="117 bedding sheet provided"/>
  </r>
  <r>
    <x v="188"/>
    <x v="25"/>
    <x v="17"/>
    <s v="SI"/>
    <s v="Kachin"/>
    <x v="6"/>
    <s v="Lawa RC Church"/>
    <m/>
    <m/>
    <m/>
    <n v="48"/>
    <m/>
    <m/>
    <m/>
    <n v="96"/>
    <n v="48"/>
    <n v="48"/>
    <m/>
    <n v="96"/>
    <m/>
    <m/>
    <m/>
    <m/>
    <m/>
    <m/>
    <m/>
    <m/>
    <e v="#REF!"/>
    <e v="#REF!"/>
    <e v="#REF!"/>
    <e v="#REF!"/>
    <e v="#REF!"/>
    <e v="#REF!"/>
    <e v="#REF!"/>
    <e v="#REF!"/>
    <e v="#REF!"/>
    <e v="#REF!"/>
    <m/>
    <m/>
    <m/>
    <n v="0"/>
    <m/>
    <m/>
    <m/>
    <m/>
    <m/>
    <m/>
    <m/>
    <s v="MMR001CMP268"/>
    <m/>
  </r>
  <r>
    <x v="189"/>
    <x v="25"/>
    <x v="10"/>
    <m/>
    <s v="Shan_North"/>
    <x v="21"/>
    <s v="Narma Khaw Monastery"/>
    <m/>
    <m/>
    <m/>
    <n v="240"/>
    <m/>
    <m/>
    <m/>
    <m/>
    <m/>
    <m/>
    <m/>
    <m/>
    <m/>
    <m/>
    <m/>
    <m/>
    <m/>
    <m/>
    <m/>
    <m/>
    <e v="#REF!"/>
    <e v="#REF!"/>
    <e v="#REF!"/>
    <e v="#REF!"/>
    <e v="#REF!"/>
    <e v="#REF!"/>
    <e v="#REF!"/>
    <e v="#REF!"/>
    <e v="#REF!"/>
    <e v="#REF!"/>
    <m/>
    <m/>
    <m/>
    <n v="0"/>
    <m/>
    <m/>
    <m/>
    <m/>
    <m/>
    <m/>
    <m/>
    <s v=""/>
    <m/>
  </r>
  <r>
    <x v="189"/>
    <x v="25"/>
    <x v="10"/>
    <m/>
    <s v="Shan_North"/>
    <x v="21"/>
    <s v="Naung Am Monastery"/>
    <m/>
    <m/>
    <m/>
    <n v="24"/>
    <m/>
    <m/>
    <m/>
    <m/>
    <m/>
    <m/>
    <m/>
    <m/>
    <m/>
    <m/>
    <m/>
    <m/>
    <m/>
    <m/>
    <m/>
    <m/>
    <e v="#REF!"/>
    <e v="#REF!"/>
    <e v="#REF!"/>
    <e v="#REF!"/>
    <e v="#REF!"/>
    <e v="#REF!"/>
    <e v="#REF!"/>
    <e v="#REF!"/>
    <e v="#REF!"/>
    <e v="#REF!"/>
    <m/>
    <m/>
    <m/>
    <n v="0"/>
    <m/>
    <m/>
    <m/>
    <m/>
    <m/>
    <m/>
    <m/>
    <s v=""/>
    <m/>
  </r>
  <r>
    <x v="190"/>
    <x v="24"/>
    <x v="12"/>
    <s v="DRC"/>
    <s v="Shan_North"/>
    <x v="11"/>
    <s v="Kyu Sot"/>
    <n v="1"/>
    <m/>
    <m/>
    <n v="1"/>
    <m/>
    <m/>
    <m/>
    <m/>
    <m/>
    <m/>
    <m/>
    <m/>
    <m/>
    <m/>
    <m/>
    <m/>
    <m/>
    <m/>
    <m/>
    <m/>
    <e v="#REF!"/>
    <e v="#REF!"/>
    <e v="#REF!"/>
    <e v="#REF!"/>
    <e v="#REF!"/>
    <e v="#REF!"/>
    <e v="#REF!"/>
    <e v="#REF!"/>
    <e v="#REF!"/>
    <e v="#REF!"/>
    <m/>
    <m/>
    <m/>
    <n v="0"/>
    <m/>
    <m/>
    <m/>
    <m/>
    <m/>
    <m/>
    <m/>
    <s v="MMR015CMP248"/>
    <m/>
  </r>
  <r>
    <x v="190"/>
    <x v="24"/>
    <x v="12"/>
    <s v="DRC"/>
    <s v="Shan_North"/>
    <x v="20"/>
    <s v="Mandung - RC"/>
    <n v="30"/>
    <m/>
    <m/>
    <n v="30"/>
    <m/>
    <m/>
    <m/>
    <m/>
    <m/>
    <m/>
    <m/>
    <n v="1"/>
    <m/>
    <m/>
    <m/>
    <m/>
    <m/>
    <m/>
    <m/>
    <m/>
    <e v="#REF!"/>
    <e v="#REF!"/>
    <e v="#REF!"/>
    <e v="#REF!"/>
    <e v="#REF!"/>
    <e v="#REF!"/>
    <e v="#REF!"/>
    <e v="#REF!"/>
    <e v="#REF!"/>
    <e v="#REF!"/>
    <m/>
    <m/>
    <m/>
    <n v="0"/>
    <m/>
    <m/>
    <m/>
    <m/>
    <m/>
    <m/>
    <m/>
    <s v="MMR015CMP209"/>
    <m/>
  </r>
  <r>
    <x v="190"/>
    <x v="24"/>
    <x v="12"/>
    <s v="DRC"/>
    <s v="Shan_North"/>
    <x v="20"/>
    <s v="Mandung - Jinghpaw"/>
    <n v="30"/>
    <m/>
    <m/>
    <n v="30"/>
    <m/>
    <m/>
    <m/>
    <m/>
    <m/>
    <m/>
    <m/>
    <m/>
    <m/>
    <m/>
    <m/>
    <m/>
    <m/>
    <m/>
    <m/>
    <m/>
    <e v="#REF!"/>
    <e v="#REF!"/>
    <e v="#REF!"/>
    <e v="#REF!"/>
    <e v="#REF!"/>
    <e v="#REF!"/>
    <e v="#REF!"/>
    <e v="#REF!"/>
    <e v="#REF!"/>
    <e v="#REF!"/>
    <m/>
    <m/>
    <m/>
    <n v="0"/>
    <m/>
    <m/>
    <m/>
    <m/>
    <m/>
    <m/>
    <m/>
    <s v="MMR015CMP009"/>
    <m/>
  </r>
  <r>
    <x v="191"/>
    <x v="24"/>
    <x v="12"/>
    <s v="DRC"/>
    <s v="Shan_North"/>
    <x v="28"/>
    <s v="Nam Hkam (KBC Jaw Wang)"/>
    <n v="1"/>
    <m/>
    <m/>
    <m/>
    <m/>
    <n v="1"/>
    <m/>
    <n v="1"/>
    <m/>
    <m/>
    <m/>
    <n v="1"/>
    <m/>
    <m/>
    <n v="1"/>
    <m/>
    <m/>
    <m/>
    <m/>
    <m/>
    <e v="#REF!"/>
    <e v="#REF!"/>
    <e v="#REF!"/>
    <e v="#REF!"/>
    <e v="#REF!"/>
    <e v="#REF!"/>
    <e v="#REF!"/>
    <e v="#REF!"/>
    <e v="#REF!"/>
    <e v="#REF!"/>
    <m/>
    <m/>
    <m/>
    <n v="1"/>
    <m/>
    <m/>
    <m/>
    <m/>
    <m/>
    <m/>
    <m/>
    <s v="MMR015CMP001"/>
    <m/>
  </r>
  <r>
    <x v="191"/>
    <x v="24"/>
    <x v="12"/>
    <s v="DRC"/>
    <s v="Shan_North"/>
    <x v="28"/>
    <s v="Namhkan - Pang Long KBC"/>
    <n v="2"/>
    <m/>
    <m/>
    <n v="1"/>
    <m/>
    <m/>
    <m/>
    <n v="1"/>
    <m/>
    <m/>
    <m/>
    <n v="1"/>
    <m/>
    <m/>
    <n v="1"/>
    <m/>
    <m/>
    <m/>
    <m/>
    <m/>
    <e v="#REF!"/>
    <e v="#REF!"/>
    <e v="#REF!"/>
    <e v="#REF!"/>
    <e v="#REF!"/>
    <e v="#REF!"/>
    <e v="#REF!"/>
    <e v="#REF!"/>
    <e v="#REF!"/>
    <e v="#REF!"/>
    <m/>
    <m/>
    <m/>
    <n v="1"/>
    <m/>
    <m/>
    <m/>
    <m/>
    <m/>
    <m/>
    <m/>
    <s v="MMR015CMP215"/>
    <s v="One Sock and One Flask"/>
  </r>
  <r>
    <x v="192"/>
    <x v="24"/>
    <x v="12"/>
    <s v="DRC"/>
    <s v="Kachin"/>
    <x v="2"/>
    <s v="Man Wing Catholic Church II"/>
    <n v="144"/>
    <m/>
    <m/>
    <m/>
    <m/>
    <m/>
    <m/>
    <n v="2"/>
    <m/>
    <m/>
    <m/>
    <n v="1"/>
    <m/>
    <m/>
    <m/>
    <m/>
    <m/>
    <m/>
    <m/>
    <m/>
    <e v="#REF!"/>
    <e v="#REF!"/>
    <e v="#REF!"/>
    <e v="#REF!"/>
    <e v="#REF!"/>
    <e v="#REF!"/>
    <e v="#REF!"/>
    <e v="#REF!"/>
    <e v="#REF!"/>
    <e v="#REF!"/>
    <m/>
    <m/>
    <m/>
    <n v="0"/>
    <m/>
    <m/>
    <m/>
    <m/>
    <m/>
    <m/>
    <m/>
    <s v="MMR001CMP228"/>
    <m/>
  </r>
  <r>
    <x v="192"/>
    <x v="24"/>
    <x v="12"/>
    <s v="DRC"/>
    <s v="Shan_North"/>
    <x v="28"/>
    <s v="Nam Hkam - Nay Win Ni (Palawng)"/>
    <n v="76"/>
    <m/>
    <m/>
    <m/>
    <m/>
    <m/>
    <m/>
    <m/>
    <n v="76"/>
    <m/>
    <m/>
    <m/>
    <m/>
    <m/>
    <m/>
    <m/>
    <m/>
    <m/>
    <m/>
    <m/>
    <e v="#REF!"/>
    <e v="#REF!"/>
    <e v="#REF!"/>
    <e v="#REF!"/>
    <e v="#REF!"/>
    <e v="#REF!"/>
    <e v="#REF!"/>
    <e v="#REF!"/>
    <e v="#REF!"/>
    <e v="#REF!"/>
    <m/>
    <m/>
    <m/>
    <n v="0"/>
    <m/>
    <m/>
    <m/>
    <m/>
    <m/>
    <m/>
    <m/>
    <s v="MMR015CMP004"/>
    <m/>
  </r>
  <r>
    <x v="193"/>
    <x v="25"/>
    <x v="10"/>
    <m/>
    <s v="Shan_North"/>
    <x v="21"/>
    <s v="Ton Kar Village"/>
    <m/>
    <m/>
    <m/>
    <n v="13"/>
    <m/>
    <m/>
    <m/>
    <m/>
    <m/>
    <m/>
    <m/>
    <m/>
    <m/>
    <m/>
    <m/>
    <m/>
    <m/>
    <m/>
    <m/>
    <m/>
    <e v="#REF!"/>
    <e v="#REF!"/>
    <e v="#REF!"/>
    <e v="#REF!"/>
    <e v="#REF!"/>
    <e v="#REF!"/>
    <e v="#REF!"/>
    <e v="#REF!"/>
    <e v="#REF!"/>
    <e v="#REF!"/>
    <m/>
    <m/>
    <m/>
    <n v="0"/>
    <m/>
    <m/>
    <m/>
    <m/>
    <m/>
    <m/>
    <m/>
    <s v=""/>
    <m/>
  </r>
  <r>
    <x v="193"/>
    <x v="25"/>
    <x v="10"/>
    <m/>
    <s v="Shan_North"/>
    <x v="21"/>
    <s v="Nar Kan Monastery"/>
    <m/>
    <m/>
    <m/>
    <n v="44"/>
    <m/>
    <m/>
    <m/>
    <m/>
    <m/>
    <m/>
    <m/>
    <m/>
    <m/>
    <m/>
    <m/>
    <m/>
    <m/>
    <m/>
    <m/>
    <m/>
    <e v="#REF!"/>
    <e v="#REF!"/>
    <e v="#REF!"/>
    <e v="#REF!"/>
    <e v="#REF!"/>
    <e v="#REF!"/>
    <e v="#REF!"/>
    <e v="#REF!"/>
    <e v="#REF!"/>
    <e v="#REF!"/>
    <m/>
    <m/>
    <m/>
    <n v="0"/>
    <m/>
    <m/>
    <m/>
    <m/>
    <m/>
    <m/>
    <m/>
    <s v=""/>
    <m/>
  </r>
  <r>
    <x v="194"/>
    <x v="25"/>
    <x v="12"/>
    <s v="KBC- MYT"/>
    <s v="Kachin"/>
    <x v="38"/>
    <s v="Yumar Baptist Church"/>
    <m/>
    <n v="15"/>
    <m/>
    <m/>
    <n v="30"/>
    <n v="35"/>
    <n v="15"/>
    <n v="35"/>
    <m/>
    <m/>
    <n v="15"/>
    <n v="35"/>
    <n v="60"/>
    <n v="19"/>
    <m/>
    <m/>
    <m/>
    <m/>
    <n v="15"/>
    <m/>
    <e v="#REF!"/>
    <e v="#REF!"/>
    <e v="#REF!"/>
    <e v="#REF!"/>
    <e v="#REF!"/>
    <e v="#REF!"/>
    <e v="#REF!"/>
    <e v="#REF!"/>
    <e v="#REF!"/>
    <e v="#REF!"/>
    <m/>
    <m/>
    <m/>
    <n v="1"/>
    <m/>
    <m/>
    <m/>
    <m/>
    <m/>
    <m/>
    <m/>
    <s v="MMR001CMP105"/>
    <m/>
  </r>
  <r>
    <x v="195"/>
    <x v="24"/>
    <x v="16"/>
    <s v="ICRC (Observer)"/>
    <s v="Kachin"/>
    <x v="1"/>
    <s v="Ti Yang Zup"/>
    <m/>
    <m/>
    <m/>
    <m/>
    <m/>
    <m/>
    <m/>
    <m/>
    <m/>
    <m/>
    <m/>
    <n v="18"/>
    <n v="36"/>
    <n v="72"/>
    <n v="18"/>
    <n v="18"/>
    <m/>
    <n v="9"/>
    <m/>
    <m/>
    <e v="#REF!"/>
    <e v="#REF!"/>
    <e v="#REF!"/>
    <e v="#REF!"/>
    <e v="#REF!"/>
    <e v="#REF!"/>
    <e v="#REF!"/>
    <e v="#REF!"/>
    <e v="#REF!"/>
    <e v="#REF!"/>
    <m/>
    <m/>
    <m/>
    <n v="1"/>
    <m/>
    <m/>
    <m/>
    <m/>
    <m/>
    <m/>
    <m/>
    <s v="MMR001CMP267"/>
    <m/>
  </r>
  <r>
    <x v="195"/>
    <x v="24"/>
    <x v="16"/>
    <s v="ICRC (Observer)"/>
    <s v="Kachin"/>
    <x v="8"/>
    <s v="Lai Wun Yang"/>
    <m/>
    <m/>
    <m/>
    <m/>
    <m/>
    <m/>
    <m/>
    <m/>
    <m/>
    <m/>
    <m/>
    <n v="56"/>
    <n v="112"/>
    <n v="224"/>
    <n v="56"/>
    <n v="56"/>
    <m/>
    <n v="28"/>
    <m/>
    <m/>
    <e v="#REF!"/>
    <e v="#REF!"/>
    <e v="#REF!"/>
    <e v="#REF!"/>
    <e v="#REF!"/>
    <e v="#REF!"/>
    <e v="#REF!"/>
    <e v="#REF!"/>
    <e v="#REF!"/>
    <e v="#REF!"/>
    <m/>
    <m/>
    <m/>
    <n v="1"/>
    <m/>
    <m/>
    <m/>
    <m/>
    <m/>
    <m/>
    <m/>
    <s v=""/>
    <m/>
  </r>
  <r>
    <x v="195"/>
    <x v="24"/>
    <x v="16"/>
    <s v="ICRC (Observer)"/>
    <s v="Kachin"/>
    <x v="8"/>
    <s v="Zut Hkar"/>
    <m/>
    <m/>
    <m/>
    <m/>
    <m/>
    <m/>
    <m/>
    <m/>
    <m/>
    <m/>
    <m/>
    <n v="16"/>
    <n v="32"/>
    <n v="64"/>
    <n v="16"/>
    <n v="16"/>
    <m/>
    <n v="8"/>
    <m/>
    <m/>
    <e v="#REF!"/>
    <e v="#REF!"/>
    <e v="#REF!"/>
    <e v="#REF!"/>
    <e v="#REF!"/>
    <e v="#REF!"/>
    <e v="#REF!"/>
    <e v="#REF!"/>
    <e v="#REF!"/>
    <e v="#REF!"/>
    <m/>
    <m/>
    <m/>
    <n v="1"/>
    <m/>
    <m/>
    <m/>
    <m/>
    <m/>
    <m/>
    <m/>
    <s v=""/>
    <m/>
  </r>
  <r>
    <x v="195"/>
    <x v="24"/>
    <x v="16"/>
    <s v="ICRC (Observer)"/>
    <s v="Kachin"/>
    <x v="8"/>
    <s v="Ka Ran Yang"/>
    <m/>
    <m/>
    <m/>
    <m/>
    <m/>
    <m/>
    <m/>
    <m/>
    <m/>
    <m/>
    <m/>
    <n v="26"/>
    <n v="52"/>
    <n v="104"/>
    <n v="26"/>
    <n v="26"/>
    <m/>
    <n v="13"/>
    <m/>
    <m/>
    <e v="#REF!"/>
    <e v="#REF!"/>
    <e v="#REF!"/>
    <e v="#REF!"/>
    <e v="#REF!"/>
    <e v="#REF!"/>
    <e v="#REF!"/>
    <e v="#REF!"/>
    <e v="#REF!"/>
    <e v="#REF!"/>
    <m/>
    <m/>
    <m/>
    <n v="1"/>
    <m/>
    <m/>
    <m/>
    <m/>
    <m/>
    <m/>
    <m/>
    <s v=""/>
    <m/>
  </r>
  <r>
    <x v="196"/>
    <x v="24"/>
    <x v="16"/>
    <s v="ICRC (Observer)"/>
    <s v="Kachin"/>
    <x v="8"/>
    <s v="Da Ru Kha"/>
    <m/>
    <m/>
    <m/>
    <m/>
    <m/>
    <m/>
    <m/>
    <m/>
    <m/>
    <m/>
    <m/>
    <n v="44"/>
    <n v="88"/>
    <n v="176"/>
    <n v="44"/>
    <n v="44"/>
    <m/>
    <n v="22"/>
    <m/>
    <m/>
    <e v="#REF!"/>
    <e v="#REF!"/>
    <e v="#REF!"/>
    <e v="#REF!"/>
    <e v="#REF!"/>
    <e v="#REF!"/>
    <e v="#REF!"/>
    <e v="#REF!"/>
    <e v="#REF!"/>
    <e v="#REF!"/>
    <m/>
    <m/>
    <m/>
    <n v="1"/>
    <m/>
    <m/>
    <m/>
    <m/>
    <m/>
    <m/>
    <m/>
    <s v=""/>
    <m/>
  </r>
  <r>
    <x v="196"/>
    <x v="24"/>
    <x v="16"/>
    <s v="ICRC (Observer)"/>
    <s v="Kachin"/>
    <x v="8"/>
    <s v="Su Yang (Ka War Pan)"/>
    <m/>
    <m/>
    <m/>
    <m/>
    <m/>
    <m/>
    <m/>
    <m/>
    <m/>
    <m/>
    <m/>
    <n v="16"/>
    <n v="32"/>
    <n v="64"/>
    <n v="16"/>
    <n v="16"/>
    <m/>
    <n v="8"/>
    <m/>
    <m/>
    <e v="#REF!"/>
    <e v="#REF!"/>
    <e v="#REF!"/>
    <e v="#REF!"/>
    <e v="#REF!"/>
    <e v="#REF!"/>
    <e v="#REF!"/>
    <e v="#REF!"/>
    <e v="#REF!"/>
    <e v="#REF!"/>
    <m/>
    <m/>
    <m/>
    <n v="1"/>
    <m/>
    <m/>
    <m/>
    <m/>
    <m/>
    <m/>
    <m/>
    <s v=""/>
    <m/>
  </r>
  <r>
    <x v="197"/>
    <x v="24"/>
    <x v="16"/>
    <s v="ICRC (Observer)"/>
    <s v="Kachin"/>
    <x v="8"/>
    <s v="Hka Htut (Hka Ka Ran Yang)"/>
    <m/>
    <m/>
    <m/>
    <m/>
    <m/>
    <m/>
    <m/>
    <m/>
    <m/>
    <m/>
    <m/>
    <n v="8"/>
    <n v="16"/>
    <n v="32"/>
    <n v="8"/>
    <n v="8"/>
    <m/>
    <n v="4"/>
    <m/>
    <m/>
    <e v="#REF!"/>
    <e v="#REF!"/>
    <e v="#REF!"/>
    <e v="#REF!"/>
    <e v="#REF!"/>
    <e v="#REF!"/>
    <e v="#REF!"/>
    <e v="#REF!"/>
    <e v="#REF!"/>
    <e v="#REF!"/>
    <m/>
    <m/>
    <m/>
    <n v="1"/>
    <m/>
    <m/>
    <m/>
    <m/>
    <m/>
    <m/>
    <m/>
    <s v=""/>
    <m/>
  </r>
  <r>
    <x v="197"/>
    <x v="24"/>
    <x v="16"/>
    <s v="ICRC (Observer)"/>
    <s v="Kachin"/>
    <x v="8"/>
    <s v="Hka Ka Ran Yang"/>
    <m/>
    <m/>
    <m/>
    <m/>
    <m/>
    <m/>
    <m/>
    <m/>
    <m/>
    <m/>
    <m/>
    <n v="82"/>
    <n v="164"/>
    <n v="328"/>
    <n v="82"/>
    <n v="82"/>
    <m/>
    <n v="41"/>
    <m/>
    <m/>
    <e v="#REF!"/>
    <e v="#REF!"/>
    <e v="#REF!"/>
    <e v="#REF!"/>
    <e v="#REF!"/>
    <e v="#REF!"/>
    <e v="#REF!"/>
    <e v="#REF!"/>
    <e v="#REF!"/>
    <e v="#REF!"/>
    <m/>
    <m/>
    <m/>
    <n v="1"/>
    <m/>
    <m/>
    <m/>
    <m/>
    <m/>
    <m/>
    <m/>
    <s v=""/>
    <m/>
  </r>
  <r>
    <x v="197"/>
    <x v="24"/>
    <x v="16"/>
    <s v="ICRC (Observer)"/>
    <s v="Kachin"/>
    <x v="8"/>
    <s v="La Ja Bum"/>
    <m/>
    <m/>
    <m/>
    <m/>
    <m/>
    <m/>
    <m/>
    <m/>
    <m/>
    <m/>
    <m/>
    <n v="4"/>
    <n v="8"/>
    <n v="16"/>
    <n v="4"/>
    <n v="4"/>
    <m/>
    <n v="2"/>
    <m/>
    <m/>
    <e v="#REF!"/>
    <e v="#REF!"/>
    <e v="#REF!"/>
    <e v="#REF!"/>
    <e v="#REF!"/>
    <e v="#REF!"/>
    <e v="#REF!"/>
    <e v="#REF!"/>
    <e v="#REF!"/>
    <e v="#REF!"/>
    <m/>
    <m/>
    <m/>
    <n v="1"/>
    <m/>
    <m/>
    <m/>
    <m/>
    <m/>
    <m/>
    <m/>
    <s v=""/>
    <m/>
  </r>
  <r>
    <x v="197"/>
    <x v="24"/>
    <x v="16"/>
    <s v="ICRC (Observer)"/>
    <s v="Kachin"/>
    <x v="8"/>
    <s v="Kawng Ja"/>
    <m/>
    <m/>
    <m/>
    <m/>
    <m/>
    <m/>
    <m/>
    <m/>
    <m/>
    <m/>
    <m/>
    <n v="6"/>
    <n v="12"/>
    <n v="24"/>
    <n v="6"/>
    <n v="6"/>
    <m/>
    <n v="3"/>
    <m/>
    <m/>
    <e v="#REF!"/>
    <e v="#REF!"/>
    <e v="#REF!"/>
    <e v="#REF!"/>
    <e v="#REF!"/>
    <e v="#REF!"/>
    <e v="#REF!"/>
    <e v="#REF!"/>
    <e v="#REF!"/>
    <e v="#REF!"/>
    <m/>
    <m/>
    <m/>
    <n v="1"/>
    <m/>
    <m/>
    <m/>
    <m/>
    <m/>
    <m/>
    <m/>
    <s v=""/>
    <m/>
  </r>
  <r>
    <x v="197"/>
    <x v="24"/>
    <x v="16"/>
    <s v="ICRC (Observer)"/>
    <s v="Kachin"/>
    <x v="8"/>
    <s v="Sut Ra"/>
    <m/>
    <m/>
    <m/>
    <m/>
    <m/>
    <m/>
    <m/>
    <m/>
    <m/>
    <m/>
    <m/>
    <n v="18"/>
    <n v="36"/>
    <n v="72"/>
    <n v="18"/>
    <n v="18"/>
    <m/>
    <n v="9"/>
    <m/>
    <m/>
    <e v="#REF!"/>
    <e v="#REF!"/>
    <e v="#REF!"/>
    <e v="#REF!"/>
    <e v="#REF!"/>
    <e v="#REF!"/>
    <e v="#REF!"/>
    <e v="#REF!"/>
    <e v="#REF!"/>
    <e v="#REF!"/>
    <m/>
    <m/>
    <m/>
    <n v="1"/>
    <m/>
    <m/>
    <m/>
    <m/>
    <m/>
    <m/>
    <m/>
    <s v=""/>
    <m/>
  </r>
  <r>
    <x v="198"/>
    <x v="24"/>
    <x v="16"/>
    <s v="ICRC (Observer)"/>
    <s v="Kachin"/>
    <x v="8"/>
    <s v="Mai Htaung "/>
    <m/>
    <m/>
    <m/>
    <m/>
    <m/>
    <m/>
    <m/>
    <m/>
    <m/>
    <m/>
    <m/>
    <n v="74"/>
    <n v="148"/>
    <n v="296"/>
    <n v="74"/>
    <n v="74"/>
    <m/>
    <n v="37"/>
    <m/>
    <m/>
    <e v="#REF!"/>
    <e v="#REF!"/>
    <e v="#REF!"/>
    <e v="#REF!"/>
    <e v="#REF!"/>
    <e v="#REF!"/>
    <e v="#REF!"/>
    <e v="#REF!"/>
    <e v="#REF!"/>
    <e v="#REF!"/>
    <m/>
    <m/>
    <m/>
    <n v="1"/>
    <m/>
    <m/>
    <m/>
    <m/>
    <m/>
    <m/>
    <m/>
    <s v=""/>
    <m/>
  </r>
  <r>
    <x v="198"/>
    <x v="24"/>
    <x v="16"/>
    <s v="ICRC (Observer)"/>
    <s v="Kachin"/>
    <x v="8"/>
    <s v="Su Yang (In Ta Ga Lu)"/>
    <m/>
    <m/>
    <m/>
    <m/>
    <m/>
    <m/>
    <m/>
    <m/>
    <m/>
    <m/>
    <m/>
    <n v="26"/>
    <n v="52"/>
    <n v="104"/>
    <n v="26"/>
    <n v="26"/>
    <m/>
    <n v="13"/>
    <m/>
    <m/>
    <e v="#REF!"/>
    <e v="#REF!"/>
    <e v="#REF!"/>
    <e v="#REF!"/>
    <e v="#REF!"/>
    <e v="#REF!"/>
    <e v="#REF!"/>
    <e v="#REF!"/>
    <e v="#REF!"/>
    <e v="#REF!"/>
    <m/>
    <m/>
    <m/>
    <n v="1"/>
    <m/>
    <m/>
    <m/>
    <m/>
    <m/>
    <m/>
    <m/>
    <s v=""/>
    <m/>
  </r>
  <r>
    <x v="195"/>
    <x v="24"/>
    <x v="16"/>
    <s v="ICRC (Observer)"/>
    <s v="Kachin"/>
    <x v="8"/>
    <s v="In Ta Ga Lu"/>
    <m/>
    <m/>
    <m/>
    <m/>
    <m/>
    <m/>
    <m/>
    <m/>
    <m/>
    <m/>
    <m/>
    <n v="22"/>
    <n v="44"/>
    <n v="88"/>
    <n v="22"/>
    <n v="22"/>
    <m/>
    <n v="11"/>
    <m/>
    <m/>
    <e v="#REF!"/>
    <e v="#REF!"/>
    <e v="#REF!"/>
    <e v="#REF!"/>
    <e v="#REF!"/>
    <e v="#REF!"/>
    <e v="#REF!"/>
    <e v="#REF!"/>
    <e v="#REF!"/>
    <e v="#REF!"/>
    <m/>
    <m/>
    <m/>
    <n v="1"/>
    <m/>
    <m/>
    <m/>
    <m/>
    <m/>
    <m/>
    <m/>
    <s v=""/>
    <m/>
  </r>
  <r>
    <x v="196"/>
    <x v="24"/>
    <x v="16"/>
    <s v="ICRC (Observer)"/>
    <s v="Kachin"/>
    <x v="8"/>
    <s v="Khin Du Kawng (In Ta Ga Lu)"/>
    <m/>
    <m/>
    <m/>
    <m/>
    <m/>
    <m/>
    <m/>
    <m/>
    <m/>
    <m/>
    <m/>
    <n v="40"/>
    <n v="80"/>
    <n v="160"/>
    <n v="40"/>
    <n v="40"/>
    <m/>
    <n v="20"/>
    <m/>
    <m/>
    <e v="#REF!"/>
    <e v="#REF!"/>
    <e v="#REF!"/>
    <e v="#REF!"/>
    <e v="#REF!"/>
    <e v="#REF!"/>
    <e v="#REF!"/>
    <e v="#REF!"/>
    <e v="#REF!"/>
    <e v="#REF!"/>
    <m/>
    <m/>
    <m/>
    <n v="1"/>
    <m/>
    <m/>
    <m/>
    <m/>
    <m/>
    <m/>
    <m/>
    <s v=""/>
    <m/>
  </r>
  <r>
    <x v="196"/>
    <x v="24"/>
    <x v="16"/>
    <s v="ICRC (Observer)"/>
    <s v="Kachin"/>
    <x v="8"/>
    <s v="Ping Saung (In Ta Ga Lu)"/>
    <m/>
    <m/>
    <m/>
    <m/>
    <m/>
    <m/>
    <m/>
    <m/>
    <m/>
    <m/>
    <m/>
    <n v="18"/>
    <n v="36"/>
    <n v="72"/>
    <n v="18"/>
    <n v="18"/>
    <m/>
    <n v="9"/>
    <m/>
    <m/>
    <e v="#REF!"/>
    <e v="#REF!"/>
    <e v="#REF!"/>
    <e v="#REF!"/>
    <e v="#REF!"/>
    <e v="#REF!"/>
    <e v="#REF!"/>
    <e v="#REF!"/>
    <e v="#REF!"/>
    <e v="#REF!"/>
    <m/>
    <m/>
    <m/>
    <n v="1"/>
    <m/>
    <m/>
    <m/>
    <m/>
    <m/>
    <m/>
    <m/>
    <s v=""/>
    <m/>
  </r>
  <r>
    <x v="196"/>
    <x v="24"/>
    <x v="16"/>
    <s v="ICRC (Observer)"/>
    <s v="Kachin"/>
    <x v="8"/>
    <s v="Ka Ba Yan Khu Ward "/>
    <m/>
    <m/>
    <m/>
    <m/>
    <m/>
    <m/>
    <m/>
    <m/>
    <m/>
    <m/>
    <m/>
    <n v="64"/>
    <n v="128"/>
    <n v="256"/>
    <n v="64"/>
    <n v="64"/>
    <m/>
    <n v="32"/>
    <m/>
    <m/>
    <e v="#REF!"/>
    <e v="#REF!"/>
    <e v="#REF!"/>
    <e v="#REF!"/>
    <e v="#REF!"/>
    <e v="#REF!"/>
    <e v="#REF!"/>
    <e v="#REF!"/>
    <e v="#REF!"/>
    <e v="#REF!"/>
    <m/>
    <m/>
    <m/>
    <n v="1"/>
    <m/>
    <m/>
    <m/>
    <m/>
    <m/>
    <m/>
    <m/>
    <s v=""/>
    <m/>
  </r>
  <r>
    <x v="196"/>
    <x v="24"/>
    <x v="16"/>
    <s v="ICRC (Observer)"/>
    <s v="Kachin"/>
    <x v="8"/>
    <s v="Myo Ma Ward "/>
    <m/>
    <m/>
    <m/>
    <m/>
    <m/>
    <m/>
    <m/>
    <m/>
    <m/>
    <m/>
    <m/>
    <n v="266"/>
    <n v="532"/>
    <n v="1064"/>
    <n v="266"/>
    <n v="266"/>
    <m/>
    <n v="133"/>
    <m/>
    <m/>
    <e v="#REF!"/>
    <e v="#REF!"/>
    <e v="#REF!"/>
    <e v="#REF!"/>
    <e v="#REF!"/>
    <e v="#REF!"/>
    <e v="#REF!"/>
    <e v="#REF!"/>
    <e v="#REF!"/>
    <e v="#REF!"/>
    <m/>
    <m/>
    <m/>
    <n v="1"/>
    <m/>
    <m/>
    <m/>
    <m/>
    <m/>
    <m/>
    <m/>
    <s v=""/>
    <m/>
  </r>
  <r>
    <x v="196"/>
    <x v="24"/>
    <x v="16"/>
    <s v="ICRC (Observer)"/>
    <s v="Kachin"/>
    <x v="8"/>
    <s v="Sumprabum Town "/>
    <m/>
    <m/>
    <m/>
    <m/>
    <m/>
    <m/>
    <m/>
    <m/>
    <m/>
    <m/>
    <m/>
    <n v="28"/>
    <n v="56"/>
    <n v="112"/>
    <n v="28"/>
    <n v="28"/>
    <m/>
    <n v="14"/>
    <m/>
    <m/>
    <e v="#REF!"/>
    <e v="#REF!"/>
    <e v="#REF!"/>
    <e v="#REF!"/>
    <e v="#REF!"/>
    <e v="#REF!"/>
    <e v="#REF!"/>
    <e v="#REF!"/>
    <e v="#REF!"/>
    <e v="#REF!"/>
    <m/>
    <m/>
    <m/>
    <n v="1"/>
    <m/>
    <m/>
    <m/>
    <m/>
    <m/>
    <m/>
    <m/>
    <s v=""/>
    <m/>
  </r>
  <r>
    <x v="196"/>
    <x v="24"/>
    <x v="16"/>
    <s v="ICRC (Observer)"/>
    <s v="Kachin"/>
    <x v="8"/>
    <s v="War Sat Khu Ward "/>
    <m/>
    <m/>
    <m/>
    <m/>
    <m/>
    <m/>
    <m/>
    <m/>
    <m/>
    <m/>
    <m/>
    <n v="102"/>
    <n v="204"/>
    <n v="408"/>
    <n v="102"/>
    <n v="102"/>
    <m/>
    <n v="51"/>
    <m/>
    <m/>
    <e v="#REF!"/>
    <e v="#REF!"/>
    <e v="#REF!"/>
    <e v="#REF!"/>
    <e v="#REF!"/>
    <e v="#REF!"/>
    <e v="#REF!"/>
    <e v="#REF!"/>
    <e v="#REF!"/>
    <e v="#REF!"/>
    <m/>
    <m/>
    <m/>
    <n v="1"/>
    <m/>
    <m/>
    <m/>
    <m/>
    <m/>
    <m/>
    <m/>
    <s v=""/>
    <m/>
  </r>
  <r>
    <x v="197"/>
    <x v="24"/>
    <x v="16"/>
    <s v="ICRC (Observer)"/>
    <s v="Kachin"/>
    <x v="8"/>
    <s v="In Gaw Ma"/>
    <m/>
    <m/>
    <m/>
    <m/>
    <m/>
    <m/>
    <m/>
    <m/>
    <m/>
    <m/>
    <m/>
    <n v="36"/>
    <n v="72"/>
    <n v="144"/>
    <n v="36"/>
    <n v="36"/>
    <m/>
    <n v="18"/>
    <m/>
    <m/>
    <e v="#REF!"/>
    <e v="#REF!"/>
    <e v="#REF!"/>
    <e v="#REF!"/>
    <e v="#REF!"/>
    <e v="#REF!"/>
    <e v="#REF!"/>
    <e v="#REF!"/>
    <e v="#REF!"/>
    <e v="#REF!"/>
    <m/>
    <m/>
    <m/>
    <n v="1"/>
    <m/>
    <m/>
    <m/>
    <m/>
    <m/>
    <m/>
    <m/>
    <s v=""/>
    <m/>
  </r>
  <r>
    <x v="197"/>
    <x v="24"/>
    <x v="16"/>
    <s v="ICRC (Observer)"/>
    <s v="Kachin"/>
    <x v="8"/>
    <s v="Hpon Kyan"/>
    <m/>
    <m/>
    <m/>
    <m/>
    <m/>
    <m/>
    <m/>
    <m/>
    <m/>
    <m/>
    <m/>
    <n v="94"/>
    <n v="188"/>
    <n v="237"/>
    <n v="94"/>
    <n v="94"/>
    <m/>
    <n v="47"/>
    <m/>
    <m/>
    <e v="#REF!"/>
    <e v="#REF!"/>
    <e v="#REF!"/>
    <e v="#REF!"/>
    <e v="#REF!"/>
    <e v="#REF!"/>
    <e v="#REF!"/>
    <e v="#REF!"/>
    <e v="#REF!"/>
    <e v="#REF!"/>
    <m/>
    <m/>
    <m/>
    <n v="1"/>
    <m/>
    <m/>
    <m/>
    <m/>
    <m/>
    <m/>
    <m/>
    <s v=""/>
    <m/>
  </r>
  <r>
    <x v="197"/>
    <x v="24"/>
    <x v="16"/>
    <s v="ICRC (Observer)"/>
    <s v="Kachin"/>
    <x v="8"/>
    <s v="Hpung Ing Yang"/>
    <m/>
    <m/>
    <m/>
    <m/>
    <m/>
    <m/>
    <m/>
    <m/>
    <m/>
    <m/>
    <m/>
    <n v="54"/>
    <n v="108"/>
    <n v="216"/>
    <n v="54"/>
    <n v="54"/>
    <m/>
    <n v="27"/>
    <m/>
    <m/>
    <e v="#REF!"/>
    <e v="#REF!"/>
    <e v="#REF!"/>
    <e v="#REF!"/>
    <e v="#REF!"/>
    <e v="#REF!"/>
    <e v="#REF!"/>
    <e v="#REF!"/>
    <e v="#REF!"/>
    <e v="#REF!"/>
    <m/>
    <m/>
    <m/>
    <n v="1"/>
    <m/>
    <m/>
    <m/>
    <m/>
    <m/>
    <m/>
    <m/>
    <s v=""/>
    <m/>
  </r>
  <r>
    <x v="196"/>
    <x v="24"/>
    <x v="16"/>
    <s v="ICRC (Observer)"/>
    <s v="Kachin"/>
    <x v="8"/>
    <s v="Khin Du Yang"/>
    <m/>
    <m/>
    <m/>
    <m/>
    <m/>
    <m/>
    <m/>
    <m/>
    <m/>
    <m/>
    <m/>
    <n v="80"/>
    <n v="160"/>
    <n v="320"/>
    <n v="80"/>
    <n v="80"/>
    <m/>
    <n v="40"/>
    <m/>
    <m/>
    <e v="#REF!"/>
    <e v="#REF!"/>
    <e v="#REF!"/>
    <e v="#REF!"/>
    <e v="#REF!"/>
    <e v="#REF!"/>
    <e v="#REF!"/>
    <e v="#REF!"/>
    <e v="#REF!"/>
    <e v="#REF!"/>
    <m/>
    <m/>
    <m/>
    <n v="1"/>
    <m/>
    <m/>
    <m/>
    <m/>
    <m/>
    <m/>
    <m/>
    <s v=""/>
    <m/>
  </r>
  <r>
    <x v="196"/>
    <x v="24"/>
    <x v="16"/>
    <s v="ICRC (Observer)"/>
    <s v="Kachin"/>
    <x v="8"/>
    <s v="In Sai Yang"/>
    <m/>
    <m/>
    <m/>
    <m/>
    <m/>
    <m/>
    <m/>
    <m/>
    <m/>
    <m/>
    <m/>
    <n v="24"/>
    <n v="48"/>
    <n v="96"/>
    <n v="24"/>
    <n v="24"/>
    <m/>
    <n v="12"/>
    <m/>
    <m/>
    <e v="#REF!"/>
    <e v="#REF!"/>
    <e v="#REF!"/>
    <e v="#REF!"/>
    <e v="#REF!"/>
    <e v="#REF!"/>
    <e v="#REF!"/>
    <e v="#REF!"/>
    <e v="#REF!"/>
    <e v="#REF!"/>
    <m/>
    <m/>
    <m/>
    <n v="1"/>
    <m/>
    <m/>
    <m/>
    <m/>
    <m/>
    <m/>
    <m/>
    <s v=""/>
    <m/>
  </r>
  <r>
    <x v="197"/>
    <x v="24"/>
    <x v="16"/>
    <s v="ICRC (Observer)"/>
    <s v="Kachin"/>
    <x v="8"/>
    <s v="Sumpi Yang"/>
    <m/>
    <m/>
    <m/>
    <m/>
    <m/>
    <m/>
    <m/>
    <m/>
    <m/>
    <m/>
    <m/>
    <n v="366"/>
    <n v="732"/>
    <n v="1464"/>
    <n v="366"/>
    <n v="366"/>
    <m/>
    <n v="183"/>
    <m/>
    <m/>
    <e v="#REF!"/>
    <e v="#REF!"/>
    <e v="#REF!"/>
    <e v="#REF!"/>
    <e v="#REF!"/>
    <e v="#REF!"/>
    <e v="#REF!"/>
    <e v="#REF!"/>
    <e v="#REF!"/>
    <e v="#REF!"/>
    <m/>
    <m/>
    <m/>
    <n v="1"/>
    <m/>
    <m/>
    <m/>
    <m/>
    <m/>
    <m/>
    <m/>
    <s v=""/>
    <m/>
  </r>
  <r>
    <x v="197"/>
    <x v="24"/>
    <x v="16"/>
    <s v="ICRC (Observer)"/>
    <s v="Kachin"/>
    <x v="8"/>
    <s v="Matsi Yang"/>
    <m/>
    <m/>
    <m/>
    <m/>
    <m/>
    <m/>
    <m/>
    <m/>
    <m/>
    <m/>
    <m/>
    <n v="90"/>
    <n v="180"/>
    <n v="360"/>
    <n v="90"/>
    <n v="90"/>
    <m/>
    <n v="45"/>
    <m/>
    <m/>
    <e v="#REF!"/>
    <e v="#REF!"/>
    <e v="#REF!"/>
    <e v="#REF!"/>
    <e v="#REF!"/>
    <e v="#REF!"/>
    <e v="#REF!"/>
    <e v="#REF!"/>
    <e v="#REF!"/>
    <e v="#REF!"/>
    <m/>
    <m/>
    <m/>
    <n v="1"/>
    <m/>
    <m/>
    <m/>
    <m/>
    <m/>
    <m/>
    <m/>
    <s v=""/>
    <m/>
  </r>
  <r>
    <x v="198"/>
    <x v="24"/>
    <x v="16"/>
    <s v="ICRC (Observer)"/>
    <s v="Kachin"/>
    <x v="8"/>
    <s v="Wa Dat"/>
    <m/>
    <m/>
    <m/>
    <m/>
    <m/>
    <m/>
    <m/>
    <m/>
    <m/>
    <m/>
    <m/>
    <n v="22"/>
    <n v="44"/>
    <n v="88"/>
    <n v="22"/>
    <n v="22"/>
    <m/>
    <n v="11"/>
    <m/>
    <m/>
    <e v="#REF!"/>
    <e v="#REF!"/>
    <e v="#REF!"/>
    <e v="#REF!"/>
    <e v="#REF!"/>
    <e v="#REF!"/>
    <e v="#REF!"/>
    <e v="#REF!"/>
    <e v="#REF!"/>
    <e v="#REF!"/>
    <m/>
    <m/>
    <m/>
    <n v="1"/>
    <m/>
    <m/>
    <m/>
    <m/>
    <m/>
    <m/>
    <m/>
    <s v=""/>
    <m/>
  </r>
  <r>
    <x v="194"/>
    <x v="25"/>
    <x v="12"/>
    <s v="KBC- MYT"/>
    <s v="Kachin"/>
    <x v="38"/>
    <s v="Baptist Church, Hmaw Si Sar(Lon Khin)"/>
    <m/>
    <m/>
    <m/>
    <m/>
    <m/>
    <m/>
    <n v="31"/>
    <m/>
    <m/>
    <m/>
    <m/>
    <n v="34"/>
    <m/>
    <m/>
    <m/>
    <m/>
    <m/>
    <m/>
    <m/>
    <m/>
    <e v="#REF!"/>
    <e v="#REF!"/>
    <e v="#REF!"/>
    <e v="#REF!"/>
    <e v="#REF!"/>
    <e v="#REF!"/>
    <e v="#REF!"/>
    <e v="#REF!"/>
    <e v="#REF!"/>
    <e v="#REF!"/>
    <m/>
    <m/>
    <m/>
    <n v="0"/>
    <m/>
    <m/>
    <m/>
    <m/>
    <m/>
    <m/>
    <m/>
    <s v="MMR001CMP169"/>
    <m/>
  </r>
  <r>
    <x v="199"/>
    <x v="25"/>
    <x v="12"/>
    <s v="KBC- MYT"/>
    <s v="Kachin"/>
    <x v="38"/>
    <s v="Shar Du Zut KBC church "/>
    <m/>
    <m/>
    <m/>
    <m/>
    <m/>
    <n v="60"/>
    <n v="28"/>
    <m/>
    <m/>
    <m/>
    <m/>
    <n v="60"/>
    <m/>
    <n v="26"/>
    <m/>
    <m/>
    <m/>
    <m/>
    <m/>
    <m/>
    <e v="#REF!"/>
    <e v="#REF!"/>
    <e v="#REF!"/>
    <e v="#REF!"/>
    <e v="#REF!"/>
    <e v="#REF!"/>
    <e v="#REF!"/>
    <e v="#REF!"/>
    <e v="#REF!"/>
    <e v="#REF!"/>
    <m/>
    <m/>
    <m/>
    <n v="1"/>
    <m/>
    <m/>
    <m/>
    <m/>
    <m/>
    <m/>
    <m/>
    <s v="MMR001CMP244"/>
    <m/>
  </r>
  <r>
    <x v="200"/>
    <x v="25"/>
    <x v="2"/>
    <s v="NRC"/>
    <s v="Kachin"/>
    <x v="1"/>
    <s v="Pa Dauk Myaing(Pa La Na)"/>
    <m/>
    <m/>
    <m/>
    <m/>
    <m/>
    <m/>
    <m/>
    <m/>
    <m/>
    <m/>
    <m/>
    <n v="18"/>
    <m/>
    <m/>
    <n v="18"/>
    <n v="18"/>
    <m/>
    <m/>
    <m/>
    <m/>
    <e v="#REF!"/>
    <e v="#REF!"/>
    <e v="#REF!"/>
    <e v="#REF!"/>
    <e v="#REF!"/>
    <e v="#REF!"/>
    <e v="#REF!"/>
    <e v="#REF!"/>
    <e v="#REF!"/>
    <e v="#REF!"/>
    <m/>
    <m/>
    <m/>
    <n v="1"/>
    <m/>
    <m/>
    <m/>
    <m/>
    <m/>
    <m/>
    <m/>
    <s v="MMR001CMP162"/>
    <m/>
  </r>
  <r>
    <x v="200"/>
    <x v="25"/>
    <x v="12"/>
    <s v="DRC"/>
    <s v="Shan_North"/>
    <x v="9"/>
    <s v="Kutkai downtown (KBC Church-2)"/>
    <m/>
    <m/>
    <m/>
    <n v="35"/>
    <m/>
    <m/>
    <m/>
    <m/>
    <m/>
    <m/>
    <m/>
    <m/>
    <m/>
    <m/>
    <m/>
    <m/>
    <m/>
    <m/>
    <m/>
    <m/>
    <e v="#REF!"/>
    <e v="#REF!"/>
    <e v="#REF!"/>
    <e v="#REF!"/>
    <e v="#REF!"/>
    <e v="#REF!"/>
    <e v="#REF!"/>
    <e v="#REF!"/>
    <e v="#REF!"/>
    <e v="#REF!"/>
    <m/>
    <m/>
    <m/>
    <n v="0"/>
    <m/>
    <m/>
    <m/>
    <m/>
    <m/>
    <m/>
    <m/>
    <s v="MMR015CMP245"/>
    <m/>
  </r>
  <r>
    <x v="201"/>
    <x v="25"/>
    <x v="12"/>
    <s v="DRC"/>
    <s v="Shan_North"/>
    <x v="9"/>
    <s v="Man Loi"/>
    <m/>
    <m/>
    <m/>
    <m/>
    <m/>
    <m/>
    <m/>
    <m/>
    <m/>
    <m/>
    <m/>
    <m/>
    <m/>
    <n v="37"/>
    <m/>
    <m/>
    <m/>
    <m/>
    <m/>
    <m/>
    <e v="#REF!"/>
    <e v="#REF!"/>
    <e v="#REF!"/>
    <e v="#REF!"/>
    <e v="#REF!"/>
    <e v="#REF!"/>
    <e v="#REF!"/>
    <e v="#REF!"/>
    <e v="#REF!"/>
    <e v="#REF!"/>
    <m/>
    <m/>
    <m/>
    <n v="1"/>
    <m/>
    <m/>
    <m/>
    <m/>
    <m/>
    <m/>
    <m/>
    <s v="MMR015CMP246"/>
    <m/>
  </r>
  <r>
    <x v="202"/>
    <x v="25"/>
    <x v="2"/>
    <s v="NRC"/>
    <s v="Shan_North"/>
    <x v="9"/>
    <s v="Man Loi"/>
    <m/>
    <m/>
    <m/>
    <m/>
    <m/>
    <m/>
    <m/>
    <m/>
    <m/>
    <m/>
    <m/>
    <n v="22"/>
    <m/>
    <m/>
    <n v="22"/>
    <m/>
    <m/>
    <m/>
    <m/>
    <m/>
    <e v="#REF!"/>
    <e v="#REF!"/>
    <e v="#REF!"/>
    <e v="#REF!"/>
    <e v="#REF!"/>
    <e v="#REF!"/>
    <e v="#REF!"/>
    <e v="#REF!"/>
    <e v="#REF!"/>
    <e v="#REF!"/>
    <m/>
    <m/>
    <m/>
    <n v="1"/>
    <m/>
    <m/>
    <m/>
    <m/>
    <m/>
    <m/>
    <m/>
    <s v="MMR015CMP246"/>
    <m/>
  </r>
  <r>
    <x v="202"/>
    <x v="25"/>
    <x v="0"/>
    <s v="UNHCR"/>
    <s v="Kachin"/>
    <x v="5"/>
    <s v="Ta Gun Taing Monastery (Shwe Kyi Na)"/>
    <m/>
    <m/>
    <m/>
    <m/>
    <m/>
    <m/>
    <m/>
    <m/>
    <m/>
    <m/>
    <m/>
    <m/>
    <m/>
    <m/>
    <m/>
    <m/>
    <m/>
    <n v="12"/>
    <m/>
    <m/>
    <e v="#REF!"/>
    <e v="#REF!"/>
    <e v="#REF!"/>
    <e v="#REF!"/>
    <e v="#REF!"/>
    <e v="#REF!"/>
    <e v="#REF!"/>
    <e v="#REF!"/>
    <e v="#REF!"/>
    <e v="#REF!"/>
    <m/>
    <m/>
    <m/>
    <n v="0"/>
    <m/>
    <m/>
    <m/>
    <m/>
    <m/>
    <m/>
    <m/>
    <s v="MMR001CMP055"/>
    <s v="For solution"/>
  </r>
  <r>
    <x v="202"/>
    <x v="25"/>
    <x v="0"/>
    <s v="UNHCR"/>
    <s v="Kachin"/>
    <x v="5"/>
    <s v="Yoe Kyi Monastery"/>
    <m/>
    <m/>
    <m/>
    <m/>
    <m/>
    <m/>
    <n v="5"/>
    <m/>
    <m/>
    <m/>
    <m/>
    <m/>
    <m/>
    <m/>
    <m/>
    <m/>
    <m/>
    <n v="8"/>
    <m/>
    <m/>
    <e v="#REF!"/>
    <e v="#REF!"/>
    <e v="#REF!"/>
    <e v="#REF!"/>
    <e v="#REF!"/>
    <e v="#REF!"/>
    <e v="#REF!"/>
    <e v="#REF!"/>
    <e v="#REF!"/>
    <e v="#REF!"/>
    <m/>
    <m/>
    <m/>
    <n v="0"/>
    <m/>
    <m/>
    <m/>
    <m/>
    <m/>
    <m/>
    <m/>
    <s v="MMR001CMP053"/>
    <s v="For storm affected "/>
  </r>
  <r>
    <x v="203"/>
    <x v="26"/>
    <x v="2"/>
    <s v="NRC"/>
    <s v="Shan_North"/>
    <x v="21"/>
    <s v="Man Kaung/Naung Ti Kyar Village"/>
    <m/>
    <m/>
    <m/>
    <m/>
    <m/>
    <m/>
    <n v="35"/>
    <m/>
    <m/>
    <m/>
    <m/>
    <n v="35"/>
    <m/>
    <m/>
    <n v="37"/>
    <n v="39"/>
    <m/>
    <m/>
    <m/>
    <m/>
    <e v="#REF!"/>
    <e v="#REF!"/>
    <e v="#REF!"/>
    <e v="#REF!"/>
    <e v="#REF!"/>
    <e v="#REF!"/>
    <e v="#REF!"/>
    <e v="#REF!"/>
    <e v="#REF!"/>
    <e v="#REF!"/>
    <m/>
    <m/>
    <m/>
    <n v="1"/>
    <m/>
    <m/>
    <m/>
    <m/>
    <m/>
    <m/>
    <m/>
    <s v="MMR015CMP244"/>
    <m/>
  </r>
  <r>
    <x v="203"/>
    <x v="26"/>
    <x v="2"/>
    <m/>
    <s v="Shan_North"/>
    <x v="21"/>
    <s v="Lisu Camp"/>
    <m/>
    <m/>
    <m/>
    <m/>
    <m/>
    <m/>
    <n v="35"/>
    <n v="39"/>
    <m/>
    <m/>
    <m/>
    <n v="35"/>
    <m/>
    <m/>
    <n v="37"/>
    <m/>
    <m/>
    <m/>
    <m/>
    <m/>
    <e v="#REF!"/>
    <e v="#REF!"/>
    <e v="#REF!"/>
    <e v="#REF!"/>
    <e v="#REF!"/>
    <e v="#REF!"/>
    <e v="#REF!"/>
    <e v="#REF!"/>
    <e v="#REF!"/>
    <e v="#REF!"/>
    <m/>
    <m/>
    <m/>
    <n v="1"/>
    <m/>
    <m/>
    <m/>
    <m/>
    <m/>
    <m/>
    <m/>
    <s v=""/>
    <m/>
  </r>
  <r>
    <x v="204"/>
    <x v="26"/>
    <x v="2"/>
    <m/>
    <s v="Kachin"/>
    <x v="0"/>
    <s v="Shing Jai"/>
    <m/>
    <m/>
    <m/>
    <m/>
    <m/>
    <m/>
    <m/>
    <n v="183"/>
    <m/>
    <m/>
    <m/>
    <n v="183"/>
    <m/>
    <m/>
    <n v="208"/>
    <m/>
    <m/>
    <m/>
    <m/>
    <m/>
    <e v="#REF!"/>
    <e v="#REF!"/>
    <e v="#REF!"/>
    <e v="#REF!"/>
    <e v="#REF!"/>
    <e v="#REF!"/>
    <e v="#REF!"/>
    <e v="#REF!"/>
    <e v="#REF!"/>
    <e v="#REF!"/>
    <m/>
    <m/>
    <m/>
    <n v="1"/>
    <m/>
    <m/>
    <m/>
    <m/>
    <m/>
    <m/>
    <m/>
    <s v="MMR001CMP041"/>
    <m/>
  </r>
  <r>
    <x v="205"/>
    <x v="26"/>
    <x v="10"/>
    <m/>
    <s v="Shan_North"/>
    <x v="16"/>
    <s v="Shwe Kyin Monastery"/>
    <m/>
    <n v="132"/>
    <m/>
    <m/>
    <m/>
    <m/>
    <m/>
    <m/>
    <m/>
    <m/>
    <m/>
    <m/>
    <m/>
    <m/>
    <m/>
    <m/>
    <m/>
    <m/>
    <m/>
    <m/>
    <e v="#REF!"/>
    <e v="#REF!"/>
    <e v="#REF!"/>
    <e v="#REF!"/>
    <e v="#REF!"/>
    <e v="#REF!"/>
    <e v="#REF!"/>
    <e v="#REF!"/>
    <e v="#REF!"/>
    <e v="#REF!"/>
    <m/>
    <m/>
    <m/>
    <n v="0"/>
    <m/>
    <m/>
    <m/>
    <m/>
    <m/>
    <m/>
    <m/>
    <s v=""/>
    <m/>
  </r>
  <r>
    <x v="205"/>
    <x v="26"/>
    <x v="10"/>
    <m/>
    <s v="Shan_North"/>
    <x v="16"/>
    <s v="Aung Su Pan Monastery    "/>
    <m/>
    <n v="95"/>
    <m/>
    <m/>
    <m/>
    <m/>
    <m/>
    <m/>
    <m/>
    <m/>
    <m/>
    <m/>
    <m/>
    <m/>
    <m/>
    <m/>
    <m/>
    <m/>
    <m/>
    <m/>
    <e v="#REF!"/>
    <e v="#REF!"/>
    <e v="#REF!"/>
    <e v="#REF!"/>
    <e v="#REF!"/>
    <e v="#REF!"/>
    <e v="#REF!"/>
    <e v="#REF!"/>
    <e v="#REF!"/>
    <e v="#REF!"/>
    <m/>
    <m/>
    <m/>
    <n v="0"/>
    <m/>
    <m/>
    <m/>
    <m/>
    <m/>
    <m/>
    <m/>
    <s v=""/>
    <m/>
  </r>
  <r>
    <x v="205"/>
    <x v="26"/>
    <x v="10"/>
    <m/>
    <s v="Shan_North"/>
    <x v="16"/>
    <s v="Nan Salin Monastery  "/>
    <m/>
    <n v="79"/>
    <m/>
    <m/>
    <m/>
    <m/>
    <m/>
    <m/>
    <m/>
    <m/>
    <m/>
    <m/>
    <m/>
    <m/>
    <m/>
    <m/>
    <m/>
    <m/>
    <m/>
    <m/>
    <e v="#REF!"/>
    <e v="#REF!"/>
    <e v="#REF!"/>
    <e v="#REF!"/>
    <e v="#REF!"/>
    <e v="#REF!"/>
    <e v="#REF!"/>
    <e v="#REF!"/>
    <e v="#REF!"/>
    <e v="#REF!"/>
    <m/>
    <m/>
    <m/>
    <n v="0"/>
    <m/>
    <m/>
    <m/>
    <m/>
    <m/>
    <m/>
    <m/>
    <s v=""/>
    <m/>
  </r>
  <r>
    <x v="206"/>
    <x v="26"/>
    <x v="2"/>
    <m/>
    <s v="Kachin"/>
    <x v="0"/>
    <s v="Sadung"/>
    <m/>
    <m/>
    <m/>
    <m/>
    <m/>
    <m/>
    <m/>
    <n v="83"/>
    <m/>
    <m/>
    <m/>
    <n v="83"/>
    <m/>
    <m/>
    <n v="83"/>
    <m/>
    <m/>
    <m/>
    <m/>
    <m/>
    <e v="#REF!"/>
    <e v="#REF!"/>
    <e v="#REF!"/>
    <e v="#REF!"/>
    <e v="#REF!"/>
    <e v="#REF!"/>
    <e v="#REF!"/>
    <e v="#REF!"/>
    <e v="#REF!"/>
    <e v="#REF!"/>
    <m/>
    <m/>
    <m/>
    <n v="1"/>
    <m/>
    <m/>
    <m/>
    <m/>
    <m/>
    <m/>
    <m/>
    <s v="MMR001CMP258"/>
    <m/>
  </r>
  <r>
    <x v="207"/>
    <x v="26"/>
    <x v="0"/>
    <s v="KMSS-B"/>
    <s v="Kachin"/>
    <x v="3"/>
    <s v="Loi Je Baptist Church"/>
    <m/>
    <m/>
    <m/>
    <m/>
    <m/>
    <m/>
    <m/>
    <m/>
    <m/>
    <m/>
    <m/>
    <m/>
    <n v="131"/>
    <n v="113"/>
    <m/>
    <m/>
    <m/>
    <m/>
    <m/>
    <m/>
    <e v="#REF!"/>
    <e v="#REF!"/>
    <e v="#REF!"/>
    <e v="#REF!"/>
    <e v="#REF!"/>
    <e v="#REF!"/>
    <e v="#REF!"/>
    <e v="#REF!"/>
    <e v="#REF!"/>
    <e v="#REF!"/>
    <m/>
    <m/>
    <m/>
    <n v="1"/>
    <m/>
    <m/>
    <m/>
    <m/>
    <m/>
    <m/>
    <m/>
    <s v="MMR001CMP071"/>
    <m/>
  </r>
  <r>
    <x v="207"/>
    <x v="26"/>
    <x v="0"/>
    <s v="KMSS-B"/>
    <s v="Kachin"/>
    <x v="3"/>
    <s v="Nyaung Na Pin "/>
    <m/>
    <m/>
    <m/>
    <m/>
    <m/>
    <m/>
    <m/>
    <m/>
    <m/>
    <m/>
    <m/>
    <m/>
    <n v="156"/>
    <n v="137"/>
    <m/>
    <m/>
    <m/>
    <m/>
    <m/>
    <m/>
    <e v="#REF!"/>
    <e v="#REF!"/>
    <e v="#REF!"/>
    <e v="#REF!"/>
    <e v="#REF!"/>
    <e v="#REF!"/>
    <e v="#REF!"/>
    <e v="#REF!"/>
    <e v="#REF!"/>
    <e v="#REF!"/>
    <m/>
    <m/>
    <m/>
    <n v="1"/>
    <m/>
    <m/>
    <m/>
    <m/>
    <m/>
    <m/>
    <m/>
    <s v="MMR001CMP072"/>
    <m/>
  </r>
  <r>
    <x v="207"/>
    <x v="26"/>
    <x v="0"/>
    <s v="KMSS-B"/>
    <s v="Kachin"/>
    <x v="3"/>
    <s v="Loi Je Lisu Camp"/>
    <m/>
    <m/>
    <m/>
    <m/>
    <m/>
    <m/>
    <m/>
    <m/>
    <m/>
    <m/>
    <m/>
    <m/>
    <n v="532"/>
    <n v="580"/>
    <m/>
    <m/>
    <m/>
    <m/>
    <m/>
    <m/>
    <e v="#REF!"/>
    <e v="#REF!"/>
    <e v="#REF!"/>
    <e v="#REF!"/>
    <e v="#REF!"/>
    <e v="#REF!"/>
    <e v="#REF!"/>
    <e v="#REF!"/>
    <e v="#REF!"/>
    <e v="#REF!"/>
    <m/>
    <m/>
    <m/>
    <n v="1"/>
    <m/>
    <m/>
    <m/>
    <m/>
    <m/>
    <m/>
    <m/>
    <s v="MMR001CMP070"/>
    <m/>
  </r>
  <r>
    <x v="207"/>
    <x v="26"/>
    <x v="0"/>
    <s v="KMSS-B"/>
    <s v="Kachin"/>
    <x v="3"/>
    <s v="Seng Ja "/>
    <m/>
    <m/>
    <m/>
    <m/>
    <m/>
    <m/>
    <m/>
    <m/>
    <m/>
    <m/>
    <m/>
    <m/>
    <n v="57"/>
    <n v="212"/>
    <m/>
    <m/>
    <m/>
    <m/>
    <m/>
    <m/>
    <e v="#REF!"/>
    <e v="#REF!"/>
    <e v="#REF!"/>
    <e v="#REF!"/>
    <e v="#REF!"/>
    <e v="#REF!"/>
    <e v="#REF!"/>
    <e v="#REF!"/>
    <e v="#REF!"/>
    <e v="#REF!"/>
    <m/>
    <m/>
    <m/>
    <n v="1"/>
    <m/>
    <m/>
    <m/>
    <m/>
    <m/>
    <m/>
    <m/>
    <s v="MMR001CMP073"/>
    <m/>
  </r>
  <r>
    <x v="207"/>
    <x v="26"/>
    <x v="0"/>
    <s v="KMSS-B"/>
    <s v="Kachin"/>
    <x v="3"/>
    <s v="Loi Je Catholic Church"/>
    <m/>
    <m/>
    <m/>
    <m/>
    <m/>
    <m/>
    <m/>
    <m/>
    <m/>
    <m/>
    <m/>
    <m/>
    <n v="239"/>
    <n v="276"/>
    <m/>
    <m/>
    <m/>
    <m/>
    <m/>
    <m/>
    <e v="#REF!"/>
    <e v="#REF!"/>
    <e v="#REF!"/>
    <e v="#REF!"/>
    <e v="#REF!"/>
    <e v="#REF!"/>
    <e v="#REF!"/>
    <e v="#REF!"/>
    <e v="#REF!"/>
    <e v="#REF!"/>
    <m/>
    <m/>
    <m/>
    <n v="1"/>
    <m/>
    <m/>
    <m/>
    <m/>
    <m/>
    <m/>
    <m/>
    <s v="MMR001CMP069"/>
    <m/>
  </r>
  <r>
    <x v="208"/>
    <x v="26"/>
    <x v="0"/>
    <s v="NRC"/>
    <s v="Kachin"/>
    <x v="2"/>
    <s v="Pin Oo Lwin Ward"/>
    <m/>
    <m/>
    <m/>
    <m/>
    <m/>
    <m/>
    <m/>
    <m/>
    <m/>
    <m/>
    <m/>
    <m/>
    <m/>
    <m/>
    <m/>
    <m/>
    <m/>
    <n v="15"/>
    <m/>
    <m/>
    <e v="#REF!"/>
    <e v="#REF!"/>
    <e v="#REF!"/>
    <e v="#REF!"/>
    <e v="#REF!"/>
    <e v="#REF!"/>
    <e v="#REF!"/>
    <e v="#REF!"/>
    <e v="#REF!"/>
    <e v="#REF!"/>
    <m/>
    <m/>
    <m/>
    <n v="0"/>
    <m/>
    <m/>
    <m/>
    <m/>
    <m/>
    <m/>
    <m/>
    <s v=""/>
    <s v="IDPs in host"/>
  </r>
  <r>
    <x v="208"/>
    <x v="26"/>
    <x v="0"/>
    <s v="NRC"/>
    <s v="Kachin"/>
    <x v="2"/>
    <s v="Kaung Ra"/>
    <m/>
    <m/>
    <m/>
    <m/>
    <m/>
    <m/>
    <m/>
    <m/>
    <m/>
    <m/>
    <m/>
    <m/>
    <m/>
    <m/>
    <m/>
    <m/>
    <m/>
    <n v="8"/>
    <m/>
    <m/>
    <e v="#REF!"/>
    <e v="#REF!"/>
    <e v="#REF!"/>
    <e v="#REF!"/>
    <e v="#REF!"/>
    <e v="#REF!"/>
    <e v="#REF!"/>
    <e v="#REF!"/>
    <e v="#REF!"/>
    <e v="#REF!"/>
    <m/>
    <m/>
    <m/>
    <n v="0"/>
    <m/>
    <m/>
    <m/>
    <m/>
    <m/>
    <m/>
    <m/>
    <s v=""/>
    <s v="IDPs in host"/>
  </r>
  <r>
    <x v="208"/>
    <x v="26"/>
    <x v="0"/>
    <s v="NRC"/>
    <s v="Kachin"/>
    <x v="2"/>
    <s v="Gaing Phaw Myae"/>
    <m/>
    <m/>
    <m/>
    <m/>
    <m/>
    <m/>
    <m/>
    <m/>
    <m/>
    <m/>
    <m/>
    <m/>
    <m/>
    <m/>
    <m/>
    <m/>
    <m/>
    <n v="9"/>
    <m/>
    <m/>
    <e v="#REF!"/>
    <e v="#REF!"/>
    <e v="#REF!"/>
    <e v="#REF!"/>
    <e v="#REF!"/>
    <e v="#REF!"/>
    <e v="#REF!"/>
    <e v="#REF!"/>
    <e v="#REF!"/>
    <e v="#REF!"/>
    <m/>
    <m/>
    <m/>
    <n v="0"/>
    <m/>
    <m/>
    <m/>
    <m/>
    <m/>
    <m/>
    <m/>
    <s v=""/>
    <m/>
  </r>
  <r>
    <x v="208"/>
    <x v="26"/>
    <x v="0"/>
    <s v="NRC"/>
    <s v="Kachin"/>
    <x v="2"/>
    <s v="IDPs in Host"/>
    <m/>
    <m/>
    <m/>
    <m/>
    <m/>
    <m/>
    <m/>
    <m/>
    <m/>
    <m/>
    <m/>
    <m/>
    <m/>
    <m/>
    <m/>
    <m/>
    <m/>
    <n v="4"/>
    <m/>
    <m/>
    <e v="#REF!"/>
    <e v="#REF!"/>
    <e v="#REF!"/>
    <e v="#REF!"/>
    <e v="#REF!"/>
    <e v="#REF!"/>
    <e v="#REF!"/>
    <e v="#REF!"/>
    <e v="#REF!"/>
    <e v="#REF!"/>
    <m/>
    <m/>
    <m/>
    <n v="0"/>
    <m/>
    <m/>
    <m/>
    <m/>
    <m/>
    <m/>
    <m/>
    <s v="MMR001CMP196"/>
    <s v="IDPs in host"/>
  </r>
  <r>
    <x v="209"/>
    <x v="26"/>
    <x v="2"/>
    <m/>
    <s v="Shan_North"/>
    <x v="21"/>
    <s v="Kyin Thi monastery"/>
    <m/>
    <m/>
    <m/>
    <m/>
    <m/>
    <m/>
    <n v="2"/>
    <n v="16"/>
    <m/>
    <m/>
    <m/>
    <n v="1"/>
    <m/>
    <m/>
    <n v="1"/>
    <m/>
    <m/>
    <m/>
    <m/>
    <m/>
    <e v="#REF!"/>
    <e v="#REF!"/>
    <e v="#REF!"/>
    <e v="#REF!"/>
    <e v="#REF!"/>
    <e v="#REF!"/>
    <e v="#REF!"/>
    <e v="#REF!"/>
    <e v="#REF!"/>
    <e v="#REF!"/>
    <m/>
    <m/>
    <m/>
    <n v="1"/>
    <m/>
    <m/>
    <m/>
    <m/>
    <m/>
    <m/>
    <m/>
    <s v=""/>
    <m/>
  </r>
  <r>
    <x v="210"/>
    <x v="27"/>
    <x v="12"/>
    <m/>
    <s v="Shan_North"/>
    <x v="41"/>
    <s v="Mandung - Jinghpaw"/>
    <m/>
    <m/>
    <m/>
    <m/>
    <m/>
    <m/>
    <m/>
    <m/>
    <m/>
    <m/>
    <m/>
    <m/>
    <m/>
    <m/>
    <m/>
    <m/>
    <m/>
    <m/>
    <m/>
    <m/>
    <e v="#REF!"/>
    <e v="#REF!"/>
    <e v="#REF!"/>
    <e v="#REF!"/>
    <e v="#REF!"/>
    <e v="#REF!"/>
    <e v="#REF!"/>
    <e v="#REF!"/>
    <e v="#REF!"/>
    <e v="#REF!"/>
    <m/>
    <m/>
    <m/>
    <n v="0"/>
    <m/>
    <m/>
    <m/>
    <m/>
    <m/>
    <m/>
    <m/>
    <s v="MMR015CMP009"/>
    <s v="30 IRON BOX "/>
  </r>
  <r>
    <x v="211"/>
    <x v="27"/>
    <x v="2"/>
    <m/>
    <s v="Kachin"/>
    <x v="7"/>
    <s v="Lhaovao Baptist Church (LBC)"/>
    <m/>
    <n v="60"/>
    <m/>
    <m/>
    <n v="60"/>
    <m/>
    <m/>
    <n v="174"/>
    <n v="30"/>
    <m/>
    <n v="60"/>
    <n v="174"/>
    <m/>
    <m/>
    <n v="174"/>
    <n v="47"/>
    <n v="30"/>
    <m/>
    <m/>
    <m/>
    <e v="#REF!"/>
    <e v="#REF!"/>
    <e v="#REF!"/>
    <e v="#REF!"/>
    <e v="#REF!"/>
    <e v="#REF!"/>
    <e v="#REF!"/>
    <e v="#REF!"/>
    <e v="#REF!"/>
    <e v="#REF!"/>
    <m/>
    <m/>
    <m/>
    <n v="1"/>
    <m/>
    <m/>
    <m/>
    <m/>
    <m/>
    <m/>
    <m/>
    <s v="MMR001CMP195"/>
    <m/>
  </r>
  <r>
    <x v="211"/>
    <x v="27"/>
    <x v="2"/>
    <m/>
    <s v="Kachin"/>
    <x v="7"/>
    <s v="Chipwi KBC camp"/>
    <m/>
    <n v="60"/>
    <m/>
    <m/>
    <n v="60"/>
    <m/>
    <m/>
    <n v="73"/>
    <n v="30"/>
    <m/>
    <n v="60"/>
    <n v="70"/>
    <m/>
    <m/>
    <n v="135"/>
    <n v="145"/>
    <n v="30"/>
    <m/>
    <m/>
    <m/>
    <e v="#REF!"/>
    <e v="#REF!"/>
    <e v="#REF!"/>
    <e v="#REF!"/>
    <e v="#REF!"/>
    <e v="#REF!"/>
    <e v="#REF!"/>
    <e v="#REF!"/>
    <e v="#REF!"/>
    <e v="#REF!"/>
    <m/>
    <m/>
    <m/>
    <n v="1"/>
    <m/>
    <m/>
    <m/>
    <m/>
    <m/>
    <m/>
    <m/>
    <s v="MMR001CMP042"/>
    <m/>
  </r>
  <r>
    <x v="211"/>
    <x v="27"/>
    <x v="16"/>
    <m/>
    <s v="Shan_North"/>
    <x v="21"/>
    <s v="2500 monastery, Ton Sint primary school and Boedaw monastery"/>
    <m/>
    <m/>
    <m/>
    <m/>
    <m/>
    <n v="200"/>
    <m/>
    <n v="400"/>
    <m/>
    <m/>
    <m/>
    <m/>
    <m/>
    <m/>
    <m/>
    <m/>
    <m/>
    <m/>
    <m/>
    <m/>
    <e v="#REF!"/>
    <e v="#REF!"/>
    <e v="#REF!"/>
    <e v="#REF!"/>
    <e v="#REF!"/>
    <e v="#REF!"/>
    <e v="#REF!"/>
    <e v="#REF!"/>
    <e v="#REF!"/>
    <e v="#REF!"/>
    <m/>
    <m/>
    <m/>
    <n v="0"/>
    <m/>
    <m/>
    <m/>
    <m/>
    <m/>
    <m/>
    <m/>
    <s v=""/>
    <m/>
  </r>
  <r>
    <x v="211"/>
    <x v="27"/>
    <x v="0"/>
    <s v="KMSS-B"/>
    <s v="Kachin"/>
    <x v="5"/>
    <s v="Ding Ga Yang "/>
    <m/>
    <m/>
    <m/>
    <m/>
    <m/>
    <m/>
    <m/>
    <m/>
    <m/>
    <m/>
    <m/>
    <m/>
    <m/>
    <m/>
    <m/>
    <m/>
    <m/>
    <m/>
    <m/>
    <m/>
    <e v="#REF!"/>
    <e v="#REF!"/>
    <e v="#REF!"/>
    <e v="#REF!"/>
    <e v="#REF!"/>
    <e v="#REF!"/>
    <e v="#REF!"/>
    <e v="#REF!"/>
    <e v="#REF!"/>
    <e v="#REF!"/>
    <m/>
    <m/>
    <m/>
    <n v="0"/>
    <m/>
    <m/>
    <n v="336"/>
    <m/>
    <m/>
    <m/>
    <m/>
    <s v=""/>
    <s v="For solution"/>
  </r>
  <r>
    <x v="211"/>
    <x v="27"/>
    <x v="0"/>
    <s v="KMSS-B"/>
    <s v="Kachin"/>
    <x v="5"/>
    <s v="Loi Mauk Yang "/>
    <m/>
    <m/>
    <m/>
    <m/>
    <m/>
    <m/>
    <m/>
    <m/>
    <m/>
    <m/>
    <m/>
    <m/>
    <m/>
    <m/>
    <m/>
    <m/>
    <m/>
    <m/>
    <m/>
    <m/>
    <e v="#REF!"/>
    <e v="#REF!"/>
    <e v="#REF!"/>
    <e v="#REF!"/>
    <e v="#REF!"/>
    <e v="#REF!"/>
    <e v="#REF!"/>
    <e v="#REF!"/>
    <e v="#REF!"/>
    <e v="#REF!"/>
    <m/>
    <m/>
    <m/>
    <n v="0"/>
    <m/>
    <m/>
    <n v="1092"/>
    <m/>
    <m/>
    <m/>
    <m/>
    <s v=""/>
    <s v="For solution"/>
  </r>
  <r>
    <x v="211"/>
    <x v="27"/>
    <x v="0"/>
    <s v="KMSS-B"/>
    <s v="Kachin"/>
    <x v="5"/>
    <s v="Loi Mauk Yang (School)"/>
    <m/>
    <m/>
    <m/>
    <m/>
    <m/>
    <m/>
    <m/>
    <m/>
    <m/>
    <m/>
    <m/>
    <m/>
    <m/>
    <m/>
    <m/>
    <m/>
    <m/>
    <m/>
    <m/>
    <m/>
    <e v="#REF!"/>
    <e v="#REF!"/>
    <e v="#REF!"/>
    <e v="#REF!"/>
    <e v="#REF!"/>
    <e v="#REF!"/>
    <e v="#REF!"/>
    <e v="#REF!"/>
    <e v="#REF!"/>
    <e v="#REF!"/>
    <m/>
    <m/>
    <m/>
    <n v="0"/>
    <m/>
    <m/>
    <n v="320"/>
    <m/>
    <m/>
    <m/>
    <m/>
    <s v=""/>
    <s v="For solution"/>
  </r>
  <r>
    <x v="211"/>
    <x v="27"/>
    <x v="0"/>
    <s v="KMSS-B"/>
    <s v="Kachin"/>
    <x v="5"/>
    <s v="Chye Nan Ward from man bung RC"/>
    <m/>
    <m/>
    <m/>
    <m/>
    <m/>
    <m/>
    <m/>
    <m/>
    <m/>
    <m/>
    <m/>
    <m/>
    <m/>
    <m/>
    <m/>
    <m/>
    <m/>
    <m/>
    <m/>
    <m/>
    <e v="#REF!"/>
    <e v="#REF!"/>
    <e v="#REF!"/>
    <e v="#REF!"/>
    <e v="#REF!"/>
    <e v="#REF!"/>
    <e v="#REF!"/>
    <e v="#REF!"/>
    <e v="#REF!"/>
    <e v="#REF!"/>
    <m/>
    <m/>
    <m/>
    <n v="0"/>
    <m/>
    <m/>
    <n v="1428"/>
    <m/>
    <m/>
    <m/>
    <m/>
    <s v=""/>
    <s v="For solution"/>
  </r>
  <r>
    <x v="211"/>
    <x v="27"/>
    <x v="0"/>
    <s v="KMSS-B"/>
    <s v="Kachin"/>
    <x v="5"/>
    <s v="Maihkawng ward 1  (School)"/>
    <m/>
    <m/>
    <m/>
    <m/>
    <m/>
    <m/>
    <m/>
    <m/>
    <m/>
    <m/>
    <m/>
    <m/>
    <m/>
    <m/>
    <m/>
    <m/>
    <m/>
    <m/>
    <m/>
    <m/>
    <e v="#REF!"/>
    <e v="#REF!"/>
    <e v="#REF!"/>
    <e v="#REF!"/>
    <e v="#REF!"/>
    <e v="#REF!"/>
    <e v="#REF!"/>
    <e v="#REF!"/>
    <e v="#REF!"/>
    <e v="#REF!"/>
    <m/>
    <m/>
    <m/>
    <n v="0"/>
    <m/>
    <m/>
    <n v="240"/>
    <m/>
    <m/>
    <m/>
    <m/>
    <s v=""/>
    <s v="For solution"/>
  </r>
  <r>
    <x v="211"/>
    <x v="27"/>
    <x v="0"/>
    <s v="KMSS-B"/>
    <s v="Kachin"/>
    <x v="2"/>
    <s v="Maing Khaung Catholic Church"/>
    <m/>
    <m/>
    <m/>
    <m/>
    <m/>
    <m/>
    <m/>
    <m/>
    <m/>
    <m/>
    <m/>
    <m/>
    <m/>
    <m/>
    <m/>
    <m/>
    <m/>
    <m/>
    <m/>
    <m/>
    <e v="#REF!"/>
    <e v="#REF!"/>
    <e v="#REF!"/>
    <e v="#REF!"/>
    <e v="#REF!"/>
    <e v="#REF!"/>
    <e v="#REF!"/>
    <e v="#REF!"/>
    <e v="#REF!"/>
    <e v="#REF!"/>
    <m/>
    <m/>
    <m/>
    <n v="0"/>
    <m/>
    <m/>
    <n v="60"/>
    <m/>
    <m/>
    <m/>
    <m/>
    <s v="MMR001CMP223"/>
    <s v="For solution"/>
  </r>
  <r>
    <x v="212"/>
    <x v="27"/>
    <x v="16"/>
    <m/>
    <s v="Shan_North"/>
    <x v="21"/>
    <s v="Man Li camp (Nam Lan sub Tsp)"/>
    <m/>
    <m/>
    <m/>
    <m/>
    <m/>
    <m/>
    <n v="103"/>
    <m/>
    <m/>
    <m/>
    <m/>
    <n v="206"/>
    <m/>
    <m/>
    <m/>
    <n v="200"/>
    <m/>
    <m/>
    <m/>
    <m/>
    <e v="#REF!"/>
    <e v="#REF!"/>
    <e v="#REF!"/>
    <e v="#REF!"/>
    <e v="#REF!"/>
    <e v="#REF!"/>
    <e v="#REF!"/>
    <e v="#REF!"/>
    <e v="#REF!"/>
    <e v="#REF!"/>
    <m/>
    <m/>
    <m/>
    <n v="1"/>
    <m/>
    <m/>
    <m/>
    <m/>
    <m/>
    <m/>
    <m/>
    <s v=""/>
    <m/>
  </r>
  <r>
    <x v="213"/>
    <x v="27"/>
    <x v="2"/>
    <m/>
    <s v="Shan_North"/>
    <x v="11"/>
    <s v="Khum Sam Leik"/>
    <m/>
    <m/>
    <m/>
    <m/>
    <m/>
    <n v="20"/>
    <m/>
    <m/>
    <m/>
    <m/>
    <n v="40"/>
    <m/>
    <m/>
    <m/>
    <m/>
    <m/>
    <m/>
    <m/>
    <m/>
    <m/>
    <e v="#REF!"/>
    <e v="#REF!"/>
    <e v="#REF!"/>
    <e v="#REF!"/>
    <e v="#REF!"/>
    <e v="#REF!"/>
    <e v="#REF!"/>
    <e v="#REF!"/>
    <e v="#REF!"/>
    <e v="#REF!"/>
    <m/>
    <m/>
    <m/>
    <n v="0"/>
    <m/>
    <m/>
    <m/>
    <m/>
    <m/>
    <m/>
    <m/>
    <s v=""/>
    <m/>
  </r>
  <r>
    <x v="213"/>
    <x v="27"/>
    <x v="16"/>
    <m/>
    <s v="Shan_North"/>
    <x v="21"/>
    <s v="Man Li camp (Nam Lan sub Tsp)"/>
    <m/>
    <m/>
    <m/>
    <m/>
    <m/>
    <m/>
    <n v="210"/>
    <m/>
    <m/>
    <m/>
    <m/>
    <m/>
    <m/>
    <m/>
    <m/>
    <m/>
    <m/>
    <n v="200"/>
    <m/>
    <m/>
    <e v="#REF!"/>
    <e v="#REF!"/>
    <e v="#REF!"/>
    <e v="#REF!"/>
    <e v="#REF!"/>
    <e v="#REF!"/>
    <e v="#REF!"/>
    <e v="#REF!"/>
    <e v="#REF!"/>
    <e v="#REF!"/>
    <m/>
    <m/>
    <m/>
    <n v="0"/>
    <m/>
    <m/>
    <m/>
    <m/>
    <m/>
    <m/>
    <m/>
    <s v=""/>
    <m/>
  </r>
  <r>
    <x v="214"/>
    <x v="27"/>
    <x v="12"/>
    <m/>
    <s v="Shan_North"/>
    <x v="14"/>
    <s v="Mong Wee Shan"/>
    <m/>
    <m/>
    <m/>
    <m/>
    <m/>
    <n v="1"/>
    <m/>
    <m/>
    <n v="1"/>
    <n v="4"/>
    <m/>
    <m/>
    <m/>
    <m/>
    <n v="2"/>
    <m/>
    <m/>
    <m/>
    <m/>
    <m/>
    <e v="#REF!"/>
    <e v="#REF!"/>
    <e v="#REF!"/>
    <e v="#REF!"/>
    <e v="#REF!"/>
    <e v="#REF!"/>
    <e v="#REF!"/>
    <e v="#REF!"/>
    <e v="#REF!"/>
    <e v="#REF!"/>
    <m/>
    <m/>
    <m/>
    <n v="1"/>
    <m/>
    <m/>
    <m/>
    <m/>
    <m/>
    <m/>
    <m/>
    <s v="MMR015CMP224"/>
    <s v="128 Light Bulk, 64 Battery, 8 solar Panel that can be used street light "/>
  </r>
  <r>
    <x v="215"/>
    <x v="27"/>
    <x v="2"/>
    <m/>
    <s v="Shan_North"/>
    <x v="11"/>
    <s v="Seng Ja"/>
    <m/>
    <m/>
    <m/>
    <m/>
    <m/>
    <n v="10"/>
    <m/>
    <n v="20"/>
    <m/>
    <m/>
    <m/>
    <m/>
    <m/>
    <m/>
    <m/>
    <m/>
    <m/>
    <m/>
    <m/>
    <m/>
    <e v="#REF!"/>
    <e v="#REF!"/>
    <e v="#REF!"/>
    <e v="#REF!"/>
    <e v="#REF!"/>
    <e v="#REF!"/>
    <e v="#REF!"/>
    <e v="#REF!"/>
    <e v="#REF!"/>
    <e v="#REF!"/>
    <m/>
    <m/>
    <m/>
    <n v="0"/>
    <m/>
    <m/>
    <m/>
    <m/>
    <m/>
    <m/>
    <m/>
    <s v=""/>
    <m/>
  </r>
  <r>
    <x v="216"/>
    <x v="27"/>
    <x v="0"/>
    <s v="KMSS-M"/>
    <s v="Kachin"/>
    <x v="6"/>
    <s v="Lawa Resettlement site"/>
    <m/>
    <m/>
    <m/>
    <m/>
    <m/>
    <m/>
    <m/>
    <m/>
    <m/>
    <m/>
    <m/>
    <m/>
    <m/>
    <m/>
    <m/>
    <m/>
    <m/>
    <m/>
    <m/>
    <m/>
    <e v="#REF!"/>
    <e v="#REF!"/>
    <e v="#REF!"/>
    <e v="#REF!"/>
    <e v="#REF!"/>
    <e v="#REF!"/>
    <e v="#REF!"/>
    <e v="#REF!"/>
    <e v="#REF!"/>
    <e v="#REF!"/>
    <m/>
    <m/>
    <m/>
    <n v="0"/>
    <m/>
    <m/>
    <n v="4350"/>
    <m/>
    <m/>
    <m/>
    <m/>
    <s v=""/>
    <s v="For solution"/>
  </r>
  <r>
    <x v="216"/>
    <x v="27"/>
    <x v="0"/>
    <s v="KMSS-M"/>
    <s v="Kachin"/>
    <x v="6"/>
    <s v="Namaphyit Catholic Church"/>
    <m/>
    <m/>
    <m/>
    <m/>
    <m/>
    <m/>
    <m/>
    <m/>
    <m/>
    <m/>
    <m/>
    <m/>
    <m/>
    <m/>
    <m/>
    <m/>
    <m/>
    <m/>
    <m/>
    <m/>
    <e v="#REF!"/>
    <e v="#REF!"/>
    <e v="#REF!"/>
    <e v="#REF!"/>
    <e v="#REF!"/>
    <e v="#REF!"/>
    <e v="#REF!"/>
    <e v="#REF!"/>
    <e v="#REF!"/>
    <e v="#REF!"/>
    <m/>
    <m/>
    <m/>
    <n v="0"/>
    <m/>
    <m/>
    <n v="200"/>
    <m/>
    <m/>
    <m/>
    <m/>
    <s v=""/>
    <s v="For care and maintenance"/>
  </r>
  <r>
    <x v="217"/>
    <x v="27"/>
    <x v="0"/>
    <s v="KMSS-B"/>
    <s v="Kachin"/>
    <x v="42"/>
    <s v="Man Bung RC to 19 miles"/>
    <m/>
    <m/>
    <m/>
    <m/>
    <m/>
    <m/>
    <m/>
    <m/>
    <m/>
    <m/>
    <m/>
    <m/>
    <m/>
    <m/>
    <m/>
    <m/>
    <m/>
    <m/>
    <m/>
    <m/>
    <e v="#REF!"/>
    <e v="#REF!"/>
    <e v="#REF!"/>
    <e v="#REF!"/>
    <e v="#REF!"/>
    <e v="#REF!"/>
    <e v="#REF!"/>
    <e v="#REF!"/>
    <e v="#REF!"/>
    <e v="#REF!"/>
    <m/>
    <m/>
    <m/>
    <n v="0"/>
    <m/>
    <m/>
    <n v="74"/>
    <m/>
    <m/>
    <m/>
    <m/>
    <s v=""/>
    <s v="For solution"/>
  </r>
  <r>
    <x v="217"/>
    <x v="27"/>
    <x v="0"/>
    <s v="KMSS-B"/>
    <s v="Kachin"/>
    <x v="2"/>
    <s v="Mai Khaung Return"/>
    <m/>
    <m/>
    <m/>
    <m/>
    <m/>
    <m/>
    <m/>
    <m/>
    <m/>
    <m/>
    <m/>
    <m/>
    <m/>
    <m/>
    <m/>
    <m/>
    <m/>
    <m/>
    <m/>
    <m/>
    <e v="#REF!"/>
    <e v="#REF!"/>
    <e v="#REF!"/>
    <e v="#REF!"/>
    <e v="#REF!"/>
    <e v="#REF!"/>
    <e v="#REF!"/>
    <e v="#REF!"/>
    <e v="#REF!"/>
    <e v="#REF!"/>
    <m/>
    <m/>
    <m/>
    <n v="0"/>
    <m/>
    <m/>
    <n v="162"/>
    <m/>
    <m/>
    <m/>
    <m/>
    <s v=""/>
    <s v="For solution"/>
  </r>
  <r>
    <x v="218"/>
    <x v="27"/>
    <x v="12"/>
    <m/>
    <s v="Shan_North"/>
    <x v="11"/>
    <s v="TEC Boardring School"/>
    <m/>
    <m/>
    <m/>
    <m/>
    <m/>
    <n v="21"/>
    <m/>
    <m/>
    <m/>
    <m/>
    <m/>
    <m/>
    <m/>
    <m/>
    <m/>
    <m/>
    <m/>
    <m/>
    <m/>
    <m/>
    <e v="#REF!"/>
    <e v="#REF!"/>
    <e v="#REF!"/>
    <e v="#REF!"/>
    <e v="#REF!"/>
    <e v="#REF!"/>
    <e v="#REF!"/>
    <e v="#REF!"/>
    <e v="#REF!"/>
    <e v="#REF!"/>
    <m/>
    <m/>
    <m/>
    <n v="0"/>
    <m/>
    <m/>
    <m/>
    <m/>
    <m/>
    <m/>
    <m/>
    <s v=""/>
    <m/>
  </r>
  <r>
    <x v="219"/>
    <x v="27"/>
    <x v="16"/>
    <m/>
    <s v="Shan_North"/>
    <x v="11"/>
    <s v="Long Meik, Mong Mu and Kawng Huong villages"/>
    <m/>
    <m/>
    <n v="40"/>
    <m/>
    <m/>
    <m/>
    <m/>
    <m/>
    <m/>
    <m/>
    <m/>
    <m/>
    <m/>
    <m/>
    <m/>
    <m/>
    <m/>
    <m/>
    <m/>
    <m/>
    <e v="#REF!"/>
    <e v="#REF!"/>
    <e v="#REF!"/>
    <e v="#REF!"/>
    <e v="#REF!"/>
    <e v="#REF!"/>
    <e v="#REF!"/>
    <e v="#REF!"/>
    <e v="#REF!"/>
    <e v="#REF!"/>
    <m/>
    <m/>
    <m/>
    <n v="0"/>
    <m/>
    <m/>
    <m/>
    <m/>
    <m/>
    <m/>
    <m/>
    <s v=""/>
    <m/>
  </r>
  <r>
    <x v="220"/>
    <x v="28"/>
    <x v="12"/>
    <m/>
    <s v="Shan_North"/>
    <x v="13"/>
    <s v="Muse Baptist Church"/>
    <m/>
    <m/>
    <m/>
    <m/>
    <m/>
    <n v="40"/>
    <m/>
    <n v="40"/>
    <m/>
    <m/>
    <m/>
    <m/>
    <m/>
    <m/>
    <m/>
    <m/>
    <m/>
    <m/>
    <m/>
    <m/>
    <e v="#REF!"/>
    <e v="#REF!"/>
    <e v="#REF!"/>
    <e v="#REF!"/>
    <e v="#REF!"/>
    <e v="#REF!"/>
    <e v="#REF!"/>
    <e v="#REF!"/>
    <e v="#REF!"/>
    <e v="#REF!"/>
    <m/>
    <m/>
    <m/>
    <n v="0"/>
    <m/>
    <m/>
    <m/>
    <m/>
    <n v="40"/>
    <n v="40"/>
    <m/>
    <s v="MMR015CMP213"/>
    <m/>
  </r>
  <r>
    <x v="220"/>
    <x v="28"/>
    <x v="0"/>
    <s v="KMSS-M"/>
    <s v="Kachin"/>
    <x v="42"/>
    <s v="Hpun Lum Yang "/>
    <m/>
    <m/>
    <m/>
    <m/>
    <m/>
    <m/>
    <m/>
    <n v="1"/>
    <n v="1"/>
    <m/>
    <m/>
    <n v="1"/>
    <m/>
    <m/>
    <m/>
    <m/>
    <m/>
    <m/>
    <m/>
    <m/>
    <e v="#REF!"/>
    <e v="#REF!"/>
    <e v="#REF!"/>
    <e v="#REF!"/>
    <e v="#REF!"/>
    <e v="#REF!"/>
    <e v="#REF!"/>
    <e v="#REF!"/>
    <e v="#REF!"/>
    <e v="#REF!"/>
    <m/>
    <m/>
    <m/>
    <n v="0"/>
    <m/>
    <m/>
    <m/>
    <m/>
    <m/>
    <m/>
    <m/>
    <s v="MMR001CMP122"/>
    <m/>
  </r>
  <r>
    <x v="221"/>
    <x v="28"/>
    <x v="0"/>
    <s v="UNHCR"/>
    <s v="Kachin"/>
    <x v="5"/>
    <s v="IDPs in Host "/>
    <m/>
    <m/>
    <m/>
    <n v="1"/>
    <m/>
    <n v="2"/>
    <n v="2"/>
    <n v="2"/>
    <m/>
    <m/>
    <m/>
    <n v="6"/>
    <n v="2"/>
    <n v="4"/>
    <m/>
    <m/>
    <m/>
    <m/>
    <m/>
    <m/>
    <e v="#REF!"/>
    <e v="#REF!"/>
    <e v="#REF!"/>
    <e v="#REF!"/>
    <e v="#REF!"/>
    <e v="#REF!"/>
    <e v="#REF!"/>
    <e v="#REF!"/>
    <e v="#REF!"/>
    <e v="#REF!"/>
    <m/>
    <m/>
    <m/>
    <n v="1"/>
    <m/>
    <m/>
    <m/>
    <m/>
    <m/>
    <m/>
    <m/>
    <s v="MMR001CMP163"/>
    <m/>
  </r>
  <r>
    <x v="222"/>
    <x v="28"/>
    <x v="2"/>
    <m/>
    <s v="Shan_North"/>
    <x v="11"/>
    <s v="Kyu Sot"/>
    <m/>
    <m/>
    <m/>
    <m/>
    <n v="50"/>
    <m/>
    <m/>
    <m/>
    <n v="50"/>
    <m/>
    <n v="100"/>
    <m/>
    <m/>
    <m/>
    <m/>
    <m/>
    <n v="50"/>
    <m/>
    <m/>
    <m/>
    <e v="#REF!"/>
    <e v="#REF!"/>
    <e v="#REF!"/>
    <e v="#REF!"/>
    <e v="#REF!"/>
    <e v="#REF!"/>
    <e v="#REF!"/>
    <e v="#REF!"/>
    <e v="#REF!"/>
    <e v="#REF!"/>
    <m/>
    <m/>
    <m/>
    <n v="0"/>
    <m/>
    <m/>
    <m/>
    <m/>
    <m/>
    <m/>
    <m/>
    <s v="MMR015CMP248"/>
    <m/>
  </r>
  <r>
    <x v="222"/>
    <x v="28"/>
    <x v="12"/>
    <m/>
    <s v="Shan_North"/>
    <x v="11"/>
    <s v="Nam Tu Baptist"/>
    <n v="2"/>
    <m/>
    <m/>
    <m/>
    <m/>
    <m/>
    <m/>
    <m/>
    <m/>
    <m/>
    <m/>
    <m/>
    <m/>
    <m/>
    <m/>
    <m/>
    <m/>
    <m/>
    <m/>
    <m/>
    <e v="#REF!"/>
    <e v="#REF!"/>
    <e v="#REF!"/>
    <e v="#REF!"/>
    <e v="#REF!"/>
    <e v="#REF!"/>
    <e v="#REF!"/>
    <e v="#REF!"/>
    <e v="#REF!"/>
    <e v="#REF!"/>
    <m/>
    <m/>
    <m/>
    <n v="0"/>
    <m/>
    <m/>
    <m/>
    <m/>
    <m/>
    <m/>
    <m/>
    <s v="MMR015CMP014"/>
    <m/>
  </r>
  <r>
    <x v="222"/>
    <x v="28"/>
    <x v="12"/>
    <m/>
    <s v="Shan_North"/>
    <x v="9"/>
    <s v="New Pang Ku "/>
    <m/>
    <m/>
    <m/>
    <m/>
    <m/>
    <m/>
    <m/>
    <m/>
    <m/>
    <m/>
    <m/>
    <m/>
    <m/>
    <m/>
    <m/>
    <m/>
    <m/>
    <m/>
    <n v="1"/>
    <m/>
    <e v="#REF!"/>
    <e v="#REF!"/>
    <e v="#REF!"/>
    <e v="#REF!"/>
    <e v="#REF!"/>
    <e v="#REF!"/>
    <e v="#REF!"/>
    <e v="#REF!"/>
    <e v="#REF!"/>
    <e v="#REF!"/>
    <m/>
    <m/>
    <m/>
    <n v="0"/>
    <m/>
    <m/>
    <m/>
    <m/>
    <m/>
    <m/>
    <m/>
    <s v="MMR015CMP219"/>
    <m/>
  </r>
  <r>
    <x v="223"/>
    <x v="28"/>
    <x v="0"/>
    <s v="KMSS-M"/>
    <s v="Kachin"/>
    <x v="8"/>
    <s v="Hka Garan Yang "/>
    <m/>
    <m/>
    <m/>
    <m/>
    <m/>
    <m/>
    <m/>
    <m/>
    <m/>
    <m/>
    <m/>
    <m/>
    <m/>
    <m/>
    <m/>
    <m/>
    <m/>
    <n v="29"/>
    <m/>
    <m/>
    <e v="#REF!"/>
    <e v="#REF!"/>
    <e v="#REF!"/>
    <e v="#REF!"/>
    <e v="#REF!"/>
    <e v="#REF!"/>
    <e v="#REF!"/>
    <e v="#REF!"/>
    <e v="#REF!"/>
    <e v="#REF!"/>
    <m/>
    <m/>
    <m/>
    <n v="0"/>
    <m/>
    <m/>
    <m/>
    <m/>
    <m/>
    <m/>
    <m/>
    <s v="MMR001CMP272"/>
    <m/>
  </r>
  <r>
    <x v="224"/>
    <x v="28"/>
    <x v="0"/>
    <s v="Shalom"/>
    <s v="Kachin"/>
    <x v="1"/>
    <s v="Maw Hpawng Lhaovo Baptist Church"/>
    <m/>
    <m/>
    <m/>
    <n v="1"/>
    <m/>
    <n v="5"/>
    <n v="1"/>
    <n v="5"/>
    <n v="1"/>
    <m/>
    <n v="1"/>
    <n v="10"/>
    <m/>
    <m/>
    <m/>
    <m/>
    <n v="1"/>
    <m/>
    <m/>
    <m/>
    <e v="#REF!"/>
    <e v="#REF!"/>
    <e v="#REF!"/>
    <e v="#REF!"/>
    <e v="#REF!"/>
    <e v="#REF!"/>
    <e v="#REF!"/>
    <e v="#REF!"/>
    <e v="#REF!"/>
    <e v="#REF!"/>
    <m/>
    <m/>
    <m/>
    <n v="0"/>
    <m/>
    <m/>
    <m/>
    <m/>
    <m/>
    <m/>
    <m/>
    <s v="MMR001CMP021"/>
    <m/>
  </r>
  <r>
    <x v="225"/>
    <x v="28"/>
    <x v="0"/>
    <s v="Shalom"/>
    <s v="Kachin"/>
    <x v="1"/>
    <s v="Tat Kone Emanuel Church"/>
    <m/>
    <m/>
    <m/>
    <n v="1"/>
    <m/>
    <n v="4"/>
    <n v="1"/>
    <n v="3"/>
    <n v="1"/>
    <m/>
    <n v="1"/>
    <n v="6"/>
    <m/>
    <m/>
    <m/>
    <m/>
    <n v="1"/>
    <m/>
    <m/>
    <m/>
    <e v="#REF!"/>
    <e v="#REF!"/>
    <e v="#REF!"/>
    <e v="#REF!"/>
    <e v="#REF!"/>
    <e v="#REF!"/>
    <e v="#REF!"/>
    <e v="#REF!"/>
    <e v="#REF!"/>
    <e v="#REF!"/>
    <m/>
    <m/>
    <m/>
    <n v="0"/>
    <m/>
    <m/>
    <m/>
    <m/>
    <m/>
    <m/>
    <m/>
    <s v="MMR001CMP004"/>
    <m/>
  </r>
  <r>
    <x v="226"/>
    <x v="28"/>
    <x v="12"/>
    <m/>
    <s v="Shan_North"/>
    <x v="13"/>
    <s v="Muse Catholic Church"/>
    <m/>
    <m/>
    <m/>
    <m/>
    <m/>
    <m/>
    <m/>
    <m/>
    <n v="17"/>
    <m/>
    <m/>
    <m/>
    <m/>
    <m/>
    <m/>
    <m/>
    <m/>
    <m/>
    <m/>
    <m/>
    <e v="#REF!"/>
    <e v="#REF!"/>
    <e v="#REF!"/>
    <e v="#REF!"/>
    <e v="#REF!"/>
    <e v="#REF!"/>
    <e v="#REF!"/>
    <e v="#REF!"/>
    <e v="#REF!"/>
    <e v="#REF!"/>
    <m/>
    <m/>
    <m/>
    <n v="0"/>
    <m/>
    <m/>
    <m/>
    <n v="17"/>
    <n v="17"/>
    <m/>
    <m/>
    <s v="MMR015CMP216"/>
    <m/>
  </r>
  <r>
    <x v="226"/>
    <x v="28"/>
    <x v="0"/>
    <s v="KMSS-B"/>
    <s v="Kachin"/>
    <x v="5"/>
    <s v="AD-2000 Tharthana Compound"/>
    <m/>
    <m/>
    <m/>
    <m/>
    <m/>
    <m/>
    <m/>
    <m/>
    <m/>
    <m/>
    <m/>
    <m/>
    <m/>
    <m/>
    <m/>
    <m/>
    <m/>
    <m/>
    <m/>
    <m/>
    <e v="#REF!"/>
    <e v="#REF!"/>
    <e v="#REF!"/>
    <e v="#REF!"/>
    <e v="#REF!"/>
    <e v="#REF!"/>
    <e v="#REF!"/>
    <e v="#REF!"/>
    <e v="#REF!"/>
    <e v="#REF!"/>
    <m/>
    <m/>
    <m/>
    <n v="0"/>
    <m/>
    <m/>
    <m/>
    <m/>
    <m/>
    <m/>
    <m/>
    <s v="MMR001CMP050"/>
    <s v="UNIQLO "/>
  </r>
  <r>
    <x v="227"/>
    <x v="28"/>
    <x v="0"/>
    <s v="Shalom"/>
    <s v="Kachin"/>
    <x v="1"/>
    <s v="Tat Kone Emanuel Church"/>
    <m/>
    <m/>
    <m/>
    <m/>
    <m/>
    <m/>
    <m/>
    <m/>
    <m/>
    <m/>
    <m/>
    <m/>
    <n v="48"/>
    <n v="49"/>
    <m/>
    <m/>
    <m/>
    <m/>
    <m/>
    <m/>
    <e v="#REF!"/>
    <e v="#REF!"/>
    <e v="#REF!"/>
    <e v="#REF!"/>
    <e v="#REF!"/>
    <e v="#REF!"/>
    <e v="#REF!"/>
    <e v="#REF!"/>
    <e v="#REF!"/>
    <e v="#REF!"/>
    <m/>
    <m/>
    <m/>
    <n v="1"/>
    <m/>
    <m/>
    <m/>
    <m/>
    <m/>
    <m/>
    <m/>
    <s v="MMR001CMP004"/>
    <m/>
  </r>
</pivotCacheRecords>
</file>

<file path=xl/pivotCache/pivotCacheRecords5.xml><?xml version="1.0" encoding="utf-8"?>
<pivotCacheRecords xmlns="http://schemas.openxmlformats.org/spreadsheetml/2006/main" xmlns:r="http://schemas.openxmlformats.org/officeDocument/2006/relationships" count="305">
  <r>
    <x v="0"/>
    <x v="0"/>
    <s v="MMR001"/>
    <s v="Myitkyina"/>
    <s v="MMR001D001"/>
    <x v="0"/>
    <s v="MMR001001"/>
    <s v="Myitkyina Town"/>
    <s v="MMR001001701"/>
    <s v="Tat Kone Ward"/>
    <s v="MMR001001701520"/>
    <x v="0"/>
    <x v="0"/>
    <x v="0"/>
    <n v="25.415482000000001"/>
    <n v="0"/>
    <n v="78"/>
    <n v="424"/>
    <n v="5.4358974358974361"/>
    <x v="0"/>
    <x v="0"/>
    <x v="0"/>
    <x v="0"/>
    <x v="0"/>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Checked with KBC data"/>
    <s v="Myitkyina Town"/>
    <n v="3.1341427522963001"/>
    <n v="1"/>
  </r>
  <r>
    <x v="0"/>
    <x v="0"/>
    <s v="MMR001"/>
    <s v="Myitkyina"/>
    <s v="MMR001D001"/>
    <x v="0"/>
    <s v="MMR001001"/>
    <s v="Myitkyina Town"/>
    <s v="MMR001001701"/>
    <s v="N Jang Dung"/>
    <m/>
    <x v="1"/>
    <x v="1"/>
    <x v="1"/>
    <n v="25.422194000000001"/>
    <n v="0"/>
    <n v="67"/>
    <n v="291"/>
    <n v="4.3432835820895521"/>
    <x v="0"/>
    <x v="0"/>
    <x v="0"/>
    <x v="0"/>
    <x v="0"/>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3.8820329084732199"/>
    <n v="1"/>
  </r>
  <r>
    <x v="0"/>
    <x v="0"/>
    <s v="MMR001"/>
    <s v="Myitkyina"/>
    <s v="MMR001D001"/>
    <x v="0"/>
    <s v="MMR001001"/>
    <s v="Myitkyina Town"/>
    <s v="MMR001001701"/>
    <s v="Tat Kone Ward"/>
    <s v="MMR001001701520"/>
    <x v="2"/>
    <x v="2"/>
    <x v="2"/>
    <n v="25.404752999999999"/>
    <n v="0"/>
    <n v="33"/>
    <n v="184"/>
    <n v="5.5757575757575761"/>
    <x v="0"/>
    <x v="0"/>
    <x v="0"/>
    <x v="0"/>
    <x v="1"/>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Update pouplation from KBC_x000a_25-Jun-2015 Update population from KBC._x000a_Update population according to KBC data"/>
    <s v="Myitkyina Town"/>
    <n v="2.30454782591254"/>
    <n v="1"/>
  </r>
  <r>
    <x v="0"/>
    <x v="0"/>
    <s v="MMR001"/>
    <s v="Myitkyina"/>
    <s v="MMR001D001"/>
    <x v="0"/>
    <s v="MMR001001"/>
    <s v="Myitkyina Town"/>
    <s v="MMR001001701"/>
    <s v="Tat Kone Ward"/>
    <s v="MMR001001701520"/>
    <x v="3"/>
    <x v="3"/>
    <x v="3"/>
    <n v="25.417733999999999"/>
    <n v="0"/>
    <n v="17"/>
    <n v="83"/>
    <n v="4.882352941176471"/>
    <x v="0"/>
    <x v="0"/>
    <x v="0"/>
    <x v="0"/>
    <x v="2"/>
    <x v="1"/>
    <s v="IP"/>
    <d v="2019-05-08T00:00:00"/>
    <s v="8/May/2019: Population update. Data source:Shalom_x000a_12/Feb/2019: Population update. Data source: Shalom ( Camp Status change into Camp as Shalom is managing the camp from Jan 2019)_x000a_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3.3637010801853577"/>
    <n v="1"/>
  </r>
  <r>
    <x v="0"/>
    <x v="0"/>
    <s v="MMR001"/>
    <s v="Myitkyina"/>
    <s v="MMR001D001"/>
    <x v="0"/>
    <s v="MMR001001"/>
    <s v="Myitkyina Town"/>
    <s v="MMR001001701"/>
    <s v="Tat Kone Ward"/>
    <s v="MMR001001701520"/>
    <x v="4"/>
    <x v="4"/>
    <x v="4"/>
    <n v="25.404015000000001"/>
    <n v="0"/>
    <n v="46"/>
    <n v="242"/>
    <n v="5.2608695652173916"/>
    <x v="0"/>
    <x v="0"/>
    <x v="0"/>
    <x v="0"/>
    <x v="3"/>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from KBC._x000a_Checked with KBC data"/>
    <s v="Myitkyina Town"/>
    <n v="2.0123527499589278"/>
    <n v="1"/>
  </r>
  <r>
    <x v="0"/>
    <x v="0"/>
    <s v="MMR001"/>
    <s v="Myitkyina"/>
    <s v="MMR001D001"/>
    <x v="0"/>
    <s v="MMR001001"/>
    <s v="Myitkyina Town"/>
    <s v="MMR001001701"/>
    <s v="Si Tar Pu Ward"/>
    <s v="MMR001001701521"/>
    <x v="5"/>
    <x v="5"/>
    <x v="5"/>
    <n v="25.412313000000001"/>
    <n v="0"/>
    <n v="124"/>
    <n v="609"/>
    <n v="4.911290322580645"/>
    <x v="0"/>
    <x v="0"/>
    <x v="0"/>
    <x v="0"/>
    <x v="2"/>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28/Jan/2016. Population update. Data source: KBC_x000a_2/Dec/2015. Population update. Data source: KBC._x000a_19-Aug-2015 Update population from KBC._x000a_25-Jun-2015 Update population from KBC._x000a_Update population according to KBC data"/>
    <s v="Myitkyina Town"/>
    <n v="2.9133254097712102"/>
    <n v="1"/>
  </r>
  <r>
    <x v="0"/>
    <x v="0"/>
    <s v="MMR001"/>
    <s v="Myitkyina"/>
    <s v="MMR001D001"/>
    <x v="0"/>
    <s v="MMR001001"/>
    <s v="Myitkyina Town"/>
    <s v="MMR001001701"/>
    <s v="Si Tar Pu Ward"/>
    <s v="MMR001001701521"/>
    <x v="6"/>
    <x v="6"/>
    <x v="6"/>
    <n v="25.423817"/>
    <n v="0"/>
    <n v="24"/>
    <n v="111"/>
    <n v="4.625"/>
    <x v="0"/>
    <x v="0"/>
    <x v="0"/>
    <x v="0"/>
    <x v="4"/>
    <x v="1"/>
    <s v="IP"/>
    <d v="2019-05-08T00:00:00"/>
    <s v="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1/May/2018: Population update. Data source: Shalom_x000a_30/Apr/2018: Population update. Data source: Shalom_x000a_27/Mar/2018: Population update. Data source: Shalom_x000a_5/Mar/2018: Population update. Data source: Shalom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Myitkyina Town"/>
    <n v="4.9021696969220816"/>
    <n v="1"/>
  </r>
  <r>
    <x v="0"/>
    <x v="0"/>
    <s v="MMR001"/>
    <s v="Myitkyina"/>
    <s v="MMR001D001"/>
    <x v="0"/>
    <s v="MMR001001"/>
    <s v="Myitkyina Town"/>
    <s v="MMR001001701"/>
    <s v="Man Khein Ward"/>
    <s v="MMR001001701519"/>
    <x v="7"/>
    <x v="7"/>
    <x v="7"/>
    <n v="25.428910999999999"/>
    <n v="0"/>
    <n v="103"/>
    <n v="586"/>
    <n v="5.6893203883495147"/>
    <x v="0"/>
    <x v="0"/>
    <x v="0"/>
    <x v="0"/>
    <x v="1"/>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5.4145379230647226"/>
    <n v="2"/>
  </r>
  <r>
    <x v="0"/>
    <x v="0"/>
    <s v="MMR001"/>
    <s v="Myitkyina"/>
    <s v="MMR001D001"/>
    <x v="0"/>
    <s v="MMR001001"/>
    <s v="Myitkyina Town"/>
    <s v="MMR001001701"/>
    <s v="Shwe Set Ward"/>
    <s v="MMR001001701518"/>
    <x v="8"/>
    <x v="8"/>
    <x v="8"/>
    <n v="25.440928"/>
    <n v="0"/>
    <n v="95"/>
    <n v="549"/>
    <n v="5.7789473684210524"/>
    <x v="0"/>
    <x v="0"/>
    <x v="0"/>
    <x v="0"/>
    <x v="1"/>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 Update population from KBC._x000a_25-Jun-2015 Update population from KBC._x000a_Update population according to KBC data"/>
    <s v="Myitkyina Town"/>
    <n v="6.6198004689728469"/>
    <n v="2"/>
  </r>
  <r>
    <x v="0"/>
    <x v="0"/>
    <s v="MMR001"/>
    <s v="Myitkyina"/>
    <s v="MMR001D001"/>
    <x v="0"/>
    <s v="MMR001001"/>
    <s v="Myitkyina Town"/>
    <s v="MMR001001701"/>
    <s v="Du Ka Htaung Ward"/>
    <s v="MMR001001701504"/>
    <x v="9"/>
    <x v="9"/>
    <x v="9"/>
    <n v="25.3959740909091"/>
    <n v="0"/>
    <n v="44"/>
    <n v="197"/>
    <n v="4.4772727272727275"/>
    <x v="0"/>
    <x v="0"/>
    <x v="0"/>
    <x v="0"/>
    <x v="2"/>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Myitkyina Town"/>
    <n v="1.1985969617964649"/>
    <n v="1"/>
  </r>
  <r>
    <x v="1"/>
    <x v="0"/>
    <s v="MMR001"/>
    <s v="Myitkyina"/>
    <s v="MMR001D001"/>
    <x v="0"/>
    <s v="MMR001001"/>
    <s v="Myitkyina Town"/>
    <s v="MMR001001701"/>
    <s v="Kyun Pin Thar Ward"/>
    <s v="MMR001001701510"/>
    <x v="10"/>
    <x v="10"/>
    <x v="10"/>
    <n v="25.3660036111111"/>
    <n v="0"/>
    <n v="45"/>
    <n v="207"/>
    <n v="4.5999999999999996"/>
    <x v="0"/>
    <x v="0"/>
    <x v="0"/>
    <x v="0"/>
    <x v="4"/>
    <x v="2"/>
    <s v="IP"/>
    <d v="2019-02-12T00:00:00"/>
    <s v="12/Feb/2019: Camp status changed into Close. Data source: KBC- MKA ( Kyun Pin Thar Baptist Church ( MMR001CMP013) Combined with Le Kone Bethlehem Church as per KBC- MKA ) 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Three locations in Du Kahtawng merged as per 1st of July "/>
    <s v="Myitkyina Town"/>
    <n v="2.8164250706222882"/>
    <n v="1"/>
  </r>
  <r>
    <x v="0"/>
    <x v="0"/>
    <s v="MMR001"/>
    <s v="Myitkyina"/>
    <s v="MMR001D001"/>
    <x v="0"/>
    <s v="MMR001001"/>
    <s v="Myitkyina Town"/>
    <s v="MMR001001701"/>
    <s v="Lel Kone Ward"/>
    <s v="MMR001001701525"/>
    <x v="11"/>
    <x v="11"/>
    <x v="11"/>
    <n v="25.3510167948718"/>
    <n v="0"/>
    <n v="138"/>
    <n v="709"/>
    <n v="5.13768115942029"/>
    <x v="0"/>
    <x v="0"/>
    <x v="0"/>
    <x v="0"/>
    <x v="0"/>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from KBC._x000a_Update population according to KBC data"/>
    <s v="Myitkyina Town"/>
    <n v="4.262018365878137"/>
    <n v="1"/>
  </r>
  <r>
    <x v="0"/>
    <x v="0"/>
    <s v="MMR001"/>
    <s v="Myitkyina"/>
    <s v="MMR001D001"/>
    <x v="0"/>
    <s v="MMR001001"/>
    <s v="Myitkyina Town"/>
    <s v="MMR001001701"/>
    <s v="Lel Kone Ward"/>
    <s v="MMR001001701525"/>
    <x v="12"/>
    <x v="12"/>
    <x v="12"/>
    <n v="25.360463124999999"/>
    <n v="0"/>
    <n v="61"/>
    <n v="312"/>
    <n v="5.1147540983606561"/>
    <x v="0"/>
    <x v="0"/>
    <x v="0"/>
    <x v="0"/>
    <x v="2"/>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Update population according to KBC data"/>
    <s v="Waingmaw Town"/>
    <n v="3.3362307375127798"/>
    <n v="1"/>
  </r>
  <r>
    <x v="0"/>
    <x v="0"/>
    <s v="MMR001"/>
    <s v="Myitkyina"/>
    <s v="MMR001D001"/>
    <x v="0"/>
    <s v="MMR001001"/>
    <s v="Myitkyina Town"/>
    <s v="MMR001001701"/>
    <s v="Jan Mai Kawng"/>
    <m/>
    <x v="13"/>
    <x v="13"/>
    <x v="13"/>
    <n v="25.397850999999999"/>
    <n v="0"/>
    <n v="199"/>
    <n v="1131"/>
    <n v="5.683417085427136"/>
    <x v="0"/>
    <x v="0"/>
    <x v="0"/>
    <x v="0"/>
    <x v="1"/>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2.4647367211404561"/>
    <n v="1"/>
  </r>
  <r>
    <x v="1"/>
    <x v="0"/>
    <s v="MMR001"/>
    <s v="Myitkyina"/>
    <s v="MMR001D001"/>
    <x v="0"/>
    <s v="MMR001001"/>
    <s v="Myitkyina Town"/>
    <s v="MMR001001701"/>
    <s v="Myay Myint Ward"/>
    <s v="MMR001001701517"/>
    <x v="14"/>
    <x v="14"/>
    <x v="14"/>
    <n v="25.387862999999999"/>
    <n v="0"/>
    <m/>
    <m/>
    <s v="NA"/>
    <x v="0"/>
    <x v="0"/>
    <x v="0"/>
    <x v="0"/>
    <x v="3"/>
    <x v="1"/>
    <s v="IP"/>
    <d v="2015-06-25T00:00:00"/>
    <s v="25-Jun-15 Relocate to Shatapru Thida Aye Baptist Church_x000a_Population update: Source: Camp Profile Round 2."/>
    <s v="Myitkyina Town"/>
    <n v="1.3751794210741128"/>
    <n v="1"/>
  </r>
  <r>
    <x v="0"/>
    <x v="0"/>
    <s v="MMR001"/>
    <s v="Myitkyina"/>
    <s v="MMR001D001"/>
    <x v="0"/>
    <s v="MMR001001"/>
    <s v="Myitkyina Town"/>
    <s v="MMR001001701"/>
    <s v="Jan Mai Kawng"/>
    <m/>
    <x v="15"/>
    <x v="15"/>
    <x v="15"/>
    <n v="25.403476999999999"/>
    <m/>
    <n v="100"/>
    <n v="485"/>
    <n v="4.8499999999999996"/>
    <x v="0"/>
    <x v="0"/>
    <x v="0"/>
    <x v="0"/>
    <x v="1"/>
    <x v="3"/>
    <s v="IP"/>
    <d v="2019-05-08T00:00:00"/>
    <s v="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Myitkyina Town"/>
    <n v="1.8563710010113432"/>
    <n v="1"/>
  </r>
  <r>
    <x v="0"/>
    <x v="0"/>
    <s v="MMR001"/>
    <s v="Myitkyina"/>
    <s v="MMR001D001"/>
    <x v="0"/>
    <s v="MMR001001"/>
    <s v="Maw Hpawng"/>
    <s v="MMR001001007"/>
    <s v="Maw Hpawng"/>
    <n v="165698"/>
    <x v="16"/>
    <x v="16"/>
    <x v="16"/>
    <n v="25.374343974359"/>
    <n v="0"/>
    <n v="22"/>
    <n v="92"/>
    <n v="4.1818181818181817"/>
    <x v="0"/>
    <x v="0"/>
    <x v="0"/>
    <x v="1"/>
    <x v="3"/>
    <x v="1"/>
    <s v="IP"/>
    <d v="2019-05-08T00:00:00"/>
    <s v="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Myitkyina Town"/>
    <n v="10.744749696609457"/>
    <n v="3"/>
  </r>
  <r>
    <x v="0"/>
    <x v="0"/>
    <s v="MMR001"/>
    <s v="Myitkyina"/>
    <s v="MMR001D001"/>
    <x v="0"/>
    <s v="MMR001001"/>
    <s v="Maw Hpawng"/>
    <s v="MMR001001007"/>
    <s v="Maw Hpawng"/>
    <n v="165698"/>
    <x v="17"/>
    <x v="17"/>
    <x v="17"/>
    <n v="25.371049444444399"/>
    <n v="476"/>
    <n v="21"/>
    <n v="123"/>
    <n v="5.8571428571428568"/>
    <x v="0"/>
    <x v="0"/>
    <x v="0"/>
    <x v="1"/>
    <x v="3"/>
    <x v="1"/>
    <s v="IP"/>
    <d v="2019-05-08T00:00:00"/>
    <s v="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Myitkyina Town"/>
    <n v="10.15228229456989"/>
    <n v="3"/>
  </r>
  <r>
    <x v="0"/>
    <x v="0"/>
    <s v="MMR001"/>
    <s v="Myitkyina"/>
    <s v="MMR001D001"/>
    <x v="0"/>
    <s v="MMR001001"/>
    <s v="Myitkyina Town"/>
    <s v="MMR001001701"/>
    <s v="Tat Kone Ward"/>
    <s v="MMR001001701520"/>
    <x v="18"/>
    <x v="18"/>
    <x v="18"/>
    <n v="25.423209"/>
    <n v="0"/>
    <n v="54"/>
    <n v="250"/>
    <n v="4.6296296296296298"/>
    <x v="0"/>
    <x v="0"/>
    <x v="0"/>
    <x v="0"/>
    <x v="5"/>
    <x v="1"/>
    <s v="IP"/>
    <d v="2019-05-08T00:00:00"/>
    <s v="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2.6190942927115026"/>
    <n v="1"/>
  </r>
  <r>
    <x v="1"/>
    <x v="0"/>
    <s v="MMR001"/>
    <s v="Myitkyina"/>
    <s v="MMR001D001"/>
    <x v="0"/>
    <s v="MMR001001"/>
    <s v="Myitkyina Town"/>
    <s v="MMR001001701"/>
    <s v="Kachin Su Ward"/>
    <s v="MMR001001701509"/>
    <x v="19"/>
    <x v="19"/>
    <x v="19"/>
    <n v="25.377038166666701"/>
    <n v="0"/>
    <n v="7"/>
    <n v="37"/>
    <n v="5.2857142857142856"/>
    <x v="0"/>
    <x v="0"/>
    <x v="0"/>
    <x v="0"/>
    <x v="5"/>
    <x v="1"/>
    <s v="IP"/>
    <d v="2017-06-29T00:00:00"/>
    <s v="Closed july 2017"/>
    <s v="Myitkyina Town"/>
    <n v="1.7877148351104664"/>
    <n v="1"/>
  </r>
  <r>
    <x v="0"/>
    <x v="0"/>
    <s v="MMR001"/>
    <s v="Myitkyina"/>
    <s v="MMR001D001"/>
    <x v="0"/>
    <s v="MMR001001"/>
    <s v="Nam Koi"/>
    <s v="MMR001001005"/>
    <s v="Nam Koi"/>
    <n v="165695"/>
    <x v="20"/>
    <x v="20"/>
    <x v="20"/>
    <n v="25.410569299999999"/>
    <m/>
    <n v="60"/>
    <n v="316"/>
    <n v="5.2666666666666666"/>
    <x v="0"/>
    <x v="0"/>
    <x v="0"/>
    <x v="0"/>
    <x v="4"/>
    <x v="3"/>
    <s v="IP"/>
    <d v="2019-05-08T00:00:00"/>
    <s v="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Arrive from the Daily Work._x000a_19-Aug-15 (Population update. Data Source: KMSS-MYT) _x000a_25-Jun-15 (Population update. Source: KMSS-MYT)"/>
    <s v="Myitkyina Town"/>
    <n v="4.037940696665812"/>
    <n v="1"/>
  </r>
  <r>
    <x v="0"/>
    <x v="0"/>
    <s v="MMR001"/>
    <s v="Myitkyina"/>
    <s v="MMR001D001"/>
    <x v="1"/>
    <s v="MMR001002"/>
    <s v="Waingmaw Town"/>
    <s v="MMR001002701"/>
    <s v="No (2) Ward"/>
    <s v="MMR001002701502"/>
    <x v="21"/>
    <x v="21"/>
    <x v="21"/>
    <n v="25.351724999999998"/>
    <n v="0"/>
    <n v="67"/>
    <n v="341"/>
    <n v="5.08955223880597"/>
    <x v="0"/>
    <x v="0"/>
    <x v="0"/>
    <x v="0"/>
    <x v="0"/>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2015 Update population from KBC._x000a_25-Jun-2015 Update population from KBC._x000a_Checked with KBC data"/>
    <s v="Waingmaw Town"/>
    <n v="0.4474205416025816"/>
    <n v="1"/>
  </r>
  <r>
    <x v="0"/>
    <x v="0"/>
    <s v="MMR001"/>
    <s v="Myitkyina"/>
    <s v="MMR001D001"/>
    <x v="1"/>
    <s v="MMR001002"/>
    <s v="Mading"/>
    <s v="MMR001002001"/>
    <s v="Mading/Hka Kun"/>
    <n v="165730"/>
    <x v="22"/>
    <x v="22"/>
    <x v="22"/>
    <n v="25.356632000000001"/>
    <n v="0"/>
    <n v="32"/>
    <n v="196"/>
    <n v="6.125"/>
    <x v="0"/>
    <x v="0"/>
    <x v="0"/>
    <x v="0"/>
    <x v="6"/>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Population updated. Source: Shelter unit."/>
    <s v="Waingmaw Town"/>
    <n v="1.1134935940025397"/>
    <n v="1"/>
  </r>
  <r>
    <x v="1"/>
    <x v="0"/>
    <s v="MMR001"/>
    <s v="Myitkyina"/>
    <s v="MMR001D001"/>
    <x v="1"/>
    <s v="MMR001002"/>
    <s v="Waingmaw Town"/>
    <s v="MMR001002701"/>
    <s v="No (4) Ward"/>
    <s v="MMR001002701504"/>
    <x v="23"/>
    <x v="23"/>
    <x v="23"/>
    <n v="25.350809000000002"/>
    <n v="0"/>
    <n v="92"/>
    <n v="505"/>
    <n v="5.4891304347826084"/>
    <x v="0"/>
    <x v="0"/>
    <x v="0"/>
    <x v="0"/>
    <x v="7"/>
    <x v="1"/>
    <s v="IP"/>
    <d v="2018-06-30T00:00:00"/>
    <s v="22/June/2018: camp status change to Closed Camp. 44 HHs shifted to Maina Governent plan low cost housing. 35 HHs stayed in the host community where they already bought land and constructed houses. 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1.0367202051285227"/>
    <n v="1"/>
  </r>
  <r>
    <x v="0"/>
    <x v="0"/>
    <s v="MMR001"/>
    <s v="Myitkyina"/>
    <s v="MMR001D001"/>
    <x v="1"/>
    <s v="MMR001002"/>
    <s v="Hkat Shu"/>
    <s v="MMR001002003"/>
    <s v="Hkat Shu"/>
    <n v="165735"/>
    <x v="24"/>
    <x v="24"/>
    <x v="24"/>
    <n v="25.321710740740698"/>
    <n v="0"/>
    <n v="92"/>
    <n v="448"/>
    <n v="4.8695652173913047"/>
    <x v="0"/>
    <x v="0"/>
    <x v="0"/>
    <x v="1"/>
    <x v="0"/>
    <x v="1"/>
    <s v="IP"/>
    <d v="2019-05-08T00:00:00"/>
    <s v="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5.0655036329811631"/>
    <n v="2"/>
  </r>
  <r>
    <x v="0"/>
    <x v="0"/>
    <s v="MMR001"/>
    <s v="Myitkyina"/>
    <s v="MMR001D001"/>
    <x v="1"/>
    <s v="MMR001002"/>
    <s v="Mai Na"/>
    <s v="MMR001002006"/>
    <s v="Mai Na"/>
    <n v="165740"/>
    <x v="25"/>
    <x v="25"/>
    <x v="25"/>
    <n v="25.415667500000001"/>
    <m/>
    <n v="327"/>
    <n v="1785"/>
    <n v="5.4587155963302756"/>
    <x v="0"/>
    <x v="0"/>
    <x v="0"/>
    <x v="0"/>
    <x v="8"/>
    <x v="3"/>
    <s v="IP"/>
    <d v="2019-05-08T00:00:00"/>
    <s v="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Myitkyina Town"/>
    <n v="5.7019834469756479"/>
    <n v="2"/>
  </r>
  <r>
    <x v="0"/>
    <x v="0"/>
    <s v="MMR001"/>
    <s v="Myitkyina"/>
    <s v="MMR001D001"/>
    <x v="1"/>
    <s v="MMR001002"/>
    <s v="Waingmaw Town"/>
    <s v="MMR001002701"/>
    <s v="No (3) Ward"/>
    <s v="MMR001002701503"/>
    <x v="26"/>
    <x v="26"/>
    <x v="26"/>
    <n v="25.345918166666699"/>
    <m/>
    <n v="36"/>
    <n v="189"/>
    <n v="5.25"/>
    <x v="0"/>
    <x v="0"/>
    <x v="0"/>
    <x v="0"/>
    <x v="0"/>
    <x v="1"/>
    <s v="IP"/>
    <d v="2019-05-08T00:00:00"/>
    <s v="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Waingmaw Town"/>
    <n v="0.77827912736780092"/>
    <n v="1"/>
  </r>
  <r>
    <x v="0"/>
    <x v="0"/>
    <s v="MMR001"/>
    <s v="Myitkyina"/>
    <s v="MMR001D001"/>
    <x v="1"/>
    <s v="MMR001002"/>
    <s v="Mai Na"/>
    <s v="MMR001002006"/>
    <s v="Mai Na"/>
    <n v="165740"/>
    <x v="27"/>
    <x v="27"/>
    <x v="27"/>
    <n v="25.424529444444399"/>
    <n v="0"/>
    <n v="346"/>
    <n v="2059"/>
    <n v="5.9508670520231215"/>
    <x v="0"/>
    <x v="0"/>
    <x v="0"/>
    <x v="1"/>
    <x v="9"/>
    <x v="1"/>
    <s v="IP"/>
    <d v="2019-05-08T00:00:00"/>
    <s v="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Myitkyina Town"/>
    <n v="5.9727739497559158"/>
    <n v="2"/>
  </r>
  <r>
    <x v="0"/>
    <x v="0"/>
    <s v="MMR001"/>
    <s v="Myitkyina"/>
    <s v="MMR001D001"/>
    <x v="1"/>
    <s v="MMR001002"/>
    <s v="Waingmaw Town"/>
    <s v="MMR001002701"/>
    <s v="No (2) Ward"/>
    <s v="MMR001002701502"/>
    <x v="28"/>
    <x v="28"/>
    <x v="28"/>
    <n v="25.3540362037037"/>
    <n v="0"/>
    <n v="115"/>
    <n v="493"/>
    <n v="4.2869565217391301"/>
    <x v="0"/>
    <x v="0"/>
    <x v="0"/>
    <x v="0"/>
    <x v="1"/>
    <x v="1"/>
    <s v="IP"/>
    <d v="2019-05-08T00:00:00"/>
    <s v="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24/Apr/2017: Pop update. Data source: KMSS_Myitkyina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Waingmaw Town"/>
    <n v="0.37684287609457234"/>
    <n v="1"/>
  </r>
  <r>
    <x v="0"/>
    <x v="0"/>
    <s v="MMR001"/>
    <s v="Myitkyina"/>
    <s v="MMR001D001"/>
    <x v="1"/>
    <s v="MMR001002"/>
    <s v="Ma Hkan Tee"/>
    <s v="MMR001002009"/>
    <s v="Nawng Hee"/>
    <n v="165745"/>
    <x v="29"/>
    <x v="29"/>
    <x v="29"/>
    <n v="25.351965"/>
    <m/>
    <n v="19"/>
    <n v="82"/>
    <n v="4.3157894736842106"/>
    <x v="0"/>
    <x v="0"/>
    <x v="0"/>
    <x v="1"/>
    <x v="6"/>
    <x v="1"/>
    <s v="IP"/>
    <d v="2019-05-08T00:00:00"/>
    <s v="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Myitkyina Town"/>
    <n v="6.0275881703713861"/>
    <n v="2"/>
  </r>
  <r>
    <x v="0"/>
    <x v="0"/>
    <s v="MMR001"/>
    <s v="Myitkyina"/>
    <s v="MMR001D001"/>
    <x v="1"/>
    <s v="MMR001002"/>
    <s v="Waingmaw Town"/>
    <s v="MMR001002701"/>
    <s v="No (4) Ward"/>
    <s v="MMR001002701504"/>
    <x v="30"/>
    <x v="30"/>
    <x v="30"/>
    <n v="25.333683333333301"/>
    <m/>
    <n v="46"/>
    <n v="190"/>
    <n v="4.1304347826086953"/>
    <x v="0"/>
    <x v="0"/>
    <x v="0"/>
    <x v="0"/>
    <x v="10"/>
    <x v="1"/>
    <s v="IP"/>
    <d v="2019-05-08T00:00:00"/>
    <s v="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2.4174307716662291"/>
    <n v="1"/>
  </r>
  <r>
    <x v="1"/>
    <x v="0"/>
    <s v="MMR001"/>
    <s v="Myitkyina"/>
    <s v="MMR001D001"/>
    <x v="1"/>
    <s v="MMR001002"/>
    <s v="Nawng Si Paw"/>
    <s v="MMR001002013"/>
    <s v="Nawng Si Paw"/>
    <n v="165750"/>
    <x v="31"/>
    <x v="31"/>
    <x v="31"/>
    <m/>
    <m/>
    <m/>
    <m/>
    <s v="NA"/>
    <x v="0"/>
    <x v="0"/>
    <x v="0"/>
    <x v="2"/>
    <x v="11"/>
    <x v="4"/>
    <m/>
    <m/>
    <s v=" "/>
    <s v=""/>
    <s v=""/>
    <s v=""/>
  </r>
  <r>
    <x v="1"/>
    <x v="0"/>
    <s v="MMR001"/>
    <s v="Myitkyina"/>
    <s v="MMR001D001"/>
    <x v="1"/>
    <s v="MMR001002"/>
    <s v="Hkat Shu"/>
    <s v="MMR001002003"/>
    <s v="Hkat Shu"/>
    <n v="165735"/>
    <x v="32"/>
    <x v="32"/>
    <x v="32"/>
    <n v="25.328987000000001"/>
    <m/>
    <m/>
    <m/>
    <s v="NA"/>
    <x v="0"/>
    <x v="0"/>
    <x v="0"/>
    <x v="2"/>
    <x v="11"/>
    <x v="4"/>
    <m/>
    <m/>
    <s v=" "/>
    <s v=""/>
    <s v=""/>
    <s v=""/>
  </r>
  <r>
    <x v="1"/>
    <x v="0"/>
    <s v="MMR001"/>
    <s v="Myitkyina"/>
    <s v="MMR001D001"/>
    <x v="1"/>
    <s v="MMR001002"/>
    <s v="Waingmaw Town"/>
    <s v="MMR001002701"/>
    <s v="No (2) Ward"/>
    <s v="MMR001002701502"/>
    <x v="33"/>
    <x v="33"/>
    <x v="33"/>
    <n v="25.355841999999999"/>
    <n v="0"/>
    <m/>
    <m/>
    <s v="NA"/>
    <x v="0"/>
    <x v="0"/>
    <x v="1"/>
    <x v="0"/>
    <x v="10"/>
    <x v="5"/>
    <s v="IP"/>
    <d v="2016-03-03T00:00:00"/>
    <s v="3/Mar/2016. Closed Camp. Data source: January report from KBC._x000a_28/Jan/2016. Population update. Data source: KBC (mail by maran)_x000a_2/Dec/2015 (Population update. Data source: Monthly report by KBC)._x000a_25-Jun-2015 Update population. Data Source: KBC_x000a_Changed to Boarding School."/>
    <s v="Waingmaw Town"/>
    <n v="0.70725493400809891"/>
    <n v="1"/>
  </r>
  <r>
    <x v="0"/>
    <x v="0"/>
    <s v="MMR001"/>
    <s v="Myitkyina"/>
    <s v="MMR001D001"/>
    <x v="1"/>
    <s v="MMR001002"/>
    <s v="Waingmaw Town"/>
    <s v="MMR001002701"/>
    <s v="No (3) Ward"/>
    <s v="MMR001002701503"/>
    <x v="34"/>
    <x v="34"/>
    <x v="34"/>
    <n v="25.351250396825399"/>
    <n v="476"/>
    <n v="67"/>
    <n v="283"/>
    <n v="4.2238805970149258"/>
    <x v="0"/>
    <x v="0"/>
    <x v="0"/>
    <x v="0"/>
    <x v="10"/>
    <x v="1"/>
    <s v="IP"/>
    <d v="2019-05-08T00:00:00"/>
    <s v="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0.15089472113650237"/>
    <n v="1"/>
  </r>
  <r>
    <x v="0"/>
    <x v="0"/>
    <s v="MMR001"/>
    <s v="Myitkyina"/>
    <s v="MMR001D001"/>
    <x v="2"/>
    <s v="MMR001005"/>
    <s v="Chipwi Town"/>
    <s v="MMR001005701"/>
    <s v="Ba Leit Dan Ward"/>
    <s v="MMR001005701503"/>
    <x v="35"/>
    <x v="35"/>
    <x v="35"/>
    <n v="25.889410000000002"/>
    <n v="304"/>
    <n v="163"/>
    <n v="830"/>
    <n v="5.0920245398773005"/>
    <x v="0"/>
    <x v="0"/>
    <x v="0"/>
    <x v="0"/>
    <x v="12"/>
    <x v="1"/>
    <s v="IP"/>
    <d v="2019-05-08T00:00:00"/>
    <s v="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Chipwi Town"/>
    <n v="0.15809623370782155"/>
    <n v="1"/>
  </r>
  <r>
    <x v="0"/>
    <x v="0"/>
    <s v="MMR001"/>
    <s v="Bhamo"/>
    <s v="MMR001D003"/>
    <x v="3"/>
    <s v="MMR001010"/>
    <s v="Moe Hping"/>
    <s v="MMR001010009"/>
    <s v="Moe Hping"/>
    <n v="166836"/>
    <x v="36"/>
    <x v="36"/>
    <x v="36"/>
    <n v="24.2631743589744"/>
    <n v="0"/>
    <n v="139"/>
    <n v="777"/>
    <n v="5.5899280575539567"/>
    <x v="0"/>
    <x v="0"/>
    <x v="0"/>
    <x v="0"/>
    <x v="0"/>
    <x v="1"/>
    <s v="IP"/>
    <d v="2019-05-08T00:00:00"/>
    <s v="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Population update: Source: Camp Profile Round 2."/>
    <s v="Bhamo Town"/>
    <n v="1.0876401420946245"/>
    <n v="1"/>
  </r>
  <r>
    <x v="0"/>
    <x v="0"/>
    <s v="MMR001"/>
    <s v="Bhamo"/>
    <s v="MMR001D003"/>
    <x v="3"/>
    <s v="MMR001010"/>
    <s v="Moe Hping"/>
    <s v="MMR001010009"/>
    <s v="Moe Hping"/>
    <n v="166836"/>
    <x v="37"/>
    <x v="37"/>
    <x v="37"/>
    <n v="24.260719999999999"/>
    <m/>
    <n v="218"/>
    <n v="1067"/>
    <n v="4.8944954128440363"/>
    <x v="0"/>
    <x v="0"/>
    <x v="0"/>
    <x v="0"/>
    <x v="10"/>
    <x v="6"/>
    <s v="IP"/>
    <d v="2019-05-08T00:00:00"/>
    <s v="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24 HHs with around 100 Return to VoO Ga Ra Yang  as per camp leader of the camp)_x000a_31/May/2018: Population update. Data source: KMSS_Bhamo_x000a_10/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15 (Population Update. Data Source: KMSS-BMO)_x000a_Population update: Source: Camp Profile Round 2."/>
    <s v="Bhamo Town"/>
    <n v="0.78440046838596356"/>
    <n v="1"/>
  </r>
  <r>
    <x v="0"/>
    <x v="0"/>
    <s v="MMR001"/>
    <s v="Bhamo"/>
    <s v="MMR001D003"/>
    <x v="3"/>
    <s v="MMR001010"/>
    <s v="Bhamo Town"/>
    <s v="MMR001010701"/>
    <s v="Pauk Kone Ward"/>
    <s v="MMR001010701506"/>
    <x v="38"/>
    <x v="38"/>
    <x v="38"/>
    <n v="24.253067000000001"/>
    <n v="0"/>
    <n v="14"/>
    <n v="55"/>
    <n v="3.9285714285714284"/>
    <x v="0"/>
    <x v="0"/>
    <x v="0"/>
    <x v="0"/>
    <x v="13"/>
    <x v="1"/>
    <s v="IP"/>
    <d v="2019-05-08T00:00:00"/>
    <s v="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Bhamo Town"/>
    <n v="0.20824727902294948"/>
    <n v="1"/>
  </r>
  <r>
    <x v="0"/>
    <x v="0"/>
    <s v="MMR001"/>
    <s v="Bhamo"/>
    <s v="MMR001D003"/>
    <x v="3"/>
    <s v="MMR001010"/>
    <s v="Bhamo Town"/>
    <s v="MMR001010701"/>
    <s v="Pauk Kone Ward"/>
    <s v="MMR001010701506"/>
    <x v="39"/>
    <x v="39"/>
    <x v="39"/>
    <n v="24.24766"/>
    <n v="0"/>
    <n v="40"/>
    <n v="232"/>
    <n v="5.8"/>
    <x v="0"/>
    <x v="0"/>
    <x v="0"/>
    <x v="0"/>
    <x v="14"/>
    <x v="7"/>
    <s v="IP"/>
    <d v="2019-05-08T00:00:00"/>
    <s v="8/May/2019: Population update. Data source: KBC-Bhamo_x000a_8/May/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Bhamo Town"/>
    <n v="0.84749304721635399"/>
    <n v="1"/>
  </r>
  <r>
    <x v="1"/>
    <x v="0"/>
    <s v="MMR001"/>
    <s v="Bhamo"/>
    <s v="MMR001D003"/>
    <x v="3"/>
    <s v="MMR001010"/>
    <s v="Han Te"/>
    <s v="MMR001010024"/>
    <s v="Han Te"/>
    <n v="166851"/>
    <x v="40"/>
    <x v="40"/>
    <x v="40"/>
    <n v="24.24953"/>
    <n v="0"/>
    <n v="11"/>
    <n v="63"/>
    <n v="5.7272727272727275"/>
    <x v="0"/>
    <x v="0"/>
    <x v="0"/>
    <x v="0"/>
    <x v="15"/>
    <x v="1"/>
    <s v="IP"/>
    <d v="2019-03-08T00:00:00"/>
    <s v="8/Mar/2019:  Data source:Shalom. Camp Status change to Close ( Regarding Yoe Gyi camp(Bhamaw), 8 households have already moved to Nang Hlaing new ward(resettlement site) on 21,28, Dec, 2018 and 14,15, Feb, 2019. Out of the rest 3 households, one household is staying in ward,receiving food assistance of WFP, the another one household have returned the place of origin( MawSin) on 17 Dec,2018, having received return package from WFP and the last household have moved to 3 mile after receiving return package from WFP)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Bhamo Town"/>
    <n v="0.87147615879849294"/>
    <n v="1"/>
  </r>
  <r>
    <x v="1"/>
    <x v="0"/>
    <s v="MMR001"/>
    <s v="Myitkyina"/>
    <s v="MMR001D001"/>
    <x v="2"/>
    <s v="MMR001005"/>
    <m/>
    <m/>
    <m/>
    <m/>
    <x v="41"/>
    <x v="41"/>
    <x v="31"/>
    <m/>
    <m/>
    <m/>
    <m/>
    <s v="NA"/>
    <x v="0"/>
    <x v="0"/>
    <x v="0"/>
    <x v="2"/>
    <x v="11"/>
    <x v="4"/>
    <m/>
    <m/>
    <s v=" "/>
    <s v=""/>
    <s v=""/>
    <s v=""/>
  </r>
  <r>
    <x v="1"/>
    <x v="0"/>
    <s v="MMR001"/>
    <s v="Myitkyina"/>
    <s v="MMR001D001"/>
    <x v="2"/>
    <s v="MMR001005"/>
    <s v="Lang Jaw (Pang War Sub-township)"/>
    <s v="MMR001005022"/>
    <s v="Lang Jaw"/>
    <n v="166337"/>
    <x v="42"/>
    <x v="42"/>
    <x v="41"/>
    <n v="25.708763000000001"/>
    <m/>
    <m/>
    <m/>
    <s v="NA"/>
    <x v="0"/>
    <x v="0"/>
    <x v="2"/>
    <x v="1"/>
    <x v="11"/>
    <x v="4"/>
    <s v="IP"/>
    <d v="2017-07-11T00:00:00"/>
    <s v="11/Jul/2017: Change status to Close as no update available since December 2016"/>
    <s v="Pang War Town"/>
    <n v="12.486065224161463"/>
    <n v="3"/>
  </r>
  <r>
    <x v="1"/>
    <x v="0"/>
    <s v="MMR001"/>
    <s v="Myitkyina"/>
    <s v="MMR001D001"/>
    <x v="2"/>
    <s v="MMR001005"/>
    <m/>
    <m/>
    <m/>
    <m/>
    <x v="43"/>
    <x v="43"/>
    <x v="31"/>
    <m/>
    <m/>
    <m/>
    <m/>
    <s v="NA"/>
    <x v="0"/>
    <x v="0"/>
    <x v="0"/>
    <x v="1"/>
    <x v="11"/>
    <x v="3"/>
    <s v="IP"/>
    <d v="2015-04-02T00:00:00"/>
    <s v="2-Apr-15 (Closed. Source: GAD)_x000a_Responsible Agency update. KMSS-BMO to KMSS-MYT."/>
    <s v=""/>
    <s v=""/>
    <s v=""/>
  </r>
  <r>
    <x v="1"/>
    <x v="0"/>
    <s v="MMR001"/>
    <s v="Bhamo"/>
    <s v="MMR001D003"/>
    <x v="3"/>
    <s v="MMR001010"/>
    <s v="Nam Hlaing"/>
    <s v="MMR001010015"/>
    <s v="Nam Hlaing"/>
    <n v="166844"/>
    <x v="44"/>
    <x v="44"/>
    <x v="42"/>
    <n v="24.32638"/>
    <m/>
    <n v="17"/>
    <n v="75"/>
    <n v="4.4117647058823533"/>
    <x v="0"/>
    <x v="0"/>
    <x v="0"/>
    <x v="0"/>
    <x v="10"/>
    <x v="6"/>
    <s v="IP"/>
    <d v="2019-05-08T00:00:00"/>
    <s v="Camp Status Changed to closed as the IDPs return to VoO in the first week of April. _x000a_8/May/2019: Population update. Data source: KMSS_Bhamo_x000a_Camp Status changed to Closed. IDPs returned to VoO in April 2019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Update population. Source UNHCR Bhamo"/>
    <s v="Momauk Town"/>
    <n v="8.3788619521763046"/>
    <n v="2"/>
  </r>
  <r>
    <x v="1"/>
    <x v="0"/>
    <s v="MMR001"/>
    <s v="Bhamo"/>
    <s v="MMR001D003"/>
    <x v="3"/>
    <s v="MMR001010"/>
    <m/>
    <m/>
    <m/>
    <m/>
    <x v="45"/>
    <x v="45"/>
    <x v="43"/>
    <n v="24.262418020999998"/>
    <m/>
    <m/>
    <m/>
    <s v="NA"/>
    <x v="0"/>
    <x v="0"/>
    <x v="0"/>
    <x v="2"/>
    <x v="11"/>
    <x v="4"/>
    <s v="IP"/>
    <d v="2014-01-22T00:00:00"/>
    <s v="Closed: Source UNHCR-Bhamo"/>
    <s v=""/>
    <s v=""/>
    <s v=""/>
  </r>
  <r>
    <x v="0"/>
    <x v="0"/>
    <s v="MMR001"/>
    <s v="Bhamo"/>
    <s v="MMR001D003"/>
    <x v="4"/>
    <s v="MMR001012"/>
    <s v="Momauk Town"/>
    <s v="MMR001012701"/>
    <s v="Ah Lin Kawng Ward"/>
    <s v="MMR001012701502"/>
    <x v="46"/>
    <x v="46"/>
    <x v="44"/>
    <n v="24.250689999999999"/>
    <n v="0"/>
    <n v="427"/>
    <n v="2006"/>
    <n v="4.6978922716627638"/>
    <x v="0"/>
    <x v="0"/>
    <x v="0"/>
    <x v="0"/>
    <x v="0"/>
    <x v="7"/>
    <s v="IP"/>
    <d v="2019-05-08T00:00:00"/>
    <s v="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Momauk Town"/>
    <n v="0.62513510418653162"/>
    <n v="1"/>
  </r>
  <r>
    <x v="0"/>
    <x v="0"/>
    <s v="MMR001"/>
    <s v="Bhamo"/>
    <s v="MMR001D003"/>
    <x v="4"/>
    <s v="MMR001012"/>
    <s v="Myo Thit"/>
    <s v="MMR001012010"/>
    <s v="Myo Thit"/>
    <n v="167048"/>
    <x v="47"/>
    <x v="47"/>
    <x v="45"/>
    <n v="24.404876999999999"/>
    <m/>
    <n v="26"/>
    <n v="137"/>
    <n v="5.2692307692307692"/>
    <x v="0"/>
    <x v="0"/>
    <x v="2"/>
    <x v="1"/>
    <x v="11"/>
    <x v="8"/>
    <s v="WFP"/>
    <d v="2019-03-18T00:00:00"/>
    <s v="19/Mar/2019: Population update. Data source: WFP_x000a_7/April/2017: Population update. Data source: WFP_x000a_Geo-Info, HH/Pop data was updated from Google Earth."/>
    <s v="Momauk Town"/>
    <n v="17.689123339899055"/>
    <n v="4"/>
  </r>
  <r>
    <x v="0"/>
    <x v="0"/>
    <s v="MMR001"/>
    <s v="Bhamo"/>
    <s v="MMR001D003"/>
    <x v="4"/>
    <s v="MMR001012"/>
    <s v="Man Pon"/>
    <s v="MMR001012001"/>
    <s v="Man Pon"/>
    <n v="167009"/>
    <x v="48"/>
    <x v="48"/>
    <x v="46"/>
    <n v="24.245100000000001"/>
    <m/>
    <n v="299"/>
    <n v="1373"/>
    <n v="4.591973244147157"/>
    <x v="0"/>
    <x v="0"/>
    <x v="0"/>
    <x v="0"/>
    <x v="6"/>
    <x v="6"/>
    <s v="IP"/>
    <d v="2019-05-08T00:00:00"/>
    <s v="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 (23 HHs new arrived from Aung Nan village, Mansi township due to conflict in April 2018.)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2015. Population Update. Data Source; KMSS-BMO_x000a_Population increased. Relocated from Momauk Catholic Church (St. Patrick) - MMR001CMP057"/>
    <s v="Momauk Town"/>
    <n v="2.4411071835305544"/>
    <n v="1"/>
  </r>
  <r>
    <x v="0"/>
    <x v="0"/>
    <s v="MMR001"/>
    <s v="Bhamo"/>
    <s v="MMR001D003"/>
    <x v="5"/>
    <s v="MMR001013"/>
    <s v="Mansi Town"/>
    <s v="MMR001013701"/>
    <s v="Kawng Yar Ward"/>
    <s v="MMR001013701504"/>
    <x v="49"/>
    <x v="49"/>
    <x v="47"/>
    <n v="24.129059999999999"/>
    <n v="0"/>
    <n v="190"/>
    <n v="853"/>
    <n v="4.4894736842105267"/>
    <x v="0"/>
    <x v="0"/>
    <x v="0"/>
    <x v="0"/>
    <x v="16"/>
    <x v="7"/>
    <s v="IP"/>
    <d v="2019-05-08T00:00:00"/>
    <s v="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
    <s v="Mansi Town"/>
    <n v="1.0576516850656514"/>
    <n v="1"/>
  </r>
  <r>
    <x v="0"/>
    <x v="0"/>
    <s v="MMR001"/>
    <s v="Bhamo"/>
    <s v="MMR001D003"/>
    <x v="6"/>
    <s v="MMR001011"/>
    <s v="Shwegu Town"/>
    <s v="MMR001011701"/>
    <s v="Shwegu Town"/>
    <s v="MMR001011701504"/>
    <x v="50"/>
    <x v="50"/>
    <x v="48"/>
    <n v="24.200361000000001"/>
    <n v="0"/>
    <n v="47"/>
    <n v="276"/>
    <n v="5.8723404255319149"/>
    <x v="0"/>
    <x v="0"/>
    <x v="0"/>
    <x v="0"/>
    <x v="1"/>
    <x v="7"/>
    <s v="IP"/>
    <d v="2019-05-08T00:00:00"/>
    <s v="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UNHCR-Bhamo"/>
    <s v="Shwegu Town"/>
    <n v="0.74396039478864395"/>
    <n v="1"/>
  </r>
  <r>
    <x v="0"/>
    <x v="0"/>
    <s v="MMR001"/>
    <s v="Bhamo"/>
    <s v="MMR001D003"/>
    <x v="6"/>
    <s v="MMR001011"/>
    <s v="Shwegu Town"/>
    <s v="MMR001011701"/>
    <s v="Shwegu Town"/>
    <s v="MMR001011701504"/>
    <x v="51"/>
    <x v="51"/>
    <x v="48"/>
    <n v="24.200367"/>
    <m/>
    <n v="47"/>
    <n v="194"/>
    <n v="4.1276595744680851"/>
    <x v="0"/>
    <x v="0"/>
    <x v="0"/>
    <x v="0"/>
    <x v="1"/>
    <x v="6"/>
    <s v="IP"/>
    <d v="2019-05-08T00:00:00"/>
    <s v="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pdate Population. Data Source; KMSS-BMO_x000a_Population update: Source UNHCR-Bhamo"/>
    <s v="Shwegu Town"/>
    <n v="0.74330366237812662"/>
    <n v="1"/>
  </r>
  <r>
    <x v="1"/>
    <x v="0"/>
    <s v="MMR001"/>
    <s v="Bhamo"/>
    <s v="MMR001D003"/>
    <x v="3"/>
    <s v="MMR001010"/>
    <s v="Bhamo Town"/>
    <s v="MMR001010701"/>
    <s v="Shwe Kyee Nar Ward"/>
    <s v="MMR001010701513"/>
    <x v="52"/>
    <x v="52"/>
    <x v="49"/>
    <n v="24.29138"/>
    <n v="0"/>
    <n v="20"/>
    <n v="95"/>
    <n v="4.75"/>
    <x v="0"/>
    <x v="0"/>
    <x v="0"/>
    <x v="0"/>
    <x v="6"/>
    <x v="1"/>
    <s v="IP"/>
    <d v="2018-05-31T00:00:00"/>
    <s v="31/May/2018: Population update. Data source: Shalom ( Camp Status change to Closed Camp, As per Shalom, the camp was closed on 28 May 2018). 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Bhamo Town"/>
    <n v="4.108228790802368"/>
    <n v="1"/>
  </r>
  <r>
    <x v="0"/>
    <x v="0"/>
    <s v="MMR001"/>
    <s v="Bhamo"/>
    <s v="MMR001D003"/>
    <x v="4"/>
    <s v="MMR001012"/>
    <s v="Lwegel Town"/>
    <s v="MMR001012702"/>
    <s v="Aung Chan Thar Ward"/>
    <s v="MMR001012702503"/>
    <x v="53"/>
    <x v="53"/>
    <x v="50"/>
    <n v="24.205417000000001"/>
    <m/>
    <n v="129"/>
    <n v="646"/>
    <n v="5.0077519379844961"/>
    <x v="0"/>
    <x v="0"/>
    <x v="0"/>
    <x v="0"/>
    <x v="10"/>
    <x v="6"/>
    <s v="IP"/>
    <d v="2019-05-08T00:00:00"/>
    <s v="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27/Mar/2018: Population update. Data Source: KMSS_Myitkyina_x000a_27/Mar/2018: Population update. Data Source: KMSS_Myitkyina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date Population. Date Source; KMSS-BMO_x000a_Population update: Source: KMSS-BMO"/>
    <s v="Lwegel Town"/>
    <n v="0.77978735578277303"/>
    <n v="1"/>
  </r>
  <r>
    <x v="1"/>
    <x v="0"/>
    <s v="MMR001"/>
    <s v="Bhamo"/>
    <s v="MMR001D003"/>
    <x v="4"/>
    <s v="MMR001012"/>
    <s v="Momauk Town"/>
    <s v="MMR001012701"/>
    <s v="Kyay Nan Waing Ward"/>
    <s v="MMR001012701503"/>
    <x v="54"/>
    <x v="54"/>
    <x v="51"/>
    <n v="24.25177"/>
    <n v="0"/>
    <m/>
    <m/>
    <s v="NA"/>
    <x v="0"/>
    <x v="0"/>
    <x v="0"/>
    <x v="0"/>
    <x v="2"/>
    <x v="6"/>
    <s v="IP"/>
    <d v="2014-11-28T00:00:00"/>
    <s v="Closed. Population relocated to Man Bung Catholic Compound (MMR001CMP062)"/>
    <s v=""/>
    <s v=""/>
    <s v=""/>
  </r>
  <r>
    <x v="1"/>
    <x v="0"/>
    <s v="MMR001"/>
    <s v="Bhamo"/>
    <s v="MMR001D003"/>
    <x v="4"/>
    <s v="MMR001012"/>
    <s v="Momauk Town"/>
    <s v="MMR001012701"/>
    <s v="Ah Lin Kawng Ward"/>
    <s v="MMR001012701502"/>
    <x v="55"/>
    <x v="55"/>
    <x v="52"/>
    <n v="24.251860000000001"/>
    <n v="0"/>
    <m/>
    <m/>
    <s v="NA"/>
    <x v="0"/>
    <x v="0"/>
    <x v="0"/>
    <x v="0"/>
    <x v="3"/>
    <x v="4"/>
    <s v="IP"/>
    <d v="2015-11-09T00:00:00"/>
    <s v="9/Nov/2015. updated camp status (Closed). Data Source; Lu Lu Awng by mail._x000a_19-Aug-15 Population update. Source: Shalom_x000a_25-Jun-15 (Population update. Source : Shalom)_x000a_Checked with Shalom data, IDPs figure do not change"/>
    <m/>
    <m/>
    <m/>
  </r>
  <r>
    <x v="1"/>
    <x v="0"/>
    <s v="MMR001"/>
    <s v="Bhamo"/>
    <s v="MMR001D003"/>
    <x v="4"/>
    <s v="MMR001012"/>
    <s v="Momauk Town"/>
    <s v="MMR001012701"/>
    <s v="Ah Lin Kawng Ward"/>
    <s v="MMR001012701502"/>
    <x v="56"/>
    <x v="56"/>
    <x v="53"/>
    <n v="24.253769999999999"/>
    <n v="0"/>
    <m/>
    <m/>
    <s v="NA"/>
    <x v="0"/>
    <x v="0"/>
    <x v="0"/>
    <x v="0"/>
    <x v="3"/>
    <x v="1"/>
    <s v="IP"/>
    <d v="2016-06-16T00:00:00"/>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Momauk Town"/>
    <n v="0.32830807173487342"/>
    <n v="1"/>
  </r>
  <r>
    <x v="1"/>
    <x v="0"/>
    <s v="MMR001"/>
    <s v="Bhamo"/>
    <s v="MMR001D003"/>
    <x v="4"/>
    <s v="MMR001012"/>
    <s v="Tar Li"/>
    <s v="MMR001012021"/>
    <s v="Tar Li"/>
    <n v="167086"/>
    <x v="57"/>
    <x v="57"/>
    <x v="54"/>
    <n v="24.492493"/>
    <m/>
    <m/>
    <m/>
    <s v="NA"/>
    <x v="0"/>
    <x v="0"/>
    <x v="2"/>
    <x v="1"/>
    <x v="11"/>
    <x v="4"/>
    <s v="RRD"/>
    <d v="2017-07-11T00:00:00"/>
    <s v="11/Jul/2017: Change status to Close as no update available since June 2014_x000a_Geo-Info, HH/Pop data was updated from Google Earth."/>
    <s v="Dawthponeyan  Town"/>
    <n v="14.236592976936194"/>
    <n v="3"/>
  </r>
  <r>
    <x v="0"/>
    <x v="0"/>
    <s v="MMR001"/>
    <s v="Bhamo"/>
    <s v="MMR001D003"/>
    <x v="4"/>
    <s v="MMR001012"/>
    <s v="Lwegel Town"/>
    <s v="MMR001012702"/>
    <s v="Aung Zay Yar Ward"/>
    <s v="MMR001012702505"/>
    <x v="58"/>
    <x v="58"/>
    <x v="55"/>
    <n v="24.200433"/>
    <n v="0"/>
    <n v="210"/>
    <n v="1212"/>
    <n v="5.7714285714285714"/>
    <x v="0"/>
    <x v="0"/>
    <x v="0"/>
    <x v="0"/>
    <x v="5"/>
    <x v="7"/>
    <s v="IP"/>
    <d v="2019-05-08T00:00:00"/>
    <s v="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and camp manager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7/Apr/2017: Population update. Data source: Camp focal point through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2/Dec/2015. Population update. Data source: KBC._x000a_25-Jun-2015 Update population. Data Source: KBC_x000a_Population update: Source: Camp Profile Round 2."/>
    <s v="Lwegel Town"/>
    <n v="0.38934692601696641"/>
    <n v="1"/>
  </r>
  <r>
    <x v="0"/>
    <x v="0"/>
    <s v="MMR001"/>
    <s v="Bhamo"/>
    <s v="MMR001D003"/>
    <x v="4"/>
    <s v="MMR001012"/>
    <s v="Lwegel Town"/>
    <s v="MMR001012702"/>
    <s v="Aung Chan Thar Ward"/>
    <s v="MMR001012702503"/>
    <x v="59"/>
    <x v="59"/>
    <x v="56"/>
    <n v="24.200972"/>
    <m/>
    <n v="38"/>
    <n v="244"/>
    <n v="6.4210526315789478"/>
    <x v="0"/>
    <x v="0"/>
    <x v="0"/>
    <x v="0"/>
    <x v="6"/>
    <x v="7"/>
    <s v="IP"/>
    <d v="2019-05-08T00:00:00"/>
    <s v="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28829825866869707"/>
    <n v="1"/>
  </r>
  <r>
    <x v="1"/>
    <x v="0"/>
    <s v="MMR001"/>
    <s v="Bhamo"/>
    <s v="MMR001D003"/>
    <x v="4"/>
    <s v="MMR001012"/>
    <s v="Man Nawng"/>
    <s v="MMR001012014"/>
    <s v="Man Nawng"/>
    <n v="167063"/>
    <x v="60"/>
    <x v="60"/>
    <x v="57"/>
    <n v="24.410008999999999"/>
    <m/>
    <m/>
    <m/>
    <s v="NA"/>
    <x v="0"/>
    <x v="0"/>
    <x v="2"/>
    <x v="1"/>
    <x v="11"/>
    <x v="4"/>
    <s v="RRD"/>
    <d v="2017-07-11T00:00:00"/>
    <s v="11/Jul/17: Change status to Close as no update available."/>
    <s v="Momauk Town"/>
    <n v="17.282528446236295"/>
    <n v="4"/>
  </r>
  <r>
    <x v="1"/>
    <x v="0"/>
    <s v="MMR001"/>
    <s v="Bhamo"/>
    <s v="MMR001D003"/>
    <x v="4"/>
    <s v="MMR001012"/>
    <s v="Maing Khat"/>
    <s v="MMR001012020"/>
    <s v="Maing Khat"/>
    <n v="167078"/>
    <x v="61"/>
    <x v="61"/>
    <x v="58"/>
    <n v="24.441697000000001"/>
    <m/>
    <m/>
    <m/>
    <s v="NA"/>
    <x v="0"/>
    <x v="0"/>
    <x v="2"/>
    <x v="1"/>
    <x v="11"/>
    <x v="4"/>
    <s v="RRD"/>
    <d v="2017-07-11T00:00:00"/>
    <s v="11/Jul/2017: Change status to Close as no update available since June/2017._x000a_Geo-Info, HH/Pop data was updated from Google Earth."/>
    <s v="Dawthponeyan  Town"/>
    <n v="19.860265975801305"/>
    <n v="4"/>
  </r>
  <r>
    <x v="1"/>
    <x v="0"/>
    <s v="MMR001"/>
    <s v="Bhamo"/>
    <s v="MMR001D003"/>
    <x v="4"/>
    <s v="MMR001012"/>
    <s v="Hpar Kei (Dawthponeyan Sub-township)"/>
    <s v="MMR001012046"/>
    <s v="Hpar Kei"/>
    <n v="167242"/>
    <x v="62"/>
    <x v="62"/>
    <x v="59"/>
    <n v="24.630859999999998"/>
    <m/>
    <m/>
    <m/>
    <s v="NA"/>
    <x v="0"/>
    <x v="0"/>
    <x v="2"/>
    <x v="1"/>
    <x v="11"/>
    <x v="4"/>
    <s v="RRD"/>
    <d v="2017-07-11T00:00:00"/>
    <s v="11/Jul/2017: Change status to Close as no update available since Jan/2017._x000a_Update from OCHA Data (2 Jan 2014)"/>
    <s v="Dawthponeyan  Town"/>
    <n v="3.6887624513681017"/>
    <n v="1"/>
  </r>
  <r>
    <x v="0"/>
    <x v="0"/>
    <s v="MMR001"/>
    <s v="Bhamo"/>
    <s v="MMR001D003"/>
    <x v="4"/>
    <s v="MMR001012"/>
    <s v="Lwegel Town"/>
    <s v="MMR001012039"/>
    <s v="Aung Zay Yar Ward"/>
    <s v="MMR001012702505"/>
    <x v="63"/>
    <x v="63"/>
    <x v="60"/>
    <n v="24.205417000000001"/>
    <n v="0"/>
    <n v="49"/>
    <n v="300"/>
    <n v="6.1224489795918364"/>
    <x v="0"/>
    <x v="0"/>
    <x v="0"/>
    <x v="0"/>
    <x v="15"/>
    <x v="7"/>
    <s v="IP"/>
    <d v="2019-05-08T00:00:00"/>
    <s v="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77561767807574999"/>
    <n v="1"/>
  </r>
  <r>
    <x v="0"/>
    <x v="0"/>
    <s v="MMR001"/>
    <s v="Bhamo"/>
    <s v="MMR001D003"/>
    <x v="4"/>
    <s v="MMR001012"/>
    <s v="Lwegel Town"/>
    <s v="MMR001012702"/>
    <s v="Saing Gyar Ward"/>
    <s v="MMR001012702506"/>
    <x v="64"/>
    <x v="64"/>
    <x v="61"/>
    <n v="24.207332999999998"/>
    <n v="0"/>
    <n v="44"/>
    <n v="276"/>
    <n v="6.2727272727272725"/>
    <x v="0"/>
    <x v="0"/>
    <x v="0"/>
    <x v="0"/>
    <x v="15"/>
    <x v="7"/>
    <s v="IP"/>
    <d v="2019-05-08T00:00:00"/>
    <s v="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1.343152344964242"/>
    <n v="1"/>
  </r>
  <r>
    <x v="0"/>
    <x v="0"/>
    <s v="MMR001"/>
    <s v="Puta-O"/>
    <s v="MMR001D004"/>
    <x v="7"/>
    <s v="MMR001014"/>
    <s v="Puta-O Town"/>
    <s v="MMR001014701"/>
    <s v="Doke Tan Ward"/>
    <s v="MMR001014701509"/>
    <x v="65"/>
    <x v="65"/>
    <x v="62"/>
    <n v="27.311699999999998"/>
    <n v="476.7"/>
    <n v="17"/>
    <n v="92"/>
    <n v="5.4117647058823533"/>
    <x v="0"/>
    <x v="0"/>
    <x v="2"/>
    <x v="1"/>
    <x v="11"/>
    <x v="8"/>
    <s v="WFP"/>
    <d v="2019-03-18T00:00:00"/>
    <s v="19/May/2017: Population update. Data source: Shelter Associate (UNHCR)_x000a_Changed Camp to Host Families. Source: Camp Profile Questionnaire."/>
    <s v="Puta-O Town"/>
    <n v="1.3759254000531889"/>
    <n v="1"/>
  </r>
  <r>
    <x v="0"/>
    <x v="0"/>
    <s v="MMR001"/>
    <s v="Mohnyin"/>
    <s v="MMR001D002"/>
    <x v="8"/>
    <s v="MMR001008"/>
    <s v="Nawng Kaing Htaw"/>
    <s v="MMR001008002"/>
    <s v="Ma Haung"/>
    <n v="166676"/>
    <x v="66"/>
    <x v="66"/>
    <x v="63"/>
    <n v="25.296579999999999"/>
    <n v="0"/>
    <n v="15"/>
    <n v="74"/>
    <n v="4.9333333333333336"/>
    <x v="0"/>
    <x v="0"/>
    <x v="0"/>
    <x v="0"/>
    <x v="6"/>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0.71141459237180937"/>
    <n v="1"/>
  </r>
  <r>
    <x v="0"/>
    <x v="0"/>
    <s v="MMR001"/>
    <s v="Mohnyin"/>
    <s v="MMR001D002"/>
    <x v="8"/>
    <s v="MMR001008"/>
    <s v="Mogaung Town"/>
    <s v="MMR001008701"/>
    <s v="Kyun Taw Ward"/>
    <s v="MMR001008701510"/>
    <x v="67"/>
    <x v="67"/>
    <x v="64"/>
    <n v="25.305669999999999"/>
    <n v="470"/>
    <n v="13"/>
    <n v="72"/>
    <n v="5.5384615384615383"/>
    <x v="0"/>
    <x v="0"/>
    <x v="0"/>
    <x v="0"/>
    <x v="6"/>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1.815139598767344"/>
    <n v="1"/>
  </r>
  <r>
    <x v="0"/>
    <x v="0"/>
    <s v="MMR001"/>
    <s v="Mohnyin"/>
    <s v="MMR001D002"/>
    <x v="8"/>
    <s v="MMR001008"/>
    <s v="Mogaung Town"/>
    <s v="MMR001008701"/>
    <s v="Nat Gyi Kone Ward"/>
    <s v="MMR001008701506"/>
    <x v="68"/>
    <x v="68"/>
    <x v="65"/>
    <n v="25.30442"/>
    <n v="100"/>
    <n v="10"/>
    <n v="43"/>
    <n v="4.3"/>
    <x v="0"/>
    <x v="0"/>
    <x v="0"/>
    <x v="0"/>
    <x v="17"/>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Data Source: KBC._x000a_25-Jun-2015 Update population. Data Source: KBC_x000a_Update population according to KBC data"/>
    <s v="Mogaung Town"/>
    <n v="0.86042374061342075"/>
    <n v="1"/>
  </r>
  <r>
    <x v="0"/>
    <x v="0"/>
    <s v="MMR001"/>
    <s v="Mohnyin"/>
    <s v="MMR001D002"/>
    <x v="9"/>
    <s v="MMR001007"/>
    <s v="Mohnyin Town"/>
    <s v="MMR001007701"/>
    <s v="Aung Tha Pyay Ward"/>
    <s v="MMR001007701505"/>
    <x v="69"/>
    <x v="69"/>
    <x v="66"/>
    <n v="24.764800000000001"/>
    <m/>
    <n v="11"/>
    <n v="68"/>
    <n v="6.1818181818181817"/>
    <x v="0"/>
    <x v="0"/>
    <x v="0"/>
    <x v="0"/>
    <x v="18"/>
    <x v="3"/>
    <s v="IP"/>
    <d v="2019-05-08T00:00:00"/>
    <s v="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Mohnyin Town"/>
    <n v="1.7021273757523427"/>
    <n v="1"/>
  </r>
  <r>
    <x v="0"/>
    <x v="0"/>
    <s v="MMR001"/>
    <s v="Mohnyin"/>
    <s v="MMR001D002"/>
    <x v="10"/>
    <s v="MMR001009"/>
    <s v="Hpakan Town"/>
    <s v="MMR001009701"/>
    <s v="Maw Wam Ward"/>
    <s v="MMR001009701501"/>
    <x v="70"/>
    <x v="70"/>
    <x v="67"/>
    <n v="25.6145"/>
    <n v="65"/>
    <n v="3"/>
    <n v="15"/>
    <n v="5"/>
    <x v="0"/>
    <x v="0"/>
    <x v="3"/>
    <x v="0"/>
    <x v="15"/>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25-Jun-15 (Population update. Source : Shalom)_x000a_Population update: Source: Camp Profile Round 2."/>
    <s v="Hpakant Town"/>
    <n v="0.79577754007276646"/>
    <n v="1"/>
  </r>
  <r>
    <x v="1"/>
    <x v="0"/>
    <s v="MMR001"/>
    <s v="Puta-O"/>
    <s v="MMR001D004"/>
    <x v="11"/>
    <s v="MMR001018"/>
    <s v="La Ja Ga"/>
    <s v="MMR001018021"/>
    <s v="La Ja"/>
    <n v="168236"/>
    <x v="71"/>
    <x v="71"/>
    <x v="68"/>
    <n v="26.890058"/>
    <n v="1393"/>
    <m/>
    <m/>
    <s v="NA"/>
    <x v="0"/>
    <x v="0"/>
    <x v="0"/>
    <x v="1"/>
    <x v="11"/>
    <x v="4"/>
    <s v="RRD"/>
    <d v="2017-02-02T00:00:00"/>
    <s v="Closed Camp_x000a_Update data from OCHA IDPs List"/>
    <s v="Khaunglanhpu Town"/>
    <n v="28.422357500443528"/>
    <n v="6"/>
  </r>
  <r>
    <x v="0"/>
    <x v="0"/>
    <s v="MMR001"/>
    <s v="Mohnyin"/>
    <s v="MMR001D002"/>
    <x v="10"/>
    <s v="MMR001009"/>
    <s v="Nam Ma Hpyit"/>
    <s v="MMR001009002"/>
    <s v="Nam Ma Hpyit"/>
    <n v="166776"/>
    <x v="72"/>
    <x v="72"/>
    <x v="69"/>
    <n v="25.613894999999999"/>
    <n v="251"/>
    <n v="47"/>
    <n v="225"/>
    <n v="4.7872340425531918"/>
    <x v="0"/>
    <x v="0"/>
    <x v="0"/>
    <x v="0"/>
    <x v="19"/>
    <x v="3"/>
    <s v="IP"/>
    <d v="2019-05-08T00:00:00"/>
    <s v="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Hpakant Town"/>
    <n v="2.9334852607184256"/>
    <n v="1"/>
  </r>
  <r>
    <x v="0"/>
    <x v="0"/>
    <s v="MMR001"/>
    <s v="Mohnyin"/>
    <s v="MMR001D002"/>
    <x v="10"/>
    <s v="MMR001009"/>
    <s v="Nam Ma Hpyit"/>
    <s v="MMR001009002"/>
    <s v="Nam Ma Hpyit"/>
    <n v="166776"/>
    <x v="73"/>
    <x v="73"/>
    <x v="70"/>
    <n v="25.599250000000001"/>
    <n v="0"/>
    <n v="16"/>
    <n v="69"/>
    <n v="4.3125"/>
    <x v="0"/>
    <x v="0"/>
    <x v="0"/>
    <x v="0"/>
    <x v="15"/>
    <x v="0"/>
    <s v="IP"/>
    <d v="2019-05-08T00:00:00"/>
    <s v="8/May/2019: Population update. Data source: KBC-MYT_x000a_12/Feb/2019: Population update. Data source: KBC- MKA_x000a_9/Jan/2019: Population update. Data source: KBC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2-Apr-15 (Population update, Source: UNHCR CCCM Mission)_x000a_Update population according to KBC data."/>
    <s v="Hpakant Town"/>
    <n v="1.5942018764815451"/>
    <n v="1"/>
  </r>
  <r>
    <x v="0"/>
    <x v="0"/>
    <s v="MMR001"/>
    <s v="Mohnyin"/>
    <s v="MMR001D002"/>
    <x v="10"/>
    <s v="MMR001009"/>
    <s v="Seik Mu"/>
    <s v="MMR001009003"/>
    <s v="Seik Mu"/>
    <n v="166783"/>
    <x v="74"/>
    <x v="74"/>
    <x v="71"/>
    <n v="25.582065"/>
    <n v="0"/>
    <n v="6"/>
    <n v="31"/>
    <n v="5.166666666666667"/>
    <x v="0"/>
    <x v="0"/>
    <x v="3"/>
    <x v="0"/>
    <x v="19"/>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4.4704963044882238"/>
    <n v="1"/>
  </r>
  <r>
    <x v="0"/>
    <x v="0"/>
    <s v="MMR001"/>
    <s v="Myitkyina"/>
    <s v="MMR001D001"/>
    <x v="1"/>
    <s v="MMR001002"/>
    <s v="Saga Pa (Sadung Sub-township)"/>
    <s v="MMR001002040"/>
    <s v="Saga Pa"/>
    <n v="165895"/>
    <x v="75"/>
    <x v="75"/>
    <x v="72"/>
    <n v="25.220278"/>
    <n v="2404"/>
    <n v="117"/>
    <n v="421"/>
    <n v="3.5982905982905984"/>
    <x v="1"/>
    <x v="0"/>
    <x v="0"/>
    <x v="3"/>
    <x v="10"/>
    <x v="3"/>
    <s v="IP"/>
    <d v="2019-05-08T00:00:00"/>
    <s v="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Sadung Town"/>
    <n v="18.198335991626355"/>
    <n v="4"/>
  </r>
  <r>
    <x v="0"/>
    <x v="0"/>
    <s v="MMR001"/>
    <s v="Myitkyina"/>
    <s v="MMR001D001"/>
    <x v="1"/>
    <s v="MMR001002"/>
    <s v="Saga Pa"/>
    <s v="MMR001002040"/>
    <s v="Hkau Shau"/>
    <m/>
    <x v="76"/>
    <x v="76"/>
    <x v="73"/>
    <n v="25.200333000000001"/>
    <n v="1023"/>
    <n v="136"/>
    <n v="985"/>
    <n v="7.242647058823529"/>
    <x v="1"/>
    <x v="0"/>
    <x v="0"/>
    <x v="1"/>
    <x v="14"/>
    <x v="0"/>
    <s v="IP"/>
    <d v="2019-05-08T00:00:00"/>
    <s v="8/May/2019: Population update. Data source: KBC-MYT_x000a_12/Feb/2019: Population update. Data source: KBC- MKA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 HH and Pop changed a lot because they moved to GCA (Myitkyina and Waingmaw towns)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21.287604662770121"/>
    <n v="5"/>
  </r>
  <r>
    <x v="1"/>
    <x v="0"/>
    <s v="MMR001"/>
    <s v="Mohnyin"/>
    <s v="MMR001D002"/>
    <x v="9"/>
    <s v="MMR001007"/>
    <s v="Nam Mun"/>
    <s v="MMR001007016"/>
    <s v="Nam Mun"/>
    <n v="166591"/>
    <x v="77"/>
    <x v="77"/>
    <x v="74"/>
    <n v="24.998349999999999"/>
    <n v="0"/>
    <n v="0"/>
    <n v="0"/>
    <s v="NA"/>
    <x v="0"/>
    <x v="0"/>
    <x v="0"/>
    <x v="1"/>
    <x v="17"/>
    <x v="5"/>
    <s v="RRD"/>
    <d v="2014-07-17T00:00:00"/>
    <s v="Closed. Duplicate with (Nawng Ing (Indawgyi) Baptist Church)"/>
    <s v=""/>
    <s v=""/>
    <s v=""/>
  </r>
  <r>
    <x v="1"/>
    <x v="0"/>
    <s v="MMR001"/>
    <s v="Mohnyin"/>
    <s v="MMR001D002"/>
    <x v="10"/>
    <s v="MMR001009"/>
    <s v="Hpakan Town"/>
    <s v="MMR001009701"/>
    <s v="Hnget Pyaw Taw Ward"/>
    <s v="MMR001009701502"/>
    <x v="78"/>
    <x v="78"/>
    <x v="75"/>
    <n v="25.611160000000002"/>
    <n v="0"/>
    <n v="0"/>
    <n v="0"/>
    <s v="NA"/>
    <x v="0"/>
    <x v="0"/>
    <x v="0"/>
    <x v="0"/>
    <x v="15"/>
    <x v="5"/>
    <s v="IP"/>
    <d v="2014-05-15T00:00:00"/>
    <s v="Closed.Moved to Na Ma Pyit KBC."/>
    <s v=""/>
    <s v=""/>
    <s v=""/>
  </r>
  <r>
    <x v="1"/>
    <x v="0"/>
    <s v="MMR001"/>
    <s v="Mohnyin"/>
    <s v="MMR001D002"/>
    <x v="10"/>
    <s v="MMR001009"/>
    <s v="Hpakan Town"/>
    <s v="MMR001009701"/>
    <s v="Hnget Pyaw Taw Ward"/>
    <s v="MMR001009701502"/>
    <x v="79"/>
    <x v="79"/>
    <x v="76"/>
    <n v="25.611899999999999"/>
    <m/>
    <n v="0"/>
    <n v="0"/>
    <s v="NA"/>
    <x v="0"/>
    <x v="0"/>
    <x v="0"/>
    <x v="2"/>
    <x v="11"/>
    <x v="4"/>
    <m/>
    <m/>
    <s v=" "/>
    <s v=""/>
    <s v=""/>
    <s v=""/>
  </r>
  <r>
    <x v="1"/>
    <x v="0"/>
    <s v="MMR001"/>
    <s v="Mohnyin"/>
    <s v="MMR001D002"/>
    <x v="10"/>
    <s v="MMR001009"/>
    <s v="Hpakan Town"/>
    <s v="MMR001009701"/>
    <s v="Maw Wam Ward"/>
    <s v="MMR001009701501"/>
    <x v="80"/>
    <x v="80"/>
    <x v="31"/>
    <m/>
    <m/>
    <n v="0"/>
    <n v="0"/>
    <s v="NA"/>
    <x v="0"/>
    <x v="0"/>
    <x v="0"/>
    <x v="2"/>
    <x v="11"/>
    <x v="4"/>
    <m/>
    <m/>
    <s v=" "/>
    <s v=""/>
    <s v=""/>
    <s v=""/>
  </r>
  <r>
    <x v="1"/>
    <x v="0"/>
    <s v="MMR001"/>
    <s v="Mohnyin"/>
    <s v="MMR001D002"/>
    <x v="10"/>
    <s v="MMR001009"/>
    <s v="Hpakan Town"/>
    <s v="MMR001009701"/>
    <s v="Maw Wam Ward"/>
    <s v="MMR001009701501"/>
    <x v="81"/>
    <x v="81"/>
    <x v="77"/>
    <n v="25.619221"/>
    <m/>
    <n v="0"/>
    <n v="0"/>
    <s v="NA"/>
    <x v="0"/>
    <x v="0"/>
    <x v="0"/>
    <x v="2"/>
    <x v="11"/>
    <x v="4"/>
    <m/>
    <m/>
    <s v=" "/>
    <s v=""/>
    <s v=""/>
    <s v=""/>
  </r>
  <r>
    <x v="1"/>
    <x v="0"/>
    <s v="MMR001"/>
    <s v="Mohnyin"/>
    <s v="MMR001D002"/>
    <x v="10"/>
    <s v="MMR001009"/>
    <m/>
    <m/>
    <m/>
    <m/>
    <x v="82"/>
    <x v="82"/>
    <x v="31"/>
    <m/>
    <m/>
    <m/>
    <m/>
    <s v="NA"/>
    <x v="0"/>
    <x v="0"/>
    <x v="0"/>
    <x v="2"/>
    <x v="11"/>
    <x v="4"/>
    <m/>
    <m/>
    <s v=" "/>
    <s v=""/>
    <s v=""/>
    <s v=""/>
  </r>
  <r>
    <x v="1"/>
    <x v="0"/>
    <s v="MMR001"/>
    <s v="Mohnyin"/>
    <s v="MMR001D002"/>
    <x v="10"/>
    <s v="MMR001009"/>
    <s v="Hpakan Town"/>
    <s v="MMR001009701"/>
    <s v="Maw Wam Ward"/>
    <s v="MMR001009701501"/>
    <x v="83"/>
    <x v="83"/>
    <x v="31"/>
    <m/>
    <m/>
    <n v="0"/>
    <n v="0"/>
    <s v="NA"/>
    <x v="0"/>
    <x v="0"/>
    <x v="0"/>
    <x v="2"/>
    <x v="11"/>
    <x v="4"/>
    <m/>
    <m/>
    <s v=" "/>
    <s v=""/>
    <s v=""/>
    <s v=""/>
  </r>
  <r>
    <x v="1"/>
    <x v="0"/>
    <s v="MMR001"/>
    <s v="Mohnyin"/>
    <s v="MMR001D002"/>
    <x v="10"/>
    <s v="MMR001009"/>
    <s v="Hpakan Town"/>
    <s v="MMR001009701"/>
    <s v="Maw Wam Ward"/>
    <s v="MMR001009701501"/>
    <x v="84"/>
    <x v="84"/>
    <x v="31"/>
    <m/>
    <m/>
    <n v="0"/>
    <n v="0"/>
    <s v="NA"/>
    <x v="0"/>
    <x v="0"/>
    <x v="0"/>
    <x v="2"/>
    <x v="11"/>
    <x v="4"/>
    <m/>
    <m/>
    <s v=" "/>
    <s v=""/>
    <s v=""/>
    <s v=""/>
  </r>
  <r>
    <x v="0"/>
    <x v="0"/>
    <s v="MMR001"/>
    <s v="Myitkyina"/>
    <s v="MMR001D001"/>
    <x v="1"/>
    <s v="MMR001002"/>
    <s v="Sa Ma"/>
    <s v="MMR001002031"/>
    <s v="Nar Gu"/>
    <n v="165790"/>
    <x v="85"/>
    <x v="85"/>
    <x v="78"/>
    <n v="24.980250000000002"/>
    <n v="984"/>
    <n v="407"/>
    <n v="1731"/>
    <n v="4.2530712530712531"/>
    <x v="1"/>
    <x v="0"/>
    <x v="0"/>
    <x v="1"/>
    <x v="0"/>
    <x v="3"/>
    <s v="IP"/>
    <d v="2019-05-08T00:00:00"/>
    <s v="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Laiza town"/>
    <n v="28.888856599204185"/>
    <n v="6"/>
  </r>
  <r>
    <x v="1"/>
    <x v="0"/>
    <s v="MMR001"/>
    <s v="Mohnyin"/>
    <s v="MMR001D002"/>
    <x v="10"/>
    <s v="MMR001009"/>
    <s v="Hpakan Town"/>
    <s v="MMR001009701"/>
    <s v="Aye Mya Thar Yar Ward"/>
    <s v="MMR001009701504"/>
    <x v="86"/>
    <x v="86"/>
    <x v="31"/>
    <m/>
    <m/>
    <m/>
    <m/>
    <s v="NA"/>
    <x v="0"/>
    <x v="0"/>
    <x v="0"/>
    <x v="2"/>
    <x v="11"/>
    <x v="4"/>
    <m/>
    <m/>
    <s v=" "/>
    <s v=""/>
    <s v=""/>
    <s v=""/>
  </r>
  <r>
    <x v="1"/>
    <x v="0"/>
    <s v="MMR001"/>
    <s v="Mohnyin"/>
    <s v="MMR001D002"/>
    <x v="10"/>
    <s v="MMR001009"/>
    <s v="Hpakan Town"/>
    <s v="MMR001009701"/>
    <s v="Ma Shi Ka Htaung Ward"/>
    <s v="MMR001009701505"/>
    <x v="87"/>
    <x v="87"/>
    <x v="31"/>
    <m/>
    <m/>
    <n v="0"/>
    <n v="0"/>
    <s v="NA"/>
    <x v="0"/>
    <x v="0"/>
    <x v="0"/>
    <x v="2"/>
    <x v="11"/>
    <x v="4"/>
    <m/>
    <m/>
    <s v=" "/>
    <s v=""/>
    <s v=""/>
    <s v=""/>
  </r>
  <r>
    <x v="1"/>
    <x v="0"/>
    <s v="MMR001"/>
    <s v="Mohnyin"/>
    <s v="MMR001D002"/>
    <x v="10"/>
    <s v="MMR001009"/>
    <s v="Hpakan Town"/>
    <s v="MMR001009701"/>
    <s v="Ma Shi Ka Htaung Ward"/>
    <s v="MMR001009701505"/>
    <x v="88"/>
    <x v="88"/>
    <x v="79"/>
    <n v="25.609179999999999"/>
    <m/>
    <n v="0"/>
    <n v="0"/>
    <s v="NA"/>
    <x v="0"/>
    <x v="0"/>
    <x v="0"/>
    <x v="2"/>
    <x v="11"/>
    <x v="4"/>
    <m/>
    <m/>
    <s v=" "/>
    <s v=""/>
    <s v=""/>
    <s v=""/>
  </r>
  <r>
    <x v="1"/>
    <x v="0"/>
    <s v="MMR001"/>
    <s v="Mohnyin"/>
    <s v="MMR001D002"/>
    <x v="10"/>
    <s v="MMR001009"/>
    <s v="Hpakan Town"/>
    <s v="MMR001009701"/>
    <s v="Ma Shi Ka Htaung Ward"/>
    <s v="MMR001009701505"/>
    <x v="89"/>
    <x v="89"/>
    <x v="31"/>
    <m/>
    <m/>
    <n v="0"/>
    <n v="0"/>
    <s v="NA"/>
    <x v="0"/>
    <x v="0"/>
    <x v="0"/>
    <x v="2"/>
    <x v="11"/>
    <x v="4"/>
    <m/>
    <m/>
    <s v=" "/>
    <s v=""/>
    <s v=""/>
    <s v=""/>
  </r>
  <r>
    <x v="1"/>
    <x v="0"/>
    <s v="MMR001"/>
    <s v="Mohnyin"/>
    <s v="MMR001D002"/>
    <x v="10"/>
    <s v="MMR001009"/>
    <s v="Hpakan Town"/>
    <s v="MMR001009701"/>
    <s v="Ma Shi Ka Htaung Ward"/>
    <s v="MMR001009701505"/>
    <x v="90"/>
    <x v="90"/>
    <x v="31"/>
    <m/>
    <m/>
    <n v="0"/>
    <n v="0"/>
    <s v="NA"/>
    <x v="0"/>
    <x v="0"/>
    <x v="0"/>
    <x v="2"/>
    <x v="11"/>
    <x v="4"/>
    <m/>
    <m/>
    <s v=" "/>
    <s v=""/>
    <s v=""/>
    <s v=""/>
  </r>
  <r>
    <x v="1"/>
    <x v="0"/>
    <s v="MMR001"/>
    <s v="Mohnyin"/>
    <s v="MMR001D002"/>
    <x v="10"/>
    <s v="MMR001009"/>
    <s v="Hpakan Town"/>
    <s v="MMR001009701"/>
    <s v="Ma Shi Ka Htaung Ward"/>
    <s v="MMR001009701505"/>
    <x v="91"/>
    <x v="91"/>
    <x v="31"/>
    <m/>
    <m/>
    <n v="0"/>
    <n v="0"/>
    <s v="NA"/>
    <x v="0"/>
    <x v="0"/>
    <x v="0"/>
    <x v="2"/>
    <x v="11"/>
    <x v="4"/>
    <m/>
    <m/>
    <s v=" "/>
    <s v=""/>
    <s v=""/>
    <s v=""/>
  </r>
  <r>
    <x v="1"/>
    <x v="0"/>
    <s v="MMR001"/>
    <s v="Mohnyin"/>
    <s v="MMR001D002"/>
    <x v="10"/>
    <s v="MMR001009"/>
    <s v="Hpakan Town"/>
    <s v="MMR001009701"/>
    <s v="Ma Shi Ka Htaung Ward"/>
    <s v="MMR001009701505"/>
    <x v="92"/>
    <x v="92"/>
    <x v="31"/>
    <m/>
    <m/>
    <n v="0"/>
    <n v="0"/>
    <s v="NA"/>
    <x v="0"/>
    <x v="0"/>
    <x v="0"/>
    <x v="2"/>
    <x v="11"/>
    <x v="4"/>
    <m/>
    <m/>
    <s v=" "/>
    <s v=""/>
    <s v=""/>
    <s v=""/>
  </r>
  <r>
    <x v="1"/>
    <x v="0"/>
    <s v="MMR001"/>
    <s v="Mohnyin"/>
    <s v="MMR001D002"/>
    <x v="10"/>
    <s v="MMR001009"/>
    <s v="Hpakan Town"/>
    <s v="MMR001009701"/>
    <s v="Ma Shi Ka Htaung Ward"/>
    <s v="MMR001009701505"/>
    <x v="93"/>
    <x v="93"/>
    <x v="31"/>
    <m/>
    <m/>
    <n v="0"/>
    <n v="0"/>
    <s v="NA"/>
    <x v="0"/>
    <x v="0"/>
    <x v="0"/>
    <x v="2"/>
    <x v="11"/>
    <x v="4"/>
    <m/>
    <m/>
    <s v=" "/>
    <s v=""/>
    <s v=""/>
    <s v=""/>
  </r>
  <r>
    <x v="1"/>
    <x v="0"/>
    <s v="MMR001"/>
    <s v="Mohnyin"/>
    <s v="MMR001D002"/>
    <x v="10"/>
    <s v="MMR001009"/>
    <s v="Hpakan Town"/>
    <s v="MMR001009701"/>
    <s v="Ma Shi Ka Htaung Ward"/>
    <s v="MMR001009701505"/>
    <x v="94"/>
    <x v="94"/>
    <x v="31"/>
    <m/>
    <m/>
    <n v="0"/>
    <n v="0"/>
    <s v="NA"/>
    <x v="0"/>
    <x v="0"/>
    <x v="0"/>
    <x v="2"/>
    <x v="11"/>
    <x v="4"/>
    <m/>
    <m/>
    <s v=" "/>
    <s v=""/>
    <s v=""/>
    <s v=""/>
  </r>
  <r>
    <x v="1"/>
    <x v="0"/>
    <s v="MMR001"/>
    <s v="Mohnyin"/>
    <s v="MMR001D002"/>
    <x v="10"/>
    <s v="MMR001009"/>
    <s v="Hpakan Town"/>
    <s v="MMR001009701"/>
    <s v="Myo Ma Ward"/>
    <s v="MMR001009701503"/>
    <x v="95"/>
    <x v="95"/>
    <x v="31"/>
    <m/>
    <m/>
    <m/>
    <m/>
    <s v="NA"/>
    <x v="0"/>
    <x v="0"/>
    <x v="0"/>
    <x v="2"/>
    <x v="11"/>
    <x v="4"/>
    <m/>
    <m/>
    <s v=" "/>
    <s v=""/>
    <s v=""/>
    <s v=""/>
  </r>
  <r>
    <x v="1"/>
    <x v="0"/>
    <s v="MMR001"/>
    <s v="Mohnyin"/>
    <s v="MMR001D002"/>
    <x v="10"/>
    <s v="MMR001009"/>
    <s v="Hpakan Town"/>
    <s v="MMR001009701"/>
    <s v="Myo Ma Ward"/>
    <s v="MMR001009701503"/>
    <x v="96"/>
    <x v="96"/>
    <x v="31"/>
    <m/>
    <m/>
    <n v="0"/>
    <n v="0"/>
    <s v="NA"/>
    <x v="0"/>
    <x v="0"/>
    <x v="0"/>
    <x v="2"/>
    <x v="11"/>
    <x v="4"/>
    <m/>
    <m/>
    <s v=" "/>
    <s v=""/>
    <s v=""/>
    <s v=""/>
  </r>
  <r>
    <x v="0"/>
    <x v="0"/>
    <s v="MMR001"/>
    <s v="Myitkyina"/>
    <s v="MMR001D001"/>
    <x v="1"/>
    <s v="MMR001002"/>
    <s v="Sa Ma"/>
    <s v="MMR001002031"/>
    <s v="Par Jaung"/>
    <n v="165792"/>
    <x v="97"/>
    <x v="97"/>
    <x v="80"/>
    <n v="24.831944"/>
    <n v="2330"/>
    <n v="185"/>
    <n v="943"/>
    <n v="5.0972972972972972"/>
    <x v="1"/>
    <x v="0"/>
    <x v="0"/>
    <x v="1"/>
    <x v="1"/>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according to KBC data"/>
    <s v="Laiza town"/>
    <n v="20.599512012485512"/>
    <n v="5"/>
  </r>
  <r>
    <x v="1"/>
    <x v="0"/>
    <s v="MMR001"/>
    <s v="Mohnyin"/>
    <s v="MMR001D002"/>
    <x v="10"/>
    <s v="MMR001009"/>
    <m/>
    <m/>
    <m/>
    <m/>
    <x v="98"/>
    <x v="98"/>
    <x v="31"/>
    <m/>
    <m/>
    <n v="0"/>
    <n v="0"/>
    <s v="NA"/>
    <x v="0"/>
    <x v="0"/>
    <x v="0"/>
    <x v="2"/>
    <x v="11"/>
    <x v="4"/>
    <m/>
    <m/>
    <s v=" "/>
    <s v=""/>
    <s v=""/>
    <s v=""/>
  </r>
  <r>
    <x v="0"/>
    <x v="0"/>
    <s v="MMR001"/>
    <s v="Bhamo"/>
    <s v="MMR001D003"/>
    <x v="4"/>
    <s v="MMR001012"/>
    <s v="In Baw Mai Kyin (Dawthponeyan Sub-township)"/>
    <s v="MMR001012042"/>
    <s v="Hpun Lum Yang"/>
    <n v="167223"/>
    <x v="99"/>
    <x v="99"/>
    <x v="81"/>
    <n v="24.688338999999999"/>
    <n v="314"/>
    <n v="1527"/>
    <n v="8721"/>
    <n v="5.711198428290766"/>
    <x v="1"/>
    <x v="0"/>
    <x v="0"/>
    <x v="1"/>
    <x v="18"/>
    <x v="3"/>
    <s v="IP"/>
    <d v="2019-05-08T00:00:00"/>
    <s v="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6/June/2017: Change the township, village tract and village.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Laiza town"/>
    <n v="7.985347533011188"/>
    <n v="2"/>
  </r>
  <r>
    <x v="1"/>
    <x v="0"/>
    <s v="MMR001"/>
    <s v="Mohnyin"/>
    <s v="MMR001D002"/>
    <x v="10"/>
    <s v="MMR001009"/>
    <m/>
    <m/>
    <m/>
    <m/>
    <x v="100"/>
    <x v="100"/>
    <x v="82"/>
    <n v="25.6447"/>
    <m/>
    <n v="0"/>
    <n v="0"/>
    <s v="NA"/>
    <x v="0"/>
    <x v="0"/>
    <x v="0"/>
    <x v="2"/>
    <x v="11"/>
    <x v="4"/>
    <m/>
    <m/>
    <s v=" "/>
    <s v=""/>
    <s v=""/>
    <s v=""/>
  </r>
  <r>
    <x v="1"/>
    <x v="0"/>
    <s v="MMR001"/>
    <s v="Mohnyin"/>
    <s v="MMR001D002"/>
    <x v="10"/>
    <s v="MMR001009"/>
    <s v="Seik Mu"/>
    <s v="MMR001009003"/>
    <s v="Ma Mon"/>
    <n v="166790"/>
    <x v="101"/>
    <x v="101"/>
    <x v="31"/>
    <m/>
    <m/>
    <n v="0"/>
    <n v="0"/>
    <s v="NA"/>
    <x v="0"/>
    <x v="0"/>
    <x v="0"/>
    <x v="2"/>
    <x v="11"/>
    <x v="4"/>
    <m/>
    <m/>
    <s v=" "/>
    <s v=""/>
    <s v=""/>
    <s v=""/>
  </r>
  <r>
    <x v="1"/>
    <x v="0"/>
    <s v="MMR001"/>
    <s v="Mohnyin"/>
    <s v="MMR001D002"/>
    <x v="10"/>
    <s v="MMR001009"/>
    <m/>
    <m/>
    <m/>
    <m/>
    <x v="102"/>
    <x v="102"/>
    <x v="31"/>
    <m/>
    <m/>
    <n v="0"/>
    <n v="0"/>
    <s v="NA"/>
    <x v="0"/>
    <x v="0"/>
    <x v="0"/>
    <x v="2"/>
    <x v="11"/>
    <x v="4"/>
    <m/>
    <m/>
    <m/>
    <s v=""/>
    <s v=""/>
    <s v=""/>
  </r>
  <r>
    <x v="0"/>
    <x v="0"/>
    <s v="MMR001"/>
    <s v="Bhamo"/>
    <s v="MMR001D003"/>
    <x v="4"/>
    <s v="MMR001012"/>
    <s v="In Baw Mai Kyin (Dawthponeyan Sub-township)"/>
    <s v="MMR001012042"/>
    <s v="Hpun Lum Yang"/>
    <n v="167223"/>
    <x v="103"/>
    <x v="103"/>
    <x v="83"/>
    <n v="24.661905999999998"/>
    <n v="415"/>
    <n v="717"/>
    <n v="3658"/>
    <n v="5.1018131101813111"/>
    <x v="1"/>
    <x v="0"/>
    <x v="0"/>
    <x v="1"/>
    <x v="0"/>
    <x v="3"/>
    <s v="IP"/>
    <d v="2019-05-08T00:00:00"/>
    <s v="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Laiza town"/>
    <n v="10.953347686331073"/>
    <n v="3"/>
  </r>
  <r>
    <x v="1"/>
    <x v="0"/>
    <s v="MMR001"/>
    <s v="Mohnyin"/>
    <s v="MMR001D002"/>
    <x v="10"/>
    <s v="MMR001009"/>
    <s v="Haung Par"/>
    <s v="MMR001009004"/>
    <s v="Haung Par"/>
    <n v="166794"/>
    <x v="104"/>
    <x v="104"/>
    <x v="31"/>
    <m/>
    <m/>
    <n v="0"/>
    <n v="0"/>
    <s v="NA"/>
    <x v="0"/>
    <x v="0"/>
    <x v="0"/>
    <x v="2"/>
    <x v="11"/>
    <x v="4"/>
    <m/>
    <m/>
    <m/>
    <s v=""/>
    <s v=""/>
    <s v=""/>
  </r>
  <r>
    <x v="1"/>
    <x v="0"/>
    <s v="MMR001"/>
    <s v="Myitkyina"/>
    <s v="MMR001D001"/>
    <x v="1"/>
    <s v="MMR001002"/>
    <s v="Hpawt Dawt"/>
    <s v="MMR001002032"/>
    <s v="Mon Gar Zut"/>
    <n v="220360"/>
    <x v="105"/>
    <x v="105"/>
    <x v="84"/>
    <n v="25.106670000000001"/>
    <n v="756"/>
    <m/>
    <m/>
    <s v="NA"/>
    <x v="1"/>
    <x v="0"/>
    <x v="0"/>
    <x v="1"/>
    <x v="10"/>
    <x v="5"/>
    <s v="IP"/>
    <d v="2017-06-02T00:00:00"/>
    <s v="6/June/2017: Changed camp status as &quot;Closed&quot; because of the conflict on Dec, 2016. So IDPs ( from Zai Awng - Mung Ga Zup) flew to Lung Byen. They stay awhile at Lung Byen and then they moved to Shait Yang on 17 Jan 2017. Added as a new camp (Shait Yang) instead of Zai Awng-Mung Ga Zup&quot;.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32.827754639406997"/>
    <n v="7"/>
  </r>
  <r>
    <x v="0"/>
    <x v="0"/>
    <s v="MMR001"/>
    <s v="Bhamo"/>
    <s v="MMR001D003"/>
    <x v="4"/>
    <s v="MMR001012"/>
    <s v="Zee Wone Gawt"/>
    <s v="MMR001012023"/>
    <s v="Dum Bung"/>
    <n v="167343"/>
    <x v="106"/>
    <x v="106"/>
    <x v="85"/>
    <n v="24.461033"/>
    <n v="360"/>
    <n v="80"/>
    <n v="378"/>
    <n v="4.7249999999999996"/>
    <x v="1"/>
    <x v="0"/>
    <x v="0"/>
    <x v="3"/>
    <x v="2"/>
    <x v="3"/>
    <s v="IP"/>
    <d v="2019-05-08T00:00:00"/>
    <s v="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 ( Some shifted to GCA Camps and some students went for study) 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Dawthponeyan  Town"/>
    <n v="18.65617244319267"/>
    <n v="4"/>
  </r>
  <r>
    <x v="1"/>
    <x v="0"/>
    <s v="MMR001"/>
    <s v="Myitkyina"/>
    <s v="MMR001D001"/>
    <x v="1"/>
    <s v="MMR001002"/>
    <s v="Saga Pa (Sadung Sub-township)"/>
    <m/>
    <m/>
    <m/>
    <x v="107"/>
    <x v="107"/>
    <x v="86"/>
    <n v="25.273333000000001"/>
    <m/>
    <n v="0"/>
    <n v="0"/>
    <s v="NA"/>
    <x v="1"/>
    <x v="0"/>
    <x v="0"/>
    <x v="2"/>
    <x v="11"/>
    <x v="4"/>
    <m/>
    <m/>
    <m/>
    <s v=""/>
    <s v=""/>
    <s v=""/>
  </r>
  <r>
    <x v="0"/>
    <x v="0"/>
    <s v="MMR001"/>
    <s v="Bhamo"/>
    <s v="MMR001D003"/>
    <x v="4"/>
    <s v="MMR001012"/>
    <s v="Kawng Hsa (Lwegel Sub-township)"/>
    <s v="MMR001012033"/>
    <s v="Mai Gyar Yang"/>
    <n v="216913"/>
    <x v="108"/>
    <x v="108"/>
    <x v="87"/>
    <n v="24.2744"/>
    <n v="978"/>
    <n v="632"/>
    <n v="3550"/>
    <n v="5.6170886075949369"/>
    <x v="1"/>
    <x v="0"/>
    <x v="0"/>
    <x v="1"/>
    <x v="5"/>
    <x v="6"/>
    <s v="IP"/>
    <d v="2019-05-08T00:00:00"/>
    <s v="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 (79 populations shifted from Pakahtawng camp to Momouk KBC camo)_x000a_31/May/2018: Population update. Data source: KMSS_Bhamo ( 20 HHs 79 PP moved to Momauk Baptist Church as per KMSS-B inf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as they  join Nhkawng Pa camp which is closer to their village of origin_x000a_28/Jan/2016. Population update. Data source: KBC (mail by maran)_x000a_19-Aug-2015. Population Update. Data Source; KMSS-BMO_x000a_Population update: Source: Camp Profile Round 2."/>
    <s v="Lwegel Town"/>
    <n v="8.953204937938569"/>
    <n v="2"/>
  </r>
  <r>
    <x v="0"/>
    <x v="0"/>
    <s v="MMR001"/>
    <s v="Bhamo"/>
    <s v="MMR001D003"/>
    <x v="5"/>
    <s v="MMR001013"/>
    <s v="In Ba Pa"/>
    <s v="MMR001013012"/>
    <s v="La Na"/>
    <n v="216948"/>
    <x v="109"/>
    <x v="109"/>
    <x v="88"/>
    <n v="24.056132999999999"/>
    <n v="866"/>
    <n v="522"/>
    <n v="2536"/>
    <n v="4.8582375478927204"/>
    <x v="1"/>
    <x v="0"/>
    <x v="0"/>
    <x v="1"/>
    <x v="3"/>
    <x v="6"/>
    <s v="IP"/>
    <d v="2019-05-08T00:00:00"/>
    <s v="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Population update: Source UNHCR-Bhamo"/>
    <s v="Lwegel Town"/>
    <n v="18.620903555062636"/>
    <n v="4"/>
  </r>
  <r>
    <x v="1"/>
    <x v="0"/>
    <s v="MMR001"/>
    <s v="Myitkyina"/>
    <s v="MMR001D001"/>
    <x v="1"/>
    <s v="MMR001002"/>
    <s v="Nam Sang Yang"/>
    <s v="MMR001002024"/>
    <s v="Nam Sang Yang"/>
    <n v="165772"/>
    <x v="110"/>
    <x v="110"/>
    <x v="89"/>
    <n v="24.747212999999999"/>
    <n v="221"/>
    <n v="0"/>
    <n v="0"/>
    <s v="NA"/>
    <x v="1"/>
    <x v="0"/>
    <x v="0"/>
    <x v="1"/>
    <x v="0"/>
    <x v="3"/>
    <s v="IP"/>
    <d v="2015-06-25T00:00:00"/>
    <s v="25-Jun-15 (Relocated to Hpum Lone Yan and Wai Choi)_x000a_Population Update. Source: UNHCR Cross-Line Mission Report. (July 2014)"/>
    <s v="Laiza town"/>
    <n v="1.857513522619473"/>
    <n v="1"/>
  </r>
  <r>
    <x v="1"/>
    <x v="0"/>
    <s v="MMR001"/>
    <s v="Myitkyina"/>
    <s v="MMR001D001"/>
    <x v="1"/>
    <s v="MMR001002"/>
    <s v="Nam Sang Yang"/>
    <s v="MMR001002024"/>
    <s v="Nam Sang Yang"/>
    <n v="165772"/>
    <x v="111"/>
    <x v="111"/>
    <x v="90"/>
    <n v="24.747966999999999"/>
    <m/>
    <n v="0"/>
    <n v="0"/>
    <s v="NA"/>
    <x v="0"/>
    <x v="0"/>
    <x v="0"/>
    <x v="2"/>
    <x v="11"/>
    <x v="4"/>
    <m/>
    <m/>
    <s v="Changed to closed"/>
    <s v=""/>
    <s v=""/>
    <s v=""/>
  </r>
  <r>
    <x v="0"/>
    <x v="0"/>
    <s v="MMR001"/>
    <s v="Bhamo"/>
    <s v="MMR001D003"/>
    <x v="5"/>
    <s v="MMR001013"/>
    <s v="Dum Buk"/>
    <s v="MMR001013014"/>
    <s v="Dum Buk"/>
    <s v="Dum Buk"/>
    <x v="112"/>
    <x v="112"/>
    <x v="91"/>
    <n v="24.002433"/>
    <n v="854"/>
    <n v="357"/>
    <n v="1692"/>
    <n v="4.7394957983193278"/>
    <x v="1"/>
    <x v="0"/>
    <x v="0"/>
    <x v="1"/>
    <x v="3"/>
    <x v="6"/>
    <s v="IP"/>
    <d v="2019-05-08T00:00:00"/>
    <s v="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combined as one camp with Bum Tsit Pa Camp II)  Data Source: KMSS_BMO_x000a_28/Jan/2016. Population update. Data source: KBC_x000a_Population update: Source: KMSS-BMO_x000a_Population Update. Source: Save The Children."/>
    <s v="Namhkan Town"/>
    <n v="19.796407430638478"/>
    <n v="4"/>
  </r>
  <r>
    <x v="0"/>
    <x v="0"/>
    <s v="MMR001"/>
    <s v="Bhamo"/>
    <s v="MMR001D003"/>
    <x v="4"/>
    <s v="MMR001012"/>
    <s v="Ba Lawng Kawng (Lwegel Sub-township)"/>
    <s v="MMR001012030"/>
    <s v="Hpa Lum"/>
    <n v="167138"/>
    <x v="113"/>
    <x v="113"/>
    <x v="92"/>
    <n v="24.378167000000001"/>
    <n v="1149"/>
    <n v="354"/>
    <n v="1546"/>
    <n v="4.3672316384180787"/>
    <x v="1"/>
    <x v="0"/>
    <x v="0"/>
    <x v="1"/>
    <x v="5"/>
    <x v="6"/>
    <s v="IP"/>
    <d v="2019-05-08T00:00:00"/>
    <s v="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 and CCCM unit  (according to PPA)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increase as some IDP from Pa Kahtawng join as the camp is closer to village _x000a_28/Jan/2016. Population update. Data source: KBC (mail by maran)_x000a_19-Aug-2015. Update population. Data Source; KMSS-BMO_x000a_Population Update. Source: Save The Children."/>
    <s v="Lwegel Town"/>
    <n v="20.558236360788097"/>
    <n v="5"/>
  </r>
  <r>
    <x v="0"/>
    <x v="0"/>
    <s v="MMR001"/>
    <s v="Bhamo"/>
    <s v="MMR001D003"/>
    <x v="5"/>
    <s v="MMR001013"/>
    <s v="Man Wein"/>
    <s v="MMR001013021"/>
    <s v="Man Wein"/>
    <n v="167405"/>
    <x v="114"/>
    <x v="114"/>
    <x v="93"/>
    <n v="23.835319999999999"/>
    <n v="795"/>
    <n v="437"/>
    <n v="2316"/>
    <n v="5.2997711670480552"/>
    <x v="0"/>
    <x v="0"/>
    <x v="0"/>
    <x v="1"/>
    <x v="10"/>
    <x v="6"/>
    <s v="IP"/>
    <d v="2019-05-08T00:00:00"/>
    <s v="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pontenous return to villages near Manwin Gyi_x000a_28/Jan/2016. Population update. Data source: KBC (mail by maran)_x000a_19-Aug-2015. Update Population. Data Source; KMSS-BMO_x000a_Population Update. Source: KMSS-BMO"/>
    <s v="Namhkan Town"/>
    <n v="10.509375400480517"/>
    <n v="3"/>
  </r>
  <r>
    <x v="0"/>
    <x v="0"/>
    <s v="MMR001"/>
    <s v="Bhamo"/>
    <s v="MMR001D003"/>
    <x v="5"/>
    <s v="MMR001013"/>
    <s v="Man Wein"/>
    <s v="MMR001013021"/>
    <s v="Man Wein"/>
    <n v="167405"/>
    <x v="115"/>
    <x v="115"/>
    <x v="94"/>
    <n v="23.83013"/>
    <n v="741"/>
    <n v="127"/>
    <n v="653"/>
    <n v="5.1417322834645667"/>
    <x v="0"/>
    <x v="0"/>
    <x v="0"/>
    <x v="1"/>
    <x v="7"/>
    <x v="9"/>
    <s v="IP"/>
    <d v="2019-05-08T00:00:00"/>
    <s v="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Namhkan Town"/>
    <n v="9.3704379947870464"/>
    <n v="2"/>
  </r>
  <r>
    <x v="0"/>
    <x v="0"/>
    <s v="MMR001"/>
    <s v="Bhamo"/>
    <s v="MMR001D003"/>
    <x v="5"/>
    <s v="MMR001013"/>
    <s v="Man Wein"/>
    <s v="MMR001013021"/>
    <s v="Man Wein"/>
    <n v="167405"/>
    <x v="116"/>
    <x v="116"/>
    <x v="95"/>
    <n v="23.827870999999998"/>
    <m/>
    <n v="175"/>
    <n v="834"/>
    <n v="4.765714285714286"/>
    <x v="0"/>
    <x v="0"/>
    <x v="2"/>
    <x v="1"/>
    <x v="11"/>
    <x v="8"/>
    <m/>
    <m/>
    <s v="19/Mar/2019: Population update. Data source: WFP_x000a_28/Jan/2016. Population update. Data source: KBC &amp; UNHCR_x000a_13/Dec/15. Population update. Data source: UNHCR. Reason for pop changes: IDP in the host who were registered in the Man Win Bapitst Church (cultural compound) camp established their own separate entity as IDP in the host. _x000a_Population Update. Source: Save The Children."/>
    <s v="Namhkan Town"/>
    <n v="9.5650381623500511"/>
    <n v="2"/>
  </r>
  <r>
    <x v="1"/>
    <x v="0"/>
    <s v="MMR001"/>
    <s v="Myitkyina"/>
    <s v="MMR001D001"/>
    <x v="0"/>
    <s v="MMR001001"/>
    <s v="Sinbo  Town"/>
    <s v="MMR001001702"/>
    <m/>
    <m/>
    <x v="117"/>
    <x v="117"/>
    <x v="31"/>
    <m/>
    <m/>
    <n v="375"/>
    <n v="1691"/>
    <n v="4.5093333333333332"/>
    <x v="0"/>
    <x v="0"/>
    <x v="2"/>
    <x v="1"/>
    <x v="20"/>
    <x v="8"/>
    <s v="IRRC"/>
    <d v="2017-06-02T00:00:00"/>
    <s v="8/ May/2019: Camp status changed to Closed as the site is going to marge with Pang Hkawng Yang Camp, under Shwegu Township as per KBC Bhamo Information. _x000a_2/June/2017: Updated Accessibility NGCA to GCA. Data source: UNOCHA._x000a_Change to Host Families."/>
    <s v="Sinbo Town"/>
    <n v="0"/>
    <n v="1"/>
  </r>
  <r>
    <x v="0"/>
    <x v="0"/>
    <s v="MMR001"/>
    <s v="Mohnyin"/>
    <s v="MMR001D002"/>
    <x v="10"/>
    <s v="MMR001009"/>
    <s v="Nam Si In (Karmaing Sub-township)"/>
    <s v="MMR001009012"/>
    <s v="Htwe San Yang"/>
    <n v="220512"/>
    <x v="118"/>
    <x v="118"/>
    <x v="96"/>
    <n v="25.51352"/>
    <n v="0"/>
    <n v="34"/>
    <n v="137"/>
    <n v="4.0294117647058822"/>
    <x v="0"/>
    <x v="0"/>
    <x v="0"/>
    <x v="0"/>
    <x v="13"/>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Population update. Source: KBC._x000a_25-Jun-15 Population update. Source: KBC_x000a_Update population according to KBC data"/>
    <s v="Kamaing Town"/>
    <n v="1.1537462444167914"/>
    <n v="1"/>
  </r>
  <r>
    <x v="0"/>
    <x v="0"/>
    <s v="MMR001"/>
    <s v="Myitkyina"/>
    <s v="MMR001D001"/>
    <x v="1"/>
    <s v="MMR001002"/>
    <s v="Saga Pa"/>
    <s v="MMR001002040"/>
    <s v="Saga Pa"/>
    <n v="165895"/>
    <x v="119"/>
    <x v="119"/>
    <x v="97"/>
    <n v="25.265277999999999"/>
    <n v="2764"/>
    <n v="79"/>
    <n v="527"/>
    <n v="6.6708860759493671"/>
    <x v="1"/>
    <x v="0"/>
    <x v="0"/>
    <x v="3"/>
    <x v="10"/>
    <x v="3"/>
    <s v="IP"/>
    <d v="2019-05-08T00:00:00"/>
    <s v="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Sadung Town"/>
    <n v="17.035515422123492"/>
    <n v="4"/>
  </r>
  <r>
    <x v="0"/>
    <x v="0"/>
    <s v="MMR001"/>
    <s v="Myitkyina"/>
    <s v="MMR001D001"/>
    <x v="0"/>
    <s v="MMR001001"/>
    <s v="Pa La Na Sa Khan Myar"/>
    <s v="MMR001001003"/>
    <s v="Pi Tauk Myaing"/>
    <n v="165685"/>
    <x v="120"/>
    <x v="120"/>
    <x v="98"/>
    <n v="25.493819999999999"/>
    <m/>
    <n v="149"/>
    <n v="885"/>
    <n v="5.9395973154362416"/>
    <x v="0"/>
    <x v="0"/>
    <x v="0"/>
    <x v="0"/>
    <x v="12"/>
    <x v="3"/>
    <s v="IP"/>
    <d v="2019-05-08T00:00:00"/>
    <s v="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16/Feb/2016. Pop and HH correction._x000a_28/Jan/2016. Population update. Data source: KBC 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Myitkyina Town"/>
    <n v="12.627188913244609"/>
    <n v="3"/>
  </r>
  <r>
    <x v="0"/>
    <x v="0"/>
    <s v="MMR001"/>
    <s v="Bhamo"/>
    <s v="MMR001D003"/>
    <x v="3"/>
    <s v="MMR001010"/>
    <s v="Bhamo Town"/>
    <s v="MMR001010701"/>
    <m/>
    <m/>
    <x v="121"/>
    <x v="121"/>
    <x v="99"/>
    <n v="24.263786"/>
    <m/>
    <n v="181"/>
    <n v="906"/>
    <n v="5.0055248618784534"/>
    <x v="0"/>
    <x v="0"/>
    <x v="2"/>
    <x v="0"/>
    <x v="11"/>
    <x v="8"/>
    <s v="WFP"/>
    <d v="2019-03-18T00:00:00"/>
    <s v="7/April/2017: Population update. Data source: WFP_x000a_9/Nov/15. Population update. Data source: WFP_x000a_Update IDP increased in Oct and Nov 2013 (UNHCR - Bhamo)"/>
    <s v="Bhamo Town"/>
    <n v="1.1354007641426449"/>
    <n v="1"/>
  </r>
  <r>
    <x v="0"/>
    <x v="0"/>
    <s v="MMR001"/>
    <s v="Mohnyin"/>
    <s v="MMR001D002"/>
    <x v="10"/>
    <s v="MMR001009"/>
    <s v="Hpakan Town"/>
    <s v="MMR001009701"/>
    <s v="Maw Wam Ward"/>
    <s v="MMR001009701501"/>
    <x v="122"/>
    <x v="122"/>
    <x v="100"/>
    <n v="25.61842"/>
    <n v="250"/>
    <n v="12"/>
    <n v="60"/>
    <n v="5"/>
    <x v="0"/>
    <x v="0"/>
    <x v="0"/>
    <x v="0"/>
    <x v="21"/>
    <x v="1"/>
    <s v="IP"/>
    <d v="2019-05-08T00:00:00"/>
    <s v="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Hpakant Town"/>
    <n v="0.75842119772531946"/>
    <n v="1"/>
  </r>
  <r>
    <x v="0"/>
    <x v="0"/>
    <s v="MMR001"/>
    <s v="Mohnyin"/>
    <s v="MMR001D002"/>
    <x v="10"/>
    <s v="MMR001009"/>
    <s v="Lone Khin"/>
    <s v="MMR001009001"/>
    <s v="Lone Khin"/>
    <n v="166773"/>
    <x v="123"/>
    <x v="123"/>
    <x v="101"/>
    <n v="25.656009999999998"/>
    <n v="317"/>
    <n v="68"/>
    <n v="343"/>
    <n v="5.0441176470588234"/>
    <x v="0"/>
    <x v="0"/>
    <x v="0"/>
    <x v="1"/>
    <x v="21"/>
    <x v="3"/>
    <s v="IP"/>
    <d v="2019-05-08T00:00:00"/>
    <s v="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0/May/2016. Population Update. Data source: KMSS_x000a_28/Jan/2016. Population update. Data source: KBC 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Hpakant Town"/>
    <n v="6.3039408411778268"/>
    <n v="2"/>
  </r>
  <r>
    <x v="1"/>
    <x v="0"/>
    <s v="MMR001"/>
    <s v="Bhamo"/>
    <s v="MMR001D003"/>
    <x v="5"/>
    <s v="MMR001013"/>
    <s v="La Gat Dawt"/>
    <s v="MMR001013027"/>
    <m/>
    <m/>
    <x v="124"/>
    <x v="124"/>
    <x v="102"/>
    <n v="23.9055"/>
    <n v="745"/>
    <n v="0"/>
    <n v="0"/>
    <s v="NA"/>
    <x v="1"/>
    <x v="0"/>
    <x v="0"/>
    <x v="3"/>
    <x v="15"/>
    <x v="6"/>
    <s v="IP"/>
    <d v="2015-08-19T00:00:00"/>
    <s v="19-Aug-15 Close. Source: CCCM Unit._x000a_Population source: KMSS-BMO"/>
    <s v="Namhkan Town"/>
    <n v="12.392289083396149"/>
    <n v="3"/>
  </r>
  <r>
    <x v="1"/>
    <x v="0"/>
    <s v="MMR001"/>
    <s v="Bhamo"/>
    <s v="MMR001D003"/>
    <x v="5"/>
    <s v="MMR001013"/>
    <s v="Man Wein"/>
    <s v="MMR001013021"/>
    <m/>
    <m/>
    <x v="125"/>
    <x v="125"/>
    <x v="31"/>
    <m/>
    <m/>
    <n v="0"/>
    <n v="0"/>
    <s v="NA"/>
    <x v="1"/>
    <x v="0"/>
    <x v="0"/>
    <x v="2"/>
    <x v="11"/>
    <x v="4"/>
    <s v="IP"/>
    <d v="2014-04-08T00:00:00"/>
    <s v="Closed. Move to Bum Tist Pa II and Man Wing. HH113/Pop837"/>
    <s v=""/>
    <s v=""/>
    <s v=""/>
  </r>
  <r>
    <x v="1"/>
    <x v="0"/>
    <s v="MMR001"/>
    <s v="Bhamo"/>
    <s v="MMR001D003"/>
    <x v="5"/>
    <s v="MMR001013"/>
    <s v="Nam Lin Pa"/>
    <s v="MMR001013037"/>
    <m/>
    <m/>
    <x v="126"/>
    <x v="126"/>
    <x v="103"/>
    <n v="23.75817"/>
    <m/>
    <n v="0"/>
    <n v="0"/>
    <s v="NA"/>
    <x v="1"/>
    <x v="0"/>
    <x v="0"/>
    <x v="2"/>
    <x v="11"/>
    <x v="4"/>
    <s v="IRRC"/>
    <m/>
    <s v="This IDP are registered in Nam Lim pa (Boarder) (MMR001CMP204). We should not calculate this number in total. "/>
    <s v=""/>
    <s v=""/>
    <s v=""/>
  </r>
  <r>
    <x v="1"/>
    <x v="0"/>
    <s v="MMR001"/>
    <s v="Myitkyina"/>
    <s v="MMR001D001"/>
    <x v="12"/>
    <s v="MMR001003"/>
    <m/>
    <m/>
    <m/>
    <m/>
    <x v="127"/>
    <x v="127"/>
    <x v="31"/>
    <m/>
    <m/>
    <n v="0"/>
    <n v="0"/>
    <s v="NA"/>
    <x v="0"/>
    <x v="0"/>
    <x v="0"/>
    <x v="2"/>
    <x v="11"/>
    <x v="4"/>
    <m/>
    <d v="2014-03-14T00:00:00"/>
    <s v="Close. According to RRC's info, this camp does not include in reported list."/>
    <s v=""/>
    <s v=""/>
    <s v=""/>
  </r>
  <r>
    <x v="0"/>
    <x v="0"/>
    <s v="MMR001"/>
    <s v="Mohnyin"/>
    <s v="MMR001D002"/>
    <x v="10"/>
    <s v="MMR001009"/>
    <s v="Lone Khin"/>
    <s v="MMR001009001"/>
    <s v="Hmaw Si Zar"/>
    <n v="166775"/>
    <x v="128"/>
    <x v="128"/>
    <x v="104"/>
    <n v="25.647649999999999"/>
    <n v="0"/>
    <n v="36"/>
    <n v="227"/>
    <n v="6.3055555555555554"/>
    <x v="0"/>
    <x v="0"/>
    <x v="0"/>
    <x v="1"/>
    <x v="21"/>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 (kate maw)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2-Apr-15 (Population update, Source: UNHCR CCCM Mission)"/>
    <s v="Hpakant Town"/>
    <n v="5.184483270539272"/>
    <n v="2"/>
  </r>
  <r>
    <x v="0"/>
    <x v="0"/>
    <s v="MMR001"/>
    <s v="Mohnyin"/>
    <s v="MMR001D002"/>
    <x v="10"/>
    <s v="MMR001009"/>
    <s v="Lone Khin"/>
    <s v="MMR001009001"/>
    <s v="Nyein Chan Thar Yar"/>
    <n v="216876"/>
    <x v="129"/>
    <x v="129"/>
    <x v="105"/>
    <n v="25.637309999999999"/>
    <n v="277.60000000000002"/>
    <n v="70"/>
    <n v="376"/>
    <n v="5.371428571428571"/>
    <x v="0"/>
    <x v="0"/>
    <x v="0"/>
    <x v="0"/>
    <x v="21"/>
    <x v="1"/>
    <s v="IP"/>
    <d v="2019-05-08T00:00:00"/>
    <s v="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Hpakant Town"/>
    <n v="4.8862832644478198"/>
    <n v="1"/>
  </r>
  <r>
    <x v="0"/>
    <x v="0"/>
    <s v="MMR001"/>
    <s v="Mohnyin"/>
    <s v="MMR001D002"/>
    <x v="10"/>
    <s v="MMR001009"/>
    <s v="Lone Khin"/>
    <s v="MMR001009001"/>
    <s v="Lone Khin"/>
    <n v="166773"/>
    <x v="130"/>
    <x v="130"/>
    <x v="106"/>
    <n v="25.635300000000001"/>
    <n v="0"/>
    <n v="70"/>
    <n v="372"/>
    <n v="5.3142857142857141"/>
    <x v="0"/>
    <x v="0"/>
    <x v="0"/>
    <x v="0"/>
    <x v="21"/>
    <x v="1"/>
    <s v="IP"/>
    <d v="2019-05-08T00:00:00"/>
    <s v="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4.1842484710239098"/>
    <n v="1"/>
  </r>
  <r>
    <x v="1"/>
    <x v="0"/>
    <s v="MMR001"/>
    <s v="Bhamo"/>
    <s v="MMR001D003"/>
    <x v="3"/>
    <s v="MMR001010"/>
    <m/>
    <m/>
    <m/>
    <m/>
    <x v="131"/>
    <x v="131"/>
    <x v="31"/>
    <m/>
    <m/>
    <n v="0"/>
    <n v="0"/>
    <s v="NA"/>
    <x v="0"/>
    <x v="0"/>
    <x v="2"/>
    <x v="2"/>
    <x v="11"/>
    <x v="4"/>
    <m/>
    <d v="2014-01-27T00:00:00"/>
    <s v="Closed : Source, OCHA"/>
    <s v=""/>
    <s v=""/>
    <s v=""/>
  </r>
  <r>
    <x v="0"/>
    <x v="0"/>
    <s v="MMR001"/>
    <s v="Mohnyin"/>
    <s v="MMR001D002"/>
    <x v="10"/>
    <s v="MMR001009"/>
    <s v="Seik Mu"/>
    <s v="MMR001009003"/>
    <s v="Maw Shan"/>
    <n v="166785"/>
    <x v="132"/>
    <x v="132"/>
    <x v="107"/>
    <n v="25.566510000000001"/>
    <n v="278"/>
    <n v="18"/>
    <n v="105"/>
    <n v="5.833333333333333"/>
    <x v="0"/>
    <x v="0"/>
    <x v="0"/>
    <x v="1"/>
    <x v="21"/>
    <x v="1"/>
    <s v="IP"/>
    <d v="2019-05-08T00:00:00"/>
    <s v="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 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6.7094919928483892"/>
    <n v="2"/>
  </r>
  <r>
    <x v="0"/>
    <x v="0"/>
    <s v="MMR001"/>
    <s v="Mohnyin"/>
    <s v="MMR001D002"/>
    <x v="10"/>
    <s v="MMR001009"/>
    <s v="Seik Mu"/>
    <s v="MMR001009003"/>
    <s v="Maw Shan"/>
    <n v="166785"/>
    <x v="133"/>
    <x v="133"/>
    <x v="108"/>
    <n v="25.56551"/>
    <n v="259"/>
    <n v="10"/>
    <n v="38"/>
    <n v="3.8"/>
    <x v="0"/>
    <x v="0"/>
    <x v="3"/>
    <x v="1"/>
    <x v="21"/>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Hpakant Town"/>
    <n v="6.2085564346706201"/>
    <n v="2"/>
  </r>
  <r>
    <x v="0"/>
    <x v="0"/>
    <s v="MMR001"/>
    <s v="Mohnyin"/>
    <s v="MMR001D002"/>
    <x v="10"/>
    <s v="MMR001009"/>
    <s v="Seik Mu"/>
    <s v="MMR001009003"/>
    <s v="Sai Taung (Ywar Haung)"/>
    <n v="166788"/>
    <x v="134"/>
    <x v="134"/>
    <x v="109"/>
    <n v="25.577559999999998"/>
    <n v="0"/>
    <n v="32"/>
    <n v="173"/>
    <n v="5.40625"/>
    <x v="0"/>
    <x v="0"/>
    <x v="0"/>
    <x v="0"/>
    <x v="21"/>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Hpakant Town"/>
    <n v="4.6754712546149264"/>
    <n v="1"/>
  </r>
  <r>
    <x v="0"/>
    <x v="0"/>
    <s v="MMR001"/>
    <s v="Mohnyin"/>
    <s v="MMR001D002"/>
    <x v="10"/>
    <s v="MMR001009"/>
    <s v="Hpakan Town"/>
    <s v="MMR001009701"/>
    <s v="Maw Wam Ward"/>
    <s v="MMR001009701501"/>
    <x v="135"/>
    <x v="135"/>
    <x v="110"/>
    <n v="25.616509000000001"/>
    <n v="264"/>
    <n v="13"/>
    <n v="84"/>
    <n v="6.4615384615384617"/>
    <x v="0"/>
    <x v="0"/>
    <x v="0"/>
    <x v="0"/>
    <x v="21"/>
    <x v="1"/>
    <s v="IP"/>
    <d v="2019-05-08T00:00:00"/>
    <s v="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0.66733171900141897"/>
    <n v="1"/>
  </r>
  <r>
    <x v="0"/>
    <x v="0"/>
    <s v="MMR001"/>
    <s v="Mohnyin"/>
    <s v="MMR001D002"/>
    <x v="10"/>
    <s v="MMR001009"/>
    <s v="Hpakan Town"/>
    <s v="MMR001009701"/>
    <s v="Maw Wam Ward"/>
    <s v="MMR001009701501"/>
    <x v="136"/>
    <x v="136"/>
    <x v="111"/>
    <n v="25.615960999999999"/>
    <n v="281"/>
    <n v="2"/>
    <n v="14"/>
    <n v="7"/>
    <x v="0"/>
    <x v="0"/>
    <x v="3"/>
    <x v="0"/>
    <x v="15"/>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Hpakant Town"/>
    <n v="0.56771790814545575"/>
    <n v="1"/>
  </r>
  <r>
    <x v="0"/>
    <x v="0"/>
    <s v="MMR001"/>
    <s v="Mohnyin"/>
    <s v="MMR001D002"/>
    <x v="10"/>
    <s v="MMR001009"/>
    <s v="Nam Ma Hpyit"/>
    <s v="MMR001009002"/>
    <s v="Nam Ma Hpyit"/>
    <n v="166776"/>
    <x v="137"/>
    <x v="137"/>
    <x v="112"/>
    <n v="25.617998"/>
    <m/>
    <n v="11"/>
    <n v="43"/>
    <n v="3.9090909090909092"/>
    <x v="0"/>
    <x v="0"/>
    <x v="3"/>
    <x v="0"/>
    <x v="21"/>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Hpakant Town"/>
    <n v="2.814225084976667"/>
    <n v="1"/>
  </r>
  <r>
    <x v="1"/>
    <x v="0"/>
    <s v="MMR001"/>
    <s v="Mohnyin"/>
    <s v="MMR001D002"/>
    <x v="10"/>
    <s v="MMR001009"/>
    <s v="Lone Khin"/>
    <s v="MMR001009001"/>
    <s v="Ku Day"/>
    <n v="216877"/>
    <x v="138"/>
    <x v="138"/>
    <x v="113"/>
    <n v="25.655989999999999"/>
    <m/>
    <m/>
    <m/>
    <s v="NA"/>
    <x v="0"/>
    <x v="0"/>
    <x v="0"/>
    <x v="2"/>
    <x v="11"/>
    <x v="4"/>
    <m/>
    <m/>
    <s v=" "/>
    <s v=""/>
    <s v=""/>
    <s v=""/>
  </r>
  <r>
    <x v="1"/>
    <x v="0"/>
    <s v="MMR001"/>
    <s v="Mohnyin"/>
    <s v="MMR001D002"/>
    <x v="10"/>
    <s v="MMR001009"/>
    <s v="Lone Khin"/>
    <s v="MMR001009001"/>
    <s v="Lone Khin"/>
    <n v="166773"/>
    <x v="139"/>
    <x v="139"/>
    <x v="114"/>
    <n v="25.658650000000002"/>
    <m/>
    <n v="0"/>
    <n v="0"/>
    <s v="NA"/>
    <x v="0"/>
    <x v="0"/>
    <x v="0"/>
    <x v="2"/>
    <x v="11"/>
    <x v="4"/>
    <m/>
    <m/>
    <s v=" "/>
    <s v=""/>
    <s v=""/>
    <s v=""/>
  </r>
  <r>
    <x v="1"/>
    <x v="0"/>
    <s v="MMR001"/>
    <s v="Mohnyin"/>
    <s v="MMR001D002"/>
    <x v="10"/>
    <s v="MMR001009"/>
    <s v="Lone Khin"/>
    <s v="MMR001009001"/>
    <s v="Ma Sut Yang"/>
    <n v="216880"/>
    <x v="140"/>
    <x v="140"/>
    <x v="115"/>
    <n v="25.668469999999999"/>
    <n v="256"/>
    <m/>
    <m/>
    <s v="NA"/>
    <x v="0"/>
    <x v="0"/>
    <x v="0"/>
    <x v="1"/>
    <x v="21"/>
    <x v="4"/>
    <s v="RRD"/>
    <d v="2014-05-15T00:00:00"/>
    <s v="Only one HH left, included in Lon Khin Baptist distribution list."/>
    <s v=""/>
    <s v=""/>
    <s v=""/>
  </r>
  <r>
    <x v="1"/>
    <x v="0"/>
    <s v="MMR001"/>
    <s v="Mohnyin"/>
    <s v="MMR001D002"/>
    <x v="10"/>
    <s v="MMR001009"/>
    <s v="Lone Khin"/>
    <s v="MMR001009001"/>
    <s v="Hmaw Si Zar"/>
    <n v="166775"/>
    <x v="141"/>
    <x v="141"/>
    <x v="31"/>
    <m/>
    <m/>
    <m/>
    <m/>
    <s v="NA"/>
    <x v="0"/>
    <x v="0"/>
    <x v="0"/>
    <x v="2"/>
    <x v="11"/>
    <x v="4"/>
    <m/>
    <m/>
    <s v=" "/>
    <s v=""/>
    <s v=""/>
    <s v=""/>
  </r>
  <r>
    <x v="0"/>
    <x v="0"/>
    <s v="MMR001"/>
    <s v="Bhamo"/>
    <s v="MMR001D003"/>
    <x v="3"/>
    <s v="MMR001010"/>
    <s v="Han Te"/>
    <s v="MMR001010024"/>
    <s v="Hpan Hkar Kone"/>
    <n v="166854"/>
    <x v="142"/>
    <x v="142"/>
    <x v="116"/>
    <n v="24.222349999999999"/>
    <n v="0"/>
    <n v="147"/>
    <n v="783"/>
    <n v="5.3265306122448983"/>
    <x v="0"/>
    <x v="0"/>
    <x v="0"/>
    <x v="0"/>
    <x v="21"/>
    <x v="7"/>
    <s v="IP"/>
    <d v="2019-05-08T00:00:00"/>
    <s v="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Camp Profile Round 2."/>
    <s v="Bhamo Town"/>
    <n v="4.067486452659054"/>
    <n v="1"/>
  </r>
  <r>
    <x v="1"/>
    <x v="0"/>
    <s v="MMR001"/>
    <s v="Mohnyin"/>
    <s v="MMR001D002"/>
    <x v="10"/>
    <s v="MMR001009"/>
    <s v="Hpakan Town"/>
    <s v="MMR001009701"/>
    <s v="Ma Shi Ka Htaung Ward"/>
    <s v="MMR001009701505"/>
    <x v="143"/>
    <x v="143"/>
    <x v="31"/>
    <m/>
    <m/>
    <m/>
    <m/>
    <s v="NA"/>
    <x v="0"/>
    <x v="0"/>
    <x v="0"/>
    <x v="2"/>
    <x v="11"/>
    <x v="4"/>
    <m/>
    <m/>
    <s v=" "/>
    <s v=""/>
    <s v=""/>
    <s v=""/>
  </r>
  <r>
    <x v="0"/>
    <x v="0"/>
    <s v="MMR001"/>
    <s v="Bhamo"/>
    <s v="MMR001D003"/>
    <x v="3"/>
    <s v="MMR001010"/>
    <s v="Aung Thar"/>
    <s v="MMR001010048"/>
    <s v="Aung Thar"/>
    <n v="166904"/>
    <x v="144"/>
    <x v="144"/>
    <x v="116"/>
    <n v="24.260466999999998"/>
    <n v="0"/>
    <n v="12"/>
    <n v="52"/>
    <n v="4.333333333333333"/>
    <x v="0"/>
    <x v="0"/>
    <x v="0"/>
    <x v="0"/>
    <x v="22"/>
    <x v="7"/>
    <s v="IP"/>
    <d v="2019-05-08T00:00:00"/>
    <s v="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Bhamo Town"/>
    <n v="1.9489261822960435"/>
    <n v="1"/>
  </r>
  <r>
    <x v="1"/>
    <x v="0"/>
    <s v="MMR001"/>
    <s v="Mohnyin"/>
    <s v="MMR001D002"/>
    <x v="10"/>
    <s v="MMR001009"/>
    <s v="Lone Khin"/>
    <s v="MMR001009001"/>
    <s v="Lone Khin"/>
    <n v="166773"/>
    <x v="145"/>
    <x v="145"/>
    <x v="117"/>
    <n v="25.658670000000001"/>
    <n v="0"/>
    <n v="0"/>
    <n v="0"/>
    <s v="NA"/>
    <x v="0"/>
    <x v="0"/>
    <x v="0"/>
    <x v="1"/>
    <x v="21"/>
    <x v="4"/>
    <s v="RRD"/>
    <d v="2014-05-15T00:00:00"/>
    <s v="Closed."/>
    <s v=""/>
    <s v=""/>
    <s v=""/>
  </r>
  <r>
    <x v="1"/>
    <x v="0"/>
    <s v="MMR001"/>
    <s v="Mohnyin"/>
    <s v="MMR001D002"/>
    <x v="10"/>
    <s v="MMR001009"/>
    <s v="Lone Khin"/>
    <s v="MMR001009001"/>
    <s v="Lone Khin"/>
    <n v="166773"/>
    <x v="146"/>
    <x v="146"/>
    <x v="118"/>
    <n v="25.651440000000001"/>
    <m/>
    <n v="0"/>
    <n v="0"/>
    <s v="NA"/>
    <x v="0"/>
    <x v="0"/>
    <x v="0"/>
    <x v="2"/>
    <x v="11"/>
    <x v="4"/>
    <m/>
    <m/>
    <s v=" "/>
    <s v=""/>
    <s v=""/>
    <s v=""/>
  </r>
  <r>
    <x v="1"/>
    <x v="0"/>
    <s v="MMR001"/>
    <s v="Mohnyin"/>
    <s v="MMR001D002"/>
    <x v="10"/>
    <s v="MMR001009"/>
    <s v="Lone Khin"/>
    <s v="MMR001009001"/>
    <s v="Lone Khin"/>
    <n v="166773"/>
    <x v="147"/>
    <x v="147"/>
    <x v="119"/>
    <n v="25.656130000000001"/>
    <n v="0"/>
    <m/>
    <m/>
    <s v="NA"/>
    <x v="0"/>
    <x v="0"/>
    <x v="0"/>
    <x v="1"/>
    <x v="21"/>
    <x v="5"/>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4-Oct-15 Population update. Soruce; Hpakant Mission Report_WFP_x000a_25-Jun-15 Population update. Source: KBC_x000a_2-Apr-15 (Population update, Source: UNHCR CCCM Mission)_x000a_Population Update. Source: KBC."/>
    <s v="Hpakant Town"/>
    <n v="6.4753396248436657"/>
    <n v="2"/>
  </r>
  <r>
    <x v="1"/>
    <x v="0"/>
    <s v="MMR001"/>
    <s v="Mohnyin"/>
    <s v="MMR001D002"/>
    <x v="10"/>
    <s v="MMR001009"/>
    <s v="Seik Mu"/>
    <s v="MMR001009003"/>
    <s v="Seik Mu"/>
    <n v="166783"/>
    <x v="148"/>
    <x v="148"/>
    <x v="31"/>
    <m/>
    <m/>
    <m/>
    <m/>
    <s v="NA"/>
    <x v="0"/>
    <x v="0"/>
    <x v="0"/>
    <x v="1"/>
    <x v="11"/>
    <x v="4"/>
    <s v="IP"/>
    <d v="2014-05-15T00:00:00"/>
    <s v="Closed."/>
    <s v=""/>
    <s v=""/>
    <s v=""/>
  </r>
  <r>
    <x v="0"/>
    <x v="0"/>
    <s v="MMR001"/>
    <s v="Myitkyina"/>
    <s v="MMR001D001"/>
    <x v="2"/>
    <s v="MMR001005"/>
    <s v="Chipwi Town"/>
    <s v="MMR001005701"/>
    <s v="Yit Law Hkaung Ward"/>
    <s v="MMR001005701501"/>
    <x v="149"/>
    <x v="149"/>
    <x v="120"/>
    <n v="25.887339999999998"/>
    <n v="259.10000000000002"/>
    <n v="206"/>
    <n v="856"/>
    <n v="4.1553398058252426"/>
    <x v="0"/>
    <x v="0"/>
    <x v="0"/>
    <x v="1"/>
    <x v="7"/>
    <x v="1"/>
    <s v="IP"/>
    <d v="2019-05-08T00:00:00"/>
    <s v="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Chipwi Town"/>
    <n v="0"/>
    <n v="1"/>
  </r>
  <r>
    <x v="0"/>
    <x v="0"/>
    <s v="MMR001"/>
    <s v="Bhamo"/>
    <s v="MMR001D003"/>
    <x v="5"/>
    <s v="MMR001013"/>
    <s v="Mansi Town"/>
    <s v="MMR001013701"/>
    <m/>
    <m/>
    <x v="150"/>
    <x v="150"/>
    <x v="121"/>
    <n v="24.118618999999999"/>
    <m/>
    <n v="67"/>
    <n v="324"/>
    <n v="4.8358208955223878"/>
    <x v="0"/>
    <x v="0"/>
    <x v="2"/>
    <x v="0"/>
    <x v="11"/>
    <x v="8"/>
    <s v="WFP"/>
    <d v="2019-03-18T00:00:00"/>
    <s v="19/Mar/2019: Population update. Data source: WFP_x000a_7/April/2017: Population update. Data source: WFP_x000a_9/Nov/15. Population update. Data source: WFP_x000a_Update IDP increased in Oct and Nov 2013 from (UNHCR - Bhamo)"/>
    <s v="Mansi Town"/>
    <n v="0.51447052329458698"/>
    <n v="1"/>
  </r>
  <r>
    <x v="1"/>
    <x v="0"/>
    <s v="MMR001"/>
    <s v="Mohnyin"/>
    <s v="MMR001D002"/>
    <x v="10"/>
    <s v="MMR001009"/>
    <s v="Seik Mu"/>
    <s v="MMR001009003"/>
    <s v="Maw Shan"/>
    <n v="166785"/>
    <x v="151"/>
    <x v="151"/>
    <x v="122"/>
    <n v="25.668399999999998"/>
    <n v="0"/>
    <n v="8"/>
    <n v="32"/>
    <n v="4"/>
    <x v="0"/>
    <x v="0"/>
    <x v="0"/>
    <x v="1"/>
    <x v="21"/>
    <x v="5"/>
    <s v="IP"/>
    <d v="2017-10-31T00:00:00"/>
    <s v="3/Jul/2017: Population update. Data source: KBC_x000a_3/Jul/2017: Population update. Data source: KBC_x000a_19/12/2017: Closed the camp. The camp combine atLawng Hkang Shait Yang Camp​ ( Lel Pyin)​ _x000a_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4-Oct-15 Population update. Soruce; Hpakant Mission Report_WFP_x000a_25-Jun-15 Population update. Source: KBC_x000a_2-Apr-15 (Population update, Source: UNHCR CCCM Mission)_x000a_Update population according to KBC data"/>
    <s v="Hpakant Town"/>
    <n v="7.419312682373878"/>
    <n v="2"/>
  </r>
  <r>
    <x v="0"/>
    <x v="0"/>
    <s v="MMR001"/>
    <s v="Bhamo"/>
    <s v="MMR001D003"/>
    <x v="4"/>
    <s v="MMR001012"/>
    <s v="Momauk Town"/>
    <s v="MMR001012701"/>
    <m/>
    <m/>
    <x v="150"/>
    <x v="152"/>
    <x v="123"/>
    <n v="24.251232000000002"/>
    <m/>
    <n v="223"/>
    <n v="1067"/>
    <n v="4.7847533632286998"/>
    <x v="0"/>
    <x v="0"/>
    <x v="2"/>
    <x v="0"/>
    <x v="11"/>
    <x v="8"/>
    <s v="WFP"/>
    <d v="2019-03-18T00:00:00"/>
    <s v="19/Mar/2019: Population update. Data source: WFP_x000a_7/April/2017: Population update. Data source: WFP_x000a_9/Nov/15. Population update. Data source: WFP"/>
    <s v="Momauk Town"/>
    <n v="0.60629049139006752"/>
    <n v="1"/>
  </r>
  <r>
    <x v="1"/>
    <x v="0"/>
    <s v="MMR001"/>
    <s v="Mohnyin"/>
    <s v="MMR001D002"/>
    <x v="10"/>
    <s v="MMR001009"/>
    <s v="Seik Mu"/>
    <s v="MMR001009003"/>
    <s v="Seik Mu"/>
    <n v="166783"/>
    <x v="152"/>
    <x v="153"/>
    <x v="124"/>
    <n v="25.57921"/>
    <n v="0"/>
    <m/>
    <m/>
    <s v="NA"/>
    <x v="0"/>
    <x v="0"/>
    <x v="0"/>
    <x v="1"/>
    <x v="21"/>
    <x v="3"/>
    <s v="RRD"/>
    <d v="2014-04-07T00:00:00"/>
    <s v="Move to Nant Ma Hpit Catholic Church."/>
    <s v=""/>
    <s v=""/>
    <s v=""/>
  </r>
  <r>
    <x v="1"/>
    <x v="0"/>
    <s v="MMR001"/>
    <s v="Mohnyin"/>
    <s v="MMR001D002"/>
    <x v="10"/>
    <s v="MMR001009"/>
    <s v="Seik Mu"/>
    <s v="MMR001009003"/>
    <s v="Seik Mu"/>
    <n v="166783"/>
    <x v="153"/>
    <x v="154"/>
    <x v="31"/>
    <m/>
    <m/>
    <m/>
    <m/>
    <s v="NA"/>
    <x v="0"/>
    <x v="0"/>
    <x v="0"/>
    <x v="2"/>
    <x v="11"/>
    <x v="4"/>
    <s v="RRD"/>
    <d v="2014-01-24T00:00:00"/>
    <s v="UNOCHA"/>
    <s v=""/>
    <s v=""/>
    <s v=""/>
  </r>
  <r>
    <x v="1"/>
    <x v="0"/>
    <s v="MMR001"/>
    <s v="Mohnyin"/>
    <s v="MMR001D002"/>
    <x v="10"/>
    <s v="MMR001009"/>
    <s v="Nawng Mi"/>
    <s v="MMR001009008"/>
    <s v="Nawng Myi"/>
    <n v="166817"/>
    <x v="154"/>
    <x v="155"/>
    <x v="125"/>
    <n v="25.728653000000001"/>
    <m/>
    <m/>
    <m/>
    <s v="NA"/>
    <x v="0"/>
    <x v="0"/>
    <x v="0"/>
    <x v="1"/>
    <x v="11"/>
    <x v="1"/>
    <s v="IP"/>
    <d v="2015-04-02T00:00:00"/>
    <s v="19-Aug-15 Closed. IDP were provided with individual lands within Naung Hmee village and transit toward semi-permanent settlement. Source: CCCM Unit_x000a_2-Apr-15 (Population update, Source: UNHCR CCCM Mission)_x000a_Population update: Source: Camp Profile Round 2."/>
    <s v="Kamaing Town"/>
    <n v="23.222739740353646"/>
    <n v="5"/>
  </r>
  <r>
    <x v="1"/>
    <x v="0"/>
    <s v="MMR001"/>
    <s v="Mohnyin"/>
    <s v="MMR001D002"/>
    <x v="10"/>
    <s v="MMR001009"/>
    <s v="Hpakan Town"/>
    <s v="MMR001009701"/>
    <s v="Maw Wam Ward"/>
    <s v="MMR001009701501"/>
    <x v="155"/>
    <x v="156"/>
    <x v="31"/>
    <m/>
    <m/>
    <n v="0"/>
    <n v="0"/>
    <s v="NA"/>
    <x v="0"/>
    <x v="0"/>
    <x v="0"/>
    <x v="2"/>
    <x v="11"/>
    <x v="4"/>
    <m/>
    <m/>
    <m/>
    <s v=""/>
    <s v=""/>
    <s v=""/>
  </r>
  <r>
    <x v="0"/>
    <x v="0"/>
    <s v="MMR001"/>
    <s v="Bhamo"/>
    <s v="MMR001D003"/>
    <x v="4"/>
    <s v="MMR001012"/>
    <s v="Myo Thit"/>
    <s v="MMR001012013"/>
    <s v="Khon Sint"/>
    <n v="167060"/>
    <x v="156"/>
    <x v="157"/>
    <x v="126"/>
    <n v="24.377054000000001"/>
    <m/>
    <n v="3"/>
    <n v="18"/>
    <n v="6"/>
    <x v="0"/>
    <x v="0"/>
    <x v="2"/>
    <x v="1"/>
    <x v="11"/>
    <x v="8"/>
    <s v="RRD"/>
    <d v="2017-08-03T00:00:00"/>
    <s v="WFP"/>
    <s v="Momauk Town"/>
    <n v="13.446032768350749"/>
    <n v="3"/>
  </r>
  <r>
    <x v="0"/>
    <x v="0"/>
    <s v="MMR001"/>
    <s v="Puta-O"/>
    <s v="MMR001D004"/>
    <x v="13"/>
    <s v="MMR001015"/>
    <s v="Sumprabum Town"/>
    <s v="MMR001015701"/>
    <m/>
    <m/>
    <x v="157"/>
    <x v="158"/>
    <x v="127"/>
    <n v="26.541930000000001"/>
    <n v="1025"/>
    <n v="5"/>
    <n v="32"/>
    <n v="6.4"/>
    <x v="0"/>
    <x v="0"/>
    <x v="3"/>
    <x v="1"/>
    <x v="11"/>
    <x v="8"/>
    <s v="RRD"/>
    <d v="2017-07-11T00:00:00"/>
    <m/>
    <s v="Sumprabum Town"/>
    <n v="0.23004407510846425"/>
    <n v="1"/>
  </r>
  <r>
    <x v="0"/>
    <x v="0"/>
    <s v="MMR001"/>
    <s v="Myitkyina"/>
    <s v="MMR001D001"/>
    <x v="1"/>
    <s v="MMR001002"/>
    <s v="Nam Sang Yang"/>
    <s v="MMR001002024"/>
    <m/>
    <m/>
    <x v="158"/>
    <x v="159"/>
    <x v="128"/>
    <n v="24.752471"/>
    <m/>
    <m/>
    <n v="872"/>
    <s v="NA"/>
    <x v="1"/>
    <x v="0"/>
    <x v="1"/>
    <x v="0"/>
    <x v="11"/>
    <x v="8"/>
    <s v="IRRC"/>
    <d v="2017-01-01T00:00:00"/>
    <s v="In 2014, this school is no longer accepting the lower grade students."/>
    <s v="Laiza town"/>
    <n v="2.3307568207764655"/>
    <n v="1"/>
  </r>
  <r>
    <x v="0"/>
    <x v="0"/>
    <s v="MMR001"/>
    <s v="Myitkyina"/>
    <s v="MMR001D001"/>
    <x v="2"/>
    <s v="MMR001005"/>
    <s v="Pang War Town"/>
    <s v="MMR001005702"/>
    <s v="No (2) Ward"/>
    <s v="MMR001005702502"/>
    <x v="159"/>
    <x v="160"/>
    <x v="129"/>
    <n v="25.60867"/>
    <n v="2345"/>
    <n v="57"/>
    <n v="274"/>
    <n v="4.807017543859649"/>
    <x v="0"/>
    <x v="0"/>
    <x v="0"/>
    <x v="1"/>
    <x v="23"/>
    <x v="3"/>
    <s v="IP"/>
    <d v="2019-05-08T00:00:00"/>
    <s v="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ang War Town"/>
    <n v="0.18710270881855062"/>
    <n v="1"/>
  </r>
  <r>
    <x v="0"/>
    <x v="0"/>
    <s v="MMR001"/>
    <s v="Bhamo"/>
    <s v="MMR001D003"/>
    <x v="5"/>
    <s v="MMR001013"/>
    <s v="Maing Khaung"/>
    <s v="MMR001013007"/>
    <s v="Maing Khaung"/>
    <n v="167301"/>
    <x v="160"/>
    <x v="161"/>
    <x v="130"/>
    <n v="23.976571"/>
    <n v="478"/>
    <n v="156"/>
    <n v="694"/>
    <n v="4.4487179487179489"/>
    <x v="0"/>
    <x v="0"/>
    <x v="0"/>
    <x v="1"/>
    <x v="24"/>
    <x v="6"/>
    <s v="IP"/>
    <d v="2019-05-08T00:00:00"/>
    <s v="8/May/2019: Population update. Data source: KMSS_Bhamo_x000a_11 HH 77 PP returned to origin village  on 5 April 2019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MSS _x000a_19-Aug-15 Update population. Source KMSS-BMO_x000a_Geo-Info update."/>
    <s v="Kamaing Town"/>
    <n v="12.257552920582597"/>
    <n v="3"/>
  </r>
  <r>
    <x v="0"/>
    <x v="0"/>
    <s v="MMR001"/>
    <s v="Myitkyina"/>
    <s v="MMR001D001"/>
    <x v="2"/>
    <s v="MMR001005"/>
    <s v="Lang Jaw"/>
    <s v="MMR001005022"/>
    <s v="Saw Zam"/>
    <m/>
    <x v="161"/>
    <x v="162"/>
    <x v="131"/>
    <n v="25.645959999999999"/>
    <n v="1945"/>
    <n v="32"/>
    <n v="167"/>
    <n v="5.21875"/>
    <x v="0"/>
    <x v="0"/>
    <x v="0"/>
    <x v="0"/>
    <x v="23"/>
    <x v="3"/>
    <s v="IP"/>
    <d v="2019-05-08T00:00:00"/>
    <s v="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19-Aug-15 (Population update. Data Source: KMSS-MYT)_x000a_2-Apr-15 (Population update, Source: UNHCR CCCM Mission)_x000a_Population Update. Source: KMSS-MYT"/>
    <s v="Naypyitaw Town"/>
    <n v="0"/>
    <n v="1"/>
  </r>
  <r>
    <x v="0"/>
    <x v="0"/>
    <s v="MMR001"/>
    <s v="Puta-O"/>
    <s v="MMR001D004"/>
    <x v="7"/>
    <s v="MMR001014"/>
    <s v="Lang Taung"/>
    <s v="MMR001014009"/>
    <s v="Inn Lel Yan"/>
    <n v="217032"/>
    <x v="162"/>
    <x v="163"/>
    <x v="132"/>
    <n v="27.248964999999998"/>
    <n v="398"/>
    <n v="10"/>
    <n v="56"/>
    <n v="5.6"/>
    <x v="0"/>
    <x v="0"/>
    <x v="2"/>
    <x v="1"/>
    <x v="19"/>
    <x v="8"/>
    <s v="IP"/>
    <d v="2014-04-07T00:00:00"/>
    <s v="Not updated due to lack of access._x000a_New host families."/>
    <s v="Machanbaw Town"/>
    <n v="4.789460146835963"/>
    <n v="1"/>
  </r>
  <r>
    <x v="0"/>
    <x v="0"/>
    <s v="MMR001"/>
    <s v="Bhamo"/>
    <s v="MMR001D003"/>
    <x v="5"/>
    <s v="MMR001013"/>
    <s v="Man Wein"/>
    <s v="MMR001013021"/>
    <s v="Man Wein"/>
    <n v="167405"/>
    <x v="163"/>
    <x v="164"/>
    <x v="133"/>
    <n v="23.833477999999999"/>
    <n v="925"/>
    <n v="138"/>
    <n v="732"/>
    <n v="5.3043478260869561"/>
    <x v="0"/>
    <x v="0"/>
    <x v="0"/>
    <x v="1"/>
    <x v="25"/>
    <x v="6"/>
    <s v="IP"/>
    <d v="2019-05-08T00:00:00"/>
    <s v="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families’ extension_x000a_28/Jan/2016. Population update. Data source: KBC (mail by maran)_x000a_19-Aug-2015. Update Population. Data Source; KMSS-BMO_x000a_Responsible Agency update. KMSS-MYT to KMSS-BMO."/>
    <s v="Namhkan Town"/>
    <n v="10.527586947557506"/>
    <n v="3"/>
  </r>
  <r>
    <x v="1"/>
    <x v="0"/>
    <s v="MMR001"/>
    <s v="Bhamo"/>
    <s v="MMR001D003"/>
    <x v="4"/>
    <s v="MMR001012"/>
    <s v="Man Ping (Ping) (Dawthponeyan Sub-township)"/>
    <s v="MMR001012052"/>
    <s v="Man Ping"/>
    <n v="167270"/>
    <x v="164"/>
    <x v="165"/>
    <x v="134"/>
    <n v="24.759551999999999"/>
    <m/>
    <m/>
    <m/>
    <s v="NA"/>
    <x v="0"/>
    <x v="0"/>
    <x v="2"/>
    <x v="1"/>
    <x v="11"/>
    <x v="4"/>
    <s v="RRD"/>
    <d v="2017-07-11T00:00:00"/>
    <s v="11/Jul/2017: Change status to Close as no update available_x000a_Geo-Info, HH/Pop data was updated from Google Earth."/>
    <s v="Dawthponeyan  Town"/>
    <n v="24.701686141136339"/>
    <n v="5"/>
  </r>
  <r>
    <x v="1"/>
    <x v="0"/>
    <s v="MMR001"/>
    <s v="Bhamo"/>
    <s v="MMR001D003"/>
    <x v="6"/>
    <s v="MMR001011"/>
    <s v="Shwegu Town"/>
    <s v="MMR001011701"/>
    <m/>
    <m/>
    <x v="165"/>
    <x v="166"/>
    <x v="135"/>
    <n v="24.224830999999998"/>
    <m/>
    <m/>
    <m/>
    <s v="NA"/>
    <x v="0"/>
    <x v="0"/>
    <x v="2"/>
    <x v="0"/>
    <x v="11"/>
    <x v="4"/>
    <s v="RRD"/>
    <d v="2017-07-11T00:00:00"/>
    <s v="11/Jul/2017: Change status to Close as no update available."/>
    <s v="Shwegu Town"/>
    <n v="2.3794331620169178"/>
    <n v="1"/>
  </r>
  <r>
    <x v="0"/>
    <x v="0"/>
    <s v="MMR001"/>
    <s v="Mohnyin"/>
    <s v="MMR001D002"/>
    <x v="10"/>
    <s v="MMR001009"/>
    <s v="Nam Ma Hpyit"/>
    <s v="MMR001009002"/>
    <s v="Nam Ma Hpyit"/>
    <n v="166776"/>
    <x v="166"/>
    <x v="167"/>
    <x v="75"/>
    <n v="25.611160000000002"/>
    <m/>
    <n v="107"/>
    <n v="519"/>
    <n v="4.8504672897196262"/>
    <x v="0"/>
    <x v="0"/>
    <x v="0"/>
    <x v="0"/>
    <x v="15"/>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Hpakant Town"/>
    <n v="0.19374952337076978"/>
    <n v="1"/>
  </r>
  <r>
    <x v="1"/>
    <x v="0"/>
    <s v="MMR001"/>
    <s v="Mohnyin"/>
    <s v="MMR001D002"/>
    <x v="10"/>
    <s v="MMR001009"/>
    <s v="Hpakan Town"/>
    <s v="MMR001009701"/>
    <s v="Maw Wam Ward"/>
    <s v="MMR001009701501"/>
    <x v="167"/>
    <x v="168"/>
    <x v="136"/>
    <n v="25.615006000000001"/>
    <m/>
    <n v="0"/>
    <n v="0"/>
    <s v="NA"/>
    <x v="0"/>
    <x v="0"/>
    <x v="0"/>
    <x v="2"/>
    <x v="11"/>
    <x v="4"/>
    <m/>
    <m/>
    <s v=" "/>
    <s v=""/>
    <s v=""/>
    <s v=""/>
  </r>
  <r>
    <x v="1"/>
    <x v="0"/>
    <s v="MMR001"/>
    <s v="Bhamo"/>
    <s v="MMR001D003"/>
    <x v="5"/>
    <s v="MMR001013"/>
    <s v="Man Mawn"/>
    <s v="MMR001013022"/>
    <m/>
    <m/>
    <x v="168"/>
    <x v="169"/>
    <x v="137"/>
    <n v="23.867713999999999"/>
    <n v="755"/>
    <n v="0"/>
    <n v="0"/>
    <s v="NA"/>
    <x v="1"/>
    <x v="0"/>
    <x v="0"/>
    <x v="1"/>
    <x v="26"/>
    <x v="6"/>
    <s v="IP"/>
    <d v="2014-06-21T00:00:00"/>
    <s v="Closed. Source: Save The Children"/>
    <s v=""/>
    <s v=""/>
    <s v=""/>
  </r>
  <r>
    <x v="1"/>
    <x v="0"/>
    <s v="MMR001"/>
    <s v="Bhamo"/>
    <s v="MMR001D003"/>
    <x v="5"/>
    <s v="MMR001013"/>
    <s v="Mung Ding Pa"/>
    <s v="MMR001013038"/>
    <m/>
    <m/>
    <x v="169"/>
    <x v="170"/>
    <x v="138"/>
    <n v="24.20645"/>
    <n v="781.8"/>
    <n v="0"/>
    <n v="0"/>
    <s v="NA"/>
    <x v="1"/>
    <x v="0"/>
    <x v="0"/>
    <x v="1"/>
    <x v="23"/>
    <x v="4"/>
    <s v="IP"/>
    <d v="2014-01-22T00:00:00"/>
    <s v="Closed: Source UNHCR-Bhamo"/>
    <s v=""/>
    <s v=""/>
    <s v=""/>
  </r>
  <r>
    <x v="1"/>
    <x v="0"/>
    <s v="MMR001"/>
    <s v="Bhamo"/>
    <s v="MMR001D003"/>
    <x v="5"/>
    <s v="MMR001013"/>
    <s v="Nam Lin Pa"/>
    <s v="MMR001013037"/>
    <m/>
    <m/>
    <x v="170"/>
    <x v="171"/>
    <x v="103"/>
    <n v="23.75817"/>
    <n v="781.8"/>
    <n v="0"/>
    <n v="0"/>
    <s v="NA"/>
    <x v="1"/>
    <x v="0"/>
    <x v="0"/>
    <x v="1"/>
    <x v="23"/>
    <x v="4"/>
    <s v="IP"/>
    <m/>
    <s v="Closed: Source UNHCR-Bhamo"/>
    <s v=""/>
    <s v=""/>
    <s v=""/>
  </r>
  <r>
    <x v="0"/>
    <x v="0"/>
    <s v="MMR001"/>
    <s v="Bhamo"/>
    <s v="MMR001D003"/>
    <x v="5"/>
    <s v="MMR001013"/>
    <s v="Man Wein"/>
    <s v="MMR001013021"/>
    <s v="Man Wein"/>
    <n v="167405"/>
    <x v="171"/>
    <x v="172"/>
    <x v="139"/>
    <n v="23.829599000000002"/>
    <m/>
    <n v="156"/>
    <n v="650"/>
    <n v="4.166666666666667"/>
    <x v="0"/>
    <x v="0"/>
    <x v="0"/>
    <x v="1"/>
    <x v="27"/>
    <x v="9"/>
    <s v="IP"/>
    <d v="2019-05-08T00:00:00"/>
    <s v="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and Camp manager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9.2957189123335944"/>
    <n v="2"/>
  </r>
  <r>
    <x v="0"/>
    <x v="0"/>
    <s v="MMR001"/>
    <s v="Mohnyin"/>
    <s v="MMR001D002"/>
    <x v="9"/>
    <s v="MMR001007"/>
    <s v="Hopin Town"/>
    <s v="MMR001007702"/>
    <s v="Myo Ma (South) Ward"/>
    <s v="MMR001007702503"/>
    <x v="172"/>
    <x v="173"/>
    <x v="140"/>
    <n v="24.996279999999999"/>
    <m/>
    <n v="27"/>
    <n v="126"/>
    <n v="4.666666666666667"/>
    <x v="0"/>
    <x v="0"/>
    <x v="2"/>
    <x v="0"/>
    <x v="21"/>
    <x v="8"/>
    <s v="WFP"/>
    <d v="2019-03-18T00:00:00"/>
    <s v="19/Mar/2019: Population update. Data source: WFP_x000a_24/Apr/2017: Population update. Data source: CCCM unit_x000a_19-Mar-2015 (WFP has been providing this host families since 2013.)"/>
    <s v="Hopin Town"/>
    <n v="0"/>
    <n v="1"/>
  </r>
  <r>
    <x v="1"/>
    <x v="0"/>
    <s v="MMR001"/>
    <s v="Bhamo"/>
    <s v="MMR001D003"/>
    <x v="5"/>
    <s v="MMR001013"/>
    <s v="Nam Lin Pa"/>
    <s v="MMR001013037"/>
    <m/>
    <m/>
    <x v="173"/>
    <x v="174"/>
    <x v="31"/>
    <m/>
    <m/>
    <n v="0"/>
    <n v="0"/>
    <s v="NA"/>
    <x v="1"/>
    <x v="0"/>
    <x v="0"/>
    <x v="2"/>
    <x v="11"/>
    <x v="4"/>
    <s v="IP"/>
    <m/>
    <s v="Closed: Source UNHCR-Bhamo"/>
    <s v=""/>
    <s v=""/>
    <s v=""/>
  </r>
  <r>
    <x v="0"/>
    <x v="0"/>
    <s v="MMR001"/>
    <s v="Mohnyin"/>
    <s v="MMR001D002"/>
    <x v="9"/>
    <s v="MMR001007"/>
    <s v="Mohnyin Town"/>
    <s v="MMR001007701"/>
    <m/>
    <m/>
    <x v="174"/>
    <x v="175"/>
    <x v="141"/>
    <n v="24.764959999999999"/>
    <m/>
    <n v="15"/>
    <n v="71"/>
    <n v="4.7333333333333334"/>
    <x v="0"/>
    <x v="0"/>
    <x v="2"/>
    <x v="0"/>
    <x v="21"/>
    <x v="8"/>
    <s v="WFP"/>
    <d v="2019-03-18T00:00:00"/>
    <s v="19/Mar/2019: Population update. Data source: WFP_x000a_24/Apr/2017: Population update. Data source: CCCM unit_x000a_10/Jan/2017: Population update. Data source: KMSS_Myitkyina_x000a_16/Jun/2016. Population update. Data source: monthly report from KMSS_MYT_x000a_28/Jan/2016. Population update. Data source: KBC (mail by maran)_x000a_9/Nov/15. Population update. Data source: mail from Pancy (WFP)._x000a_19-Mar-2015 (WFP has been providing this host families since 2013.)"/>
    <s v="Mohnyin Town"/>
    <n v="0"/>
    <n v="1"/>
  </r>
  <r>
    <x v="1"/>
    <x v="0"/>
    <s v="MMR001"/>
    <s v="Bhamo"/>
    <s v="MMR001D003"/>
    <x v="3"/>
    <s v="MMR001010"/>
    <m/>
    <m/>
    <m/>
    <m/>
    <x v="175"/>
    <x v="176"/>
    <x v="31"/>
    <m/>
    <m/>
    <n v="0"/>
    <n v="0"/>
    <s v="NA"/>
    <x v="0"/>
    <x v="0"/>
    <x v="0"/>
    <x v="0"/>
    <x v="11"/>
    <x v="4"/>
    <s v="IP"/>
    <d v="2014-03-03T00:00:00"/>
    <s v="Closed. Rellocated to Tharthana Ahlin Yaung."/>
    <s v=""/>
    <s v=""/>
    <s v=""/>
  </r>
  <r>
    <x v="1"/>
    <x v="0"/>
    <s v="MMR001"/>
    <s v="Bhamo"/>
    <s v="MMR001D003"/>
    <x v="5"/>
    <s v="MMR001013"/>
    <s v="Mai Bat"/>
    <s v="MMR001013018"/>
    <s v="Man Kawng"/>
    <n v="167391"/>
    <x v="176"/>
    <x v="177"/>
    <x v="142"/>
    <n v="24.181640000000002"/>
    <m/>
    <n v="0"/>
    <n v="0"/>
    <s v="NA"/>
    <x v="0"/>
    <x v="0"/>
    <x v="0"/>
    <x v="2"/>
    <x v="11"/>
    <x v="4"/>
    <s v="IP"/>
    <d v="2014-03-03T00:00:00"/>
    <s v="Closed. Duplicate with Maing Khaung."/>
    <s v=""/>
    <s v=""/>
    <s v=""/>
  </r>
  <r>
    <x v="1"/>
    <x v="0"/>
    <s v="MMR001"/>
    <s v="Bhamo"/>
    <s v="MMR001D003"/>
    <x v="5"/>
    <s v="MMR001013"/>
    <s v="Mai Bat"/>
    <s v="MMR001013018"/>
    <s v="Man Kawng"/>
    <n v="167391"/>
    <x v="177"/>
    <x v="178"/>
    <x v="142"/>
    <n v="24.181640000000002"/>
    <m/>
    <n v="0"/>
    <n v="0"/>
    <s v="NA"/>
    <x v="0"/>
    <x v="0"/>
    <x v="0"/>
    <x v="2"/>
    <x v="11"/>
    <x v="4"/>
    <s v="IP"/>
    <d v="2014-03-03T00:00:00"/>
    <s v="Closed. Duplicate with Maing Khaung."/>
    <s v=""/>
    <s v=""/>
    <s v=""/>
  </r>
  <r>
    <x v="1"/>
    <x v="0"/>
    <s v="MMR001"/>
    <s v="Bhamo"/>
    <s v="MMR001D003"/>
    <x v="5"/>
    <s v="MMR001013"/>
    <m/>
    <m/>
    <m/>
    <m/>
    <x v="178"/>
    <x v="179"/>
    <x v="31"/>
    <m/>
    <m/>
    <n v="0"/>
    <n v="0"/>
    <s v="NA"/>
    <x v="0"/>
    <x v="0"/>
    <x v="0"/>
    <x v="2"/>
    <x v="11"/>
    <x v="4"/>
    <s v="IP"/>
    <d v="2014-03-03T00:00:00"/>
    <s v="Closed. Rellocated to Man Win and La Ga Yaung"/>
    <s v=""/>
    <s v=""/>
    <s v=""/>
  </r>
  <r>
    <x v="1"/>
    <x v="0"/>
    <s v="MMR001"/>
    <s v="Bhamo"/>
    <s v="MMR001D003"/>
    <x v="5"/>
    <s v="MMR001013"/>
    <m/>
    <m/>
    <m/>
    <m/>
    <x v="179"/>
    <x v="180"/>
    <x v="31"/>
    <m/>
    <m/>
    <n v="0"/>
    <n v="0"/>
    <s v="NA"/>
    <x v="0"/>
    <x v="0"/>
    <x v="0"/>
    <x v="2"/>
    <x v="11"/>
    <x v="4"/>
    <s v="IP"/>
    <d v="2014-03-03T00:00:00"/>
    <s v="Closed. Rellocated to Man Win and La Ga Yaung"/>
    <s v=""/>
    <s v=""/>
    <s v=""/>
  </r>
  <r>
    <x v="1"/>
    <x v="0"/>
    <s v="MMR001"/>
    <s v="Bhamo"/>
    <s v="MMR001D003"/>
    <x v="5"/>
    <s v="MMR001013"/>
    <m/>
    <m/>
    <m/>
    <m/>
    <x v="180"/>
    <x v="181"/>
    <x v="31"/>
    <m/>
    <m/>
    <n v="0"/>
    <n v="0"/>
    <s v="NA"/>
    <x v="0"/>
    <x v="0"/>
    <x v="2"/>
    <x v="1"/>
    <x v="11"/>
    <x v="4"/>
    <s v="IP"/>
    <d v="2015-03-27T00:00:00"/>
    <s v="27-Mar-15 (Closed. Source: UNHCR-Bhamo)_x000a_New Camp"/>
    <s v=""/>
    <s v=""/>
    <s v=""/>
  </r>
  <r>
    <x v="1"/>
    <x v="0"/>
    <s v="MMR001"/>
    <s v="Bhamo"/>
    <s v="MMR001D003"/>
    <x v="5"/>
    <s v="MMR001013"/>
    <m/>
    <m/>
    <m/>
    <m/>
    <x v="181"/>
    <x v="182"/>
    <x v="31"/>
    <m/>
    <m/>
    <n v="0"/>
    <n v="0"/>
    <s v="NA"/>
    <x v="0"/>
    <x v="0"/>
    <x v="4"/>
    <x v="2"/>
    <x v="11"/>
    <x v="4"/>
    <s v="IP"/>
    <d v="2014-02-07T00:00:00"/>
    <s v="Source OCHA"/>
    <s v=""/>
    <s v=""/>
    <s v=""/>
  </r>
  <r>
    <x v="0"/>
    <x v="0"/>
    <s v="MMR001"/>
    <s v="Puta-O"/>
    <s v="MMR001D004"/>
    <x v="7"/>
    <s v="MMR001014"/>
    <s v="Puta-O Town"/>
    <s v="MMR001014701"/>
    <s v="Lone Sut Ward"/>
    <s v="MMR001014701510"/>
    <x v="182"/>
    <x v="183"/>
    <x v="143"/>
    <n v="27.337499999999999"/>
    <m/>
    <n v="61"/>
    <n v="281"/>
    <n v="4.6065573770491799"/>
    <x v="0"/>
    <x v="0"/>
    <x v="0"/>
    <x v="0"/>
    <x v="28"/>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s v="Puta-O Town"/>
    <n v="0"/>
    <n v="1"/>
  </r>
  <r>
    <x v="1"/>
    <x v="0"/>
    <s v="MMR001"/>
    <s v="Bhamo"/>
    <s v="MMR001D003"/>
    <x v="5"/>
    <s v="MMR001013"/>
    <m/>
    <m/>
    <m/>
    <m/>
    <x v="183"/>
    <x v="184"/>
    <x v="31"/>
    <m/>
    <m/>
    <n v="0"/>
    <n v="0"/>
    <s v="NA"/>
    <x v="0"/>
    <x v="0"/>
    <x v="0"/>
    <x v="1"/>
    <x v="11"/>
    <x v="4"/>
    <s v="IP"/>
    <d v="2014-01-13T00:00:00"/>
    <s v="Close (Source: OCHA)"/>
    <s v=""/>
    <s v=""/>
    <s v=""/>
  </r>
  <r>
    <x v="1"/>
    <x v="0"/>
    <s v="MMR001"/>
    <s v="Puta-O"/>
    <s v="MMR001D004"/>
    <x v="7"/>
    <s v="MMR001014"/>
    <s v="Lang Taung"/>
    <s v="MMR001014009"/>
    <s v="Nawng Hkaing"/>
    <n v="167567"/>
    <x v="184"/>
    <x v="185"/>
    <x v="144"/>
    <n v="27.270199999999999"/>
    <n v="372.9"/>
    <n v="0"/>
    <n v="0"/>
    <s v="NA"/>
    <x v="0"/>
    <x v="0"/>
    <x v="0"/>
    <x v="1"/>
    <x v="19"/>
    <x v="4"/>
    <s v="IP"/>
    <d v="2014-03-27T00:00:00"/>
    <s v="25-Jun-15 (Relocated to Lone Sut)_x000a_Geo-Info, HH/Pop data received from MIRA Form"/>
    <s v="Machanbaw Town"/>
    <n v="1.7005689699647599"/>
    <n v="1"/>
  </r>
  <r>
    <x v="1"/>
    <x v="0"/>
    <s v="MMR001"/>
    <s v="Puta-O"/>
    <s v="MMR001D004"/>
    <x v="14"/>
    <s v="MMR001016"/>
    <m/>
    <m/>
    <m/>
    <m/>
    <x v="185"/>
    <x v="186"/>
    <x v="145"/>
    <n v="27.274059999999999"/>
    <n v="403"/>
    <m/>
    <m/>
    <s v="NA"/>
    <x v="0"/>
    <x v="0"/>
    <x v="0"/>
    <x v="1"/>
    <x v="29"/>
    <x v="4"/>
    <s v="IP"/>
    <d v="2015-06-25T00:00:00"/>
    <s v="25-Jun-15 (Relocate to Long Sut)_x000a_Geo-Info, HH/Pop data received from MIRA Form"/>
    <s v="Machanbaw Town"/>
    <n v="1.136583238544624"/>
    <n v="1"/>
  </r>
  <r>
    <x v="1"/>
    <x v="0"/>
    <s v="MMR001"/>
    <s v="Bhamo"/>
    <s v="MMR001D003"/>
    <x v="3"/>
    <s v="MMR001010"/>
    <m/>
    <m/>
    <m/>
    <m/>
    <x v="186"/>
    <x v="187"/>
    <x v="31"/>
    <m/>
    <m/>
    <m/>
    <m/>
    <s v="NA"/>
    <x v="0"/>
    <x v="0"/>
    <x v="0"/>
    <x v="0"/>
    <x v="11"/>
    <x v="4"/>
    <s v="IP"/>
    <d v="2014-03-04T00:00:00"/>
    <s v="Closed. Rellocated next to AD 2000 Tharthana Compound and CCCM is under AD 2000"/>
    <s v=""/>
    <s v=""/>
    <s v=""/>
  </r>
  <r>
    <x v="0"/>
    <x v="0"/>
    <s v="MMR001"/>
    <s v="Mohnyin"/>
    <s v="MMR001D002"/>
    <x v="8"/>
    <s v="MMR001008"/>
    <s v="Sar Hmaw"/>
    <s v="MMR001008018"/>
    <s v="Sar Hmaw"/>
    <n v="166724"/>
    <x v="187"/>
    <x v="188"/>
    <x v="146"/>
    <n v="25.225000000000001"/>
    <m/>
    <n v="27"/>
    <n v="135"/>
    <n v="5"/>
    <x v="0"/>
    <x v="0"/>
    <x v="0"/>
    <x v="1"/>
    <x v="30"/>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s v="Mogaung Town"/>
    <n v="5"/>
    <n v="2"/>
  </r>
  <r>
    <x v="1"/>
    <x v="0"/>
    <s v="MMR001"/>
    <s v="Bhamo"/>
    <s v="MMR001D003"/>
    <x v="3"/>
    <s v="MMR001010"/>
    <s v="Han Te"/>
    <s v="MMR001010024"/>
    <m/>
    <m/>
    <x v="188"/>
    <x v="189"/>
    <x v="147"/>
    <n v="24.229189999999999"/>
    <n v="126"/>
    <m/>
    <m/>
    <s v="NA"/>
    <x v="0"/>
    <x v="0"/>
    <x v="0"/>
    <x v="0"/>
    <x v="11"/>
    <x v="1"/>
    <s v="IP"/>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
    <s v=""/>
    <s v=""/>
  </r>
  <r>
    <x v="0"/>
    <x v="0"/>
    <s v="MMR001"/>
    <s v="Puta-O"/>
    <s v="MMR001D004"/>
    <x v="13"/>
    <s v="MMR001015"/>
    <m/>
    <m/>
    <m/>
    <m/>
    <x v="189"/>
    <x v="190"/>
    <x v="148"/>
    <n v="26.569633"/>
    <m/>
    <n v="111"/>
    <n v="564"/>
    <n v="5.0810810810810807"/>
    <x v="1"/>
    <x v="0"/>
    <x v="0"/>
    <x v="1"/>
    <x v="31"/>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15/Mar/2017: Population update. Data Source: KBC_x000a_24/Feb/2017: Population and Responsible agency update. Data source: KBC._x000a_10/2/2015. New Camp. Data source: CCCM team"/>
    <s v="Sumprabum Town"/>
    <n v="0"/>
    <n v="1"/>
  </r>
  <r>
    <x v="1"/>
    <x v="0"/>
    <s v="MMR001"/>
    <s v="Bhamo"/>
    <s v="MMR001D003"/>
    <x v="5"/>
    <s v="MMR001013"/>
    <s v="Dum Buk"/>
    <s v="MMR001013014"/>
    <s v="Dum Buk"/>
    <n v="167343"/>
    <x v="190"/>
    <x v="191"/>
    <x v="149"/>
    <n v="24.000250000000001"/>
    <m/>
    <m/>
    <m/>
    <s v="NA"/>
    <x v="1"/>
    <x v="0"/>
    <x v="0"/>
    <x v="1"/>
    <x v="3"/>
    <x v="6"/>
    <s v="IP"/>
    <d v="2016-09-16T00:00:00"/>
    <s v="16/Sep/2016: Changes camp status. Actually it was not closed. It was combined as one camp with Bum Tsit Pa. Data source: KMSS_Bhamo._x000a_28/Jan/2016. Population update. Data source: KBC_x000a_Population Update. Source: Save The Children."/>
    <s v="Namhkan Town"/>
    <n v="19.631786732140053"/>
    <n v="4"/>
  </r>
  <r>
    <x v="0"/>
    <x v="0"/>
    <s v="MMR001"/>
    <s v="Puta-O"/>
    <s v="MMR001D004"/>
    <x v="13"/>
    <s v="MMR001015"/>
    <m/>
    <m/>
    <m/>
    <m/>
    <x v="191"/>
    <x v="192"/>
    <x v="150"/>
    <n v="26.548506"/>
    <m/>
    <n v="67"/>
    <n v="311"/>
    <n v="4.6417910447761193"/>
    <x v="1"/>
    <x v="0"/>
    <x v="0"/>
    <x v="1"/>
    <x v="31"/>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24/Apr/2017: Population update. Data source: KBC and CCCM unit_x000a_15/Mar/2017: Population update. Data Source: KBC_x000a_24/Feb/2017: Population and Responsible agency update. Data source: KBC._x000a_10/2/2015. New Camp. Data source: CCCM team"/>
    <s v="Sumprabum Town"/>
    <n v="0"/>
    <n v="1"/>
  </r>
  <r>
    <x v="0"/>
    <x v="0"/>
    <s v="MMR001"/>
    <s v="Mohnyin"/>
    <s v="MMR001D002"/>
    <x v="10"/>
    <s v="MMR001009"/>
    <s v="Wa Ra Zut"/>
    <s v="MMR001009009"/>
    <s v="Shar Du Zut"/>
    <n v="166819"/>
    <x v="192"/>
    <x v="193"/>
    <x v="151"/>
    <n v="25.920006000000001"/>
    <m/>
    <n v="28"/>
    <n v="126"/>
    <n v="4.5"/>
    <x v="0"/>
    <x v="0"/>
    <x v="0"/>
    <x v="1"/>
    <x v="32"/>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6/Sep/2016: New added camp. There no responsible organization."/>
    <s v="Hpakant Town"/>
    <n v="0"/>
    <n v="1"/>
  </r>
  <r>
    <x v="0"/>
    <x v="0"/>
    <s v="MMR001"/>
    <s v="Mohnyin"/>
    <s v="MMR001D002"/>
    <x v="10"/>
    <s v="MMR001009"/>
    <s v="Wa Ra Zut"/>
    <s v="MMR001009009"/>
    <s v="Shar Du Zut"/>
    <n v="166819"/>
    <x v="193"/>
    <x v="194"/>
    <x v="151"/>
    <n v="25.920006000000001"/>
    <m/>
    <n v="4"/>
    <n v="11"/>
    <n v="2.75"/>
    <x v="0"/>
    <x v="0"/>
    <x v="3"/>
    <x v="1"/>
    <x v="32"/>
    <x v="8"/>
    <s v="IP"/>
    <d v="2018-02-12T00:00:00"/>
    <s v="1/OCt /2018: Population update. Data source: KMSS_Myitkyina_x000a_30/June/2018: Population update. Data source: KMSS_Myitkyina_x000a_4/April/2018: Camp status change to Camp like setting ( No CCCM intervention from January 2018)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ohnyin"/>
    <s v="MMR001D002"/>
    <x v="10"/>
    <s v="MMR001009"/>
    <s v="Wa Ra Zut"/>
    <s v="MMR001009009"/>
    <s v="Shar Du Zut"/>
    <n v="166819"/>
    <x v="194"/>
    <x v="195"/>
    <x v="151"/>
    <n v="25.920006000000001"/>
    <m/>
    <n v="25"/>
    <n v="113"/>
    <n v="4.5199999999999996"/>
    <x v="0"/>
    <x v="0"/>
    <x v="0"/>
    <x v="1"/>
    <x v="32"/>
    <x v="3"/>
    <s v="IP"/>
    <d v="2019-05-08T00:00:00"/>
    <s v="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1"/>
    <x v="0"/>
    <s v="MMR001"/>
    <s v="Mohnyin"/>
    <s v="MMR001D002"/>
    <x v="10"/>
    <s v="MMR001009"/>
    <s v="Lone Khin"/>
    <s v="MMR001009001"/>
    <s v="Ku Day"/>
    <n v="216877"/>
    <x v="195"/>
    <x v="196"/>
    <x v="152"/>
    <n v="25.806999999999999"/>
    <m/>
    <m/>
    <m/>
    <s v="NA"/>
    <x v="0"/>
    <x v="0"/>
    <x v="0"/>
    <x v="1"/>
    <x v="33"/>
    <x v="5"/>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18-May-15 (Population update by field mission)_x000a_Source: CCCM Unit (Hpakant Assessement Mission)"/>
    <s v="Hpakant Town"/>
    <n v="10"/>
    <n v="3"/>
  </r>
  <r>
    <x v="0"/>
    <x v="0"/>
    <s v="MMR001"/>
    <s v="Myitkyina"/>
    <s v="MMR001D001"/>
    <x v="1"/>
    <s v="MMR001002"/>
    <s v="Moke Lwe"/>
    <s v="MMR001002002"/>
    <s v="Khar Shi"/>
    <n v="216822"/>
    <x v="196"/>
    <x v="197"/>
    <x v="153"/>
    <n v="25.305008999999998"/>
    <m/>
    <n v="62"/>
    <n v="410"/>
    <n v="6.612903225806452"/>
    <x v="0"/>
    <x v="0"/>
    <x v="3"/>
    <x v="1"/>
    <x v="11"/>
    <x v="8"/>
    <s v="WV"/>
    <d v="2017-06-02T00:00:00"/>
    <s v="2/June/2017: New added camp. Data source: WASH cluster, WV (World Vision)."/>
    <s v="Waingmaw Town"/>
    <n v="0"/>
    <n v="1"/>
  </r>
  <r>
    <x v="0"/>
    <x v="0"/>
    <s v="MMR001"/>
    <s v="Mohnyin"/>
    <s v="MMR001D002"/>
    <x v="10"/>
    <s v="MMR001009"/>
    <s v="Lone Khin"/>
    <s v="MMR001009001"/>
    <s v="Lel Pyin"/>
    <n v="220486"/>
    <x v="197"/>
    <x v="198"/>
    <x v="31"/>
    <m/>
    <m/>
    <n v="124"/>
    <n v="673"/>
    <n v="5.42741935483871"/>
    <x v="0"/>
    <x v="0"/>
    <x v="0"/>
    <x v="1"/>
    <x v="34"/>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Added New camp. _x000a_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
    <s v="Hpakant Town"/>
    <n v="0"/>
    <n v="1"/>
  </r>
  <r>
    <x v="0"/>
    <x v="0"/>
    <s v="MMR001"/>
    <s v="Myitkyina"/>
    <s v="MMR001D001"/>
    <x v="15"/>
    <s v="MMR001004"/>
    <s v="Tanai Town"/>
    <s v="MMR001004701"/>
    <m/>
    <m/>
    <x v="198"/>
    <x v="199"/>
    <x v="31"/>
    <m/>
    <m/>
    <n v="145"/>
    <n v="644"/>
    <n v="4.4413793103448276"/>
    <x v="0"/>
    <x v="0"/>
    <x v="0"/>
    <x v="0"/>
    <x v="35"/>
    <x v="3"/>
    <s v="IP"/>
    <d v="2019-05-08T00:00:00"/>
    <s v="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 The camp name also change from &quot;Tanai RC Church - Kinsa Ra&quot; to St. Joseph Tanai RC camp. _x000a_31/July /2018: Population update. Data source: KMSS M_x000a_ 30/June/2018: Population update. Data source: UNHCR/Cluster partners_x000a_30/May/2018: Population update. Data source: UNHCR/Cluster partners"/>
    <s v="Tanai Town"/>
    <n v="0"/>
    <n v="1"/>
  </r>
  <r>
    <x v="1"/>
    <x v="0"/>
    <s v="MMR001"/>
    <s v="Mohnyin"/>
    <s v="MMR001D002"/>
    <x v="8"/>
    <s v="MMR001008"/>
    <s v="Sar Hmaw"/>
    <s v="MMR001008018"/>
    <s v="Sar Hmaw"/>
    <n v="166724"/>
    <x v="199"/>
    <x v="200"/>
    <x v="146"/>
    <n v="25.225000000000001"/>
    <m/>
    <m/>
    <m/>
    <s v="NA"/>
    <x v="0"/>
    <x v="0"/>
    <x v="2"/>
    <x v="1"/>
    <x v="30"/>
    <x v="4"/>
    <s v="RRD"/>
    <d v="2017-07-11T00:00:00"/>
    <s v="11/Jul/2017: Closed camp. No update information._x000a_25-Jun-2015 (New host families. Source: RRD)"/>
    <s v="Mogaung Town"/>
    <n v="5"/>
    <n v="2"/>
  </r>
  <r>
    <x v="0"/>
    <x v="0"/>
    <s v="MMR001"/>
    <s v="Myitkyina"/>
    <s v="MMR001D001"/>
    <x v="15"/>
    <s v="MMR001004"/>
    <s v="Tanai Town"/>
    <s v="MMR001004701"/>
    <m/>
    <m/>
    <x v="200"/>
    <x v="201"/>
    <x v="31"/>
    <m/>
    <m/>
    <n v="97"/>
    <n v="365"/>
    <n v="3.7628865979381443"/>
    <x v="0"/>
    <x v="0"/>
    <x v="0"/>
    <x v="0"/>
    <x v="35"/>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 ( The camp status change to Camp from Camp like setting as KBC covers as CMA from July 2018_x000a_5/July/2018: The camp name “ Tanail KBC Church) change to Tanai KBC camp  As per KBC email sent on Thu 7/5/2018 5:47 PM by PC KBC- HDD "/>
    <s v="Tanai Town"/>
    <n v="0"/>
    <n v="1"/>
  </r>
  <r>
    <x v="1"/>
    <x v="0"/>
    <s v="MMR001"/>
    <s v="Mohnyin"/>
    <s v="MMR001D002"/>
    <x v="8"/>
    <s v="MMR001008"/>
    <s v="Nawng Kaing Htaw"/>
    <s v="MMR001008002"/>
    <s v="Ma Haung"/>
    <n v="166676"/>
    <x v="201"/>
    <x v="202"/>
    <x v="63"/>
    <n v="25.299679999999999"/>
    <m/>
    <n v="6"/>
    <n v="31"/>
    <n v="5.166666666666667"/>
    <x v="0"/>
    <x v="0"/>
    <x v="3"/>
    <x v="0"/>
    <x v="30"/>
    <x v="4"/>
    <s v="IP"/>
    <d v="2018-03-30T00:00:00"/>
    <s v="30/Mar/2018: Camp Status change to Closed: Relocate to Nongpong. _x000a_29/June/2017: Population update. Planning to local integration through KMSS_Myitkyina. Relocated to Naung Pon_x000a_3/May/2017: Pop update. Data source: KMSS_Myitkyina_x000a_24/Apr/2017: Pop update. Data source: KMSS_Myitkyina_x000a_6/Apr/2017: Change camp status as &quot;Open&quot;. Data source: Protection team and comfirmed by camp manager._x000a_2/feb/2017: Closed Camp_x000a_10/Jan/2017: Population update. Data source: KMSS_Myitkyina_x000a_21/Oct/2016: Population update. Data source: KMSS_Myitkyina_x000a_14/Jul/2016: Population update. Data Source:KMSS_Myitkyina_x000a_9/Nov/15. Accomodation changes from Host families to Camp. Data source: CCCM_x000a_19-Aug-15 (Population Udate. Data Source: KMSS-MYT)_x000a_25-Jun-2015 (New host families. Source: RRD)"/>
    <s v="Mogaung Town"/>
    <n v="0.75"/>
    <n v="1"/>
  </r>
  <r>
    <x v="0"/>
    <x v="0"/>
    <s v="MMR001"/>
    <s v="Myitkyina"/>
    <s v="MMR001D001"/>
    <x v="15"/>
    <s v="MMR001004"/>
    <s v="Tanai Town"/>
    <s v="MMR001004701"/>
    <m/>
    <m/>
    <x v="202"/>
    <x v="203"/>
    <x v="31"/>
    <m/>
    <m/>
    <n v="34"/>
    <n v="147"/>
    <n v="4.3235294117647056"/>
    <x v="0"/>
    <x v="0"/>
    <x v="0"/>
    <x v="0"/>
    <x v="35"/>
    <x v="3"/>
    <s v="IP"/>
    <d v="2019-05-08T00:00:00"/>
    <s v="8/May/2019: Population update. Data source: KMSS_Myitkyina_x000a_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 /2018: Population update. Data source: KMSS M"/>
    <s v="Tanai Town"/>
    <n v="0"/>
    <n v="1"/>
  </r>
  <r>
    <x v="0"/>
    <x v="0"/>
    <s v="MMR001"/>
    <s v="Myitkyina"/>
    <s v="MMR001D001"/>
    <x v="0"/>
    <s v="MMR001001"/>
    <s v="Myitkyina Town"/>
    <m/>
    <s v="Ka Bu Dam"/>
    <m/>
    <x v="203"/>
    <x v="204"/>
    <x v="31"/>
    <m/>
    <m/>
    <n v="14"/>
    <n v="40"/>
    <n v="2.8571428571428572"/>
    <x v="0"/>
    <x v="0"/>
    <x v="0"/>
    <x v="0"/>
    <x v="36"/>
    <x v="3"/>
    <s v="IP"/>
    <d v="2019-05-08T00:00:00"/>
    <s v="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5/Mar/2018: Population update. Data source:  Camp manager _x000a_New displacement from Tingkawk_x000a_"/>
    <s v="Myitkyina Town"/>
    <n v="0"/>
    <n v="1"/>
  </r>
  <r>
    <x v="1"/>
    <x v="0"/>
    <s v="MMR001"/>
    <s v="Bhamo"/>
    <s v="MMR001D003"/>
    <x v="4"/>
    <s v="MMR001012"/>
    <s v="Dawthponeyan  Town"/>
    <s v="MMR001012703"/>
    <s v="No (2) Ward"/>
    <s v="MMR001012703502"/>
    <x v="204"/>
    <x v="205"/>
    <x v="154"/>
    <n v="24.613976000000001"/>
    <m/>
    <m/>
    <m/>
    <s v="NA"/>
    <x v="0"/>
    <x v="0"/>
    <x v="1"/>
    <x v="1"/>
    <x v="11"/>
    <x v="4"/>
    <s v="WFP"/>
    <d v="2017-07-11T00:00:00"/>
    <s v="11/Jul/2017: Closed camp. No update information since Nov 2015._x000a_9/Nov/2015. Population update. Data source: mail from WFP._x000a_New added Boarding School"/>
    <s v="Dawthponeyan  Town"/>
    <n v="0"/>
    <n v="1"/>
  </r>
  <r>
    <x v="1"/>
    <x v="0"/>
    <s v="MMR001"/>
    <s v="Bhamo"/>
    <s v="MMR001D003"/>
    <x v="5"/>
    <s v="MMR001013"/>
    <s v="Mung Ding Pa"/>
    <s v="MMR001013038"/>
    <s v="Mung Ding Pa"/>
    <n v="167495"/>
    <x v="205"/>
    <x v="206"/>
    <x v="155"/>
    <n v="23.867000000000001"/>
    <m/>
    <m/>
    <m/>
    <s v="NA"/>
    <x v="1"/>
    <x v="0"/>
    <x v="0"/>
    <x v="2"/>
    <x v="11"/>
    <x v="4"/>
    <m/>
    <d v="2014-03-03T00:00:00"/>
    <s v="Closed. Same with (Namhkan St. Thomas 1)"/>
    <s v=""/>
    <s v=""/>
    <s v=""/>
  </r>
  <r>
    <x v="1"/>
    <x v="0"/>
    <s v="MMR001"/>
    <s v="Myitkyina"/>
    <s v="MMR001D001"/>
    <x v="10"/>
    <s v="MMR001004"/>
    <s v="Wa Ra Zut"/>
    <s v="MMR001009009"/>
    <s v="Wa Ra Zut"/>
    <n v="166818"/>
    <x v="206"/>
    <x v="207"/>
    <x v="152"/>
    <n v="25.806999999999999"/>
    <m/>
    <m/>
    <m/>
    <s v="NA"/>
    <x v="0"/>
    <x v="0"/>
    <x v="0"/>
    <x v="1"/>
    <x v="37"/>
    <x v="4"/>
    <s v="IP"/>
    <d v="2017-07-11T00:00:00"/>
    <s v="11/Jul/2017: Change status into closed: Data source: KBC_x000a_25/Jul/2016: Added as new camp according to KBC data. Data was given by Jade"/>
    <s v="Hpakant Town"/>
    <n v="0"/>
    <n v="1"/>
  </r>
  <r>
    <x v="1"/>
    <x v="0"/>
    <s v="MMR001"/>
    <s v="Mohnyin"/>
    <s v="MMR001D002"/>
    <x v="10"/>
    <s v="MMR001009"/>
    <s v="Wa Ra Zut"/>
    <s v="MMR001009009"/>
    <s v="Shar Du Zut"/>
    <n v="166819"/>
    <x v="207"/>
    <x v="208"/>
    <x v="151"/>
    <n v="25.920006000000001"/>
    <m/>
    <m/>
    <m/>
    <s v="NA"/>
    <x v="0"/>
    <x v="0"/>
    <x v="0"/>
    <x v="1"/>
    <x v="32"/>
    <x v="4"/>
    <s v="IP"/>
    <d v="2017-04-24T00:00:00"/>
    <s v="24/Apr/2017: Changed camp status as &quot;closed&quot;. Data source: KMSS_Myitkyina and CCCM unit._x000a_16/Sep/2016: New added camp. There no responsible organization."/>
    <s v="Hpakant Town"/>
    <n v="0"/>
    <n v="1"/>
  </r>
  <r>
    <x v="0"/>
    <x v="0"/>
    <s v="MMR001"/>
    <s v="Waignmaw"/>
    <s v="MMR001D001"/>
    <x v="1"/>
    <s v="MMR001002"/>
    <s v="Sadung Town"/>
    <s v="MMR001002702"/>
    <s v="No (1) Ward"/>
    <s v="MMR001002702501"/>
    <x v="208"/>
    <x v="209"/>
    <x v="31"/>
    <m/>
    <m/>
    <n v="85"/>
    <n v="455"/>
    <n v="5.3529411764705879"/>
    <x v="0"/>
    <x v="0"/>
    <x v="3"/>
    <x v="1"/>
    <x v="38"/>
    <x v="8"/>
    <s v="IP"/>
    <d v="2019-05-08T00:00:00"/>
    <s v="Data Update: UNHCR Camp profiling in April 2019"/>
    <s v="Sadung Town"/>
    <n v="0"/>
    <n v="1"/>
  </r>
  <r>
    <x v="1"/>
    <x v="0"/>
    <s v="MMR001"/>
    <s v="Mohnyin"/>
    <s v="MMR001D002"/>
    <x v="10"/>
    <s v="MMR001009"/>
    <s v="Wa Ra Zut"/>
    <s v="MMR001009009"/>
    <s v="Shar Du Zut"/>
    <n v="166819"/>
    <x v="209"/>
    <x v="210"/>
    <x v="151"/>
    <n v="25.920006000000001"/>
    <m/>
    <m/>
    <m/>
    <s v="NA"/>
    <x v="0"/>
    <x v="0"/>
    <x v="0"/>
    <x v="1"/>
    <x v="32"/>
    <x v="4"/>
    <s v="IP"/>
    <d v="2017-04-24T00:00:00"/>
    <s v="24/Apr/2017: Changed camp status as &quot;closed&quot;. Data source: KMSS_Myitkyina and CCCM unit._x000a_16/Sep/2016: New added camp. There no responsible organization."/>
    <s v="Hpakant Town"/>
    <n v="0"/>
    <n v="1"/>
  </r>
  <r>
    <x v="0"/>
    <x v="0"/>
    <s v="MMR001"/>
    <s v="Mohnyin"/>
    <s v="MMR001D002"/>
    <x v="8"/>
    <s v="MMR001008"/>
    <s v="Nammatee Town"/>
    <s v="MMR001008702"/>
    <s v="Myo Oo Ward"/>
    <s v="MMR001008702502"/>
    <x v="210"/>
    <x v="211"/>
    <x v="156"/>
    <n v="25.370330525559201"/>
    <m/>
    <n v="45"/>
    <n v="235"/>
    <n v="5.2222222222222223"/>
    <x v="0"/>
    <x v="0"/>
    <x v="0"/>
    <x v="0"/>
    <x v="39"/>
    <x v="3"/>
    <s v="IP"/>
    <d v="2019-05-08T00:00:00"/>
    <s v="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8"/>
    <s v="MMR001008"/>
    <s v="Lan Gwa"/>
    <s v="MMR001008036"/>
    <s v="Lan Gwa"/>
    <n v="166765"/>
    <x v="211"/>
    <x v="212"/>
    <x v="157"/>
    <n v="25.379014999999999"/>
    <m/>
    <n v="112"/>
    <n v="487"/>
    <n v="4.3482142857142856"/>
    <x v="0"/>
    <x v="0"/>
    <x v="0"/>
    <x v="0"/>
    <x v="39"/>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 Lan Gwa KBC Church) change to Namti Labraw Yang KBC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Panmatee Town"/>
    <n v="0.4"/>
    <n v="1"/>
  </r>
  <r>
    <x v="1"/>
    <x v="0"/>
    <s v="MMR001"/>
    <s v="Myitkyina"/>
    <s v="MMR001D001"/>
    <x v="0"/>
    <s v="MMR001001"/>
    <s v="Tang Hpre"/>
    <s v="MMR001001010"/>
    <s v="Tang Hpre"/>
    <n v="165704"/>
    <x v="212"/>
    <x v="213"/>
    <x v="158"/>
    <n v="25.717300000000002"/>
    <m/>
    <n v="229"/>
    <n v="1247"/>
    <n v="5.4454148471615724"/>
    <x v="0"/>
    <x v="0"/>
    <x v="3"/>
    <x v="1"/>
    <x v="39"/>
    <x v="8"/>
    <s v="IP"/>
    <d v="2019-03-08T00:00:00"/>
    <s v="8/March/2019:Data source: KMSS_Myitkyina ( Camp status change to close) The IDPs moved to  Pa Dauk Myaing(Pa La Na)-II and combined camp. _x000a_31/August/2018: Population update. Data source: KMSS_Myitkyina_x000a_31/July /2018: Population update. Data source: UNHCR_x000a_30/June /2018: Population update. Data source: UNHCR/Cluster partners_x000a_30/May/2018: Population update. Data source: UNHCR/Cluster partners_x000a_21/May/2018: Added as new camp. Data source: MIRA (Multi Sector Assessment Team)"/>
    <s v="Myitkyina Town"/>
    <n v="27"/>
    <n v="6"/>
  </r>
  <r>
    <x v="0"/>
    <x v="0"/>
    <s v="MMR001"/>
    <s v="Myitkyina"/>
    <s v="MMR001D001"/>
    <x v="0"/>
    <s v="MMR001001"/>
    <s v="Nawng Nang"/>
    <s v="MMR001001002"/>
    <s v="Nawng Nang"/>
    <n v="165676"/>
    <x v="213"/>
    <x v="214"/>
    <x v="31"/>
    <m/>
    <m/>
    <n v="140"/>
    <n v="620"/>
    <n v="4.4285714285714288"/>
    <x v="0"/>
    <x v="0"/>
    <x v="0"/>
    <x v="1"/>
    <x v="40"/>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Nawng Nan, Jaw Ma Sat KBC Church) change to Jaw Masat Camp)  As per KBC email sent on Thu 7/5/2018 5:47 PM by PC KBC- HDD _x000a_30/June /2018: Population update. Data source: UNHCR/Cluster partners_x000a_30/May/2018: Population update. Data source: UNHCR/Cluster partners_x000a_30/May/2018: Added as new camp"/>
    <s v="Myitkyina Town"/>
    <n v="10"/>
    <n v="3"/>
  </r>
  <r>
    <x v="0"/>
    <x v="0"/>
    <s v="MMR001"/>
    <s v="Myitkyina"/>
    <s v="MMR001D001"/>
    <x v="0"/>
    <s v="MMR001001"/>
    <s v="Ti Yang Zug"/>
    <s v="MMR001001012"/>
    <s v="Ti Yang Zug"/>
    <n v="165707"/>
    <x v="214"/>
    <x v="215"/>
    <x v="31"/>
    <m/>
    <m/>
    <n v="8"/>
    <n v="32"/>
    <n v="4"/>
    <x v="0"/>
    <x v="0"/>
    <x v="3"/>
    <x v="1"/>
    <x v="41"/>
    <x v="8"/>
    <m/>
    <d v="2018-07-31T00:00:00"/>
    <s v="30/June /2018: Population update. Data source: UNHCR/Cluster partners_x000a_30/May/2018: Population update. Data source: UNHCR/Cluster partners_x000a_30/May/2018: Added as new camp"/>
    <s v="Myitkyina Town"/>
    <n v="51"/>
    <n v="11"/>
  </r>
  <r>
    <x v="0"/>
    <x v="0"/>
    <s v="MMR001"/>
    <s v="Mohnyin"/>
    <s v="MMR001D002"/>
    <x v="10"/>
    <s v="MMR001009"/>
    <s v="Kamaing Town"/>
    <s v="MMR001009702"/>
    <s v="Kamaing Ward"/>
    <s v="MMR001009702501"/>
    <x v="215"/>
    <x v="216"/>
    <x v="31"/>
    <m/>
    <m/>
    <n v="16"/>
    <n v="66"/>
    <n v="4.125"/>
    <x v="0"/>
    <x v="0"/>
    <x v="0"/>
    <x v="0"/>
    <x v="11"/>
    <x v="3"/>
    <m/>
    <d v="2019-05-08T00:00:00"/>
    <s v="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0/June /2018: Population update. Data source: UNHCR/Cluster partners_x000a_30/May/2018: Population update. Data source: UNHCR/Cluster partners_x000a_30/May/2018: Added as new camp"/>
    <s v="Kamaing Town"/>
    <n v="0"/>
    <n v="1"/>
  </r>
  <r>
    <x v="1"/>
    <x v="0"/>
    <s v="MMR001"/>
    <s v="Myitkyina"/>
    <s v="MMR001D001"/>
    <x v="15"/>
    <s v="MMR001004"/>
    <s v="Tanai Town"/>
    <s v="MMR001004701"/>
    <m/>
    <m/>
    <x v="216"/>
    <x v="217"/>
    <x v="31"/>
    <m/>
    <m/>
    <n v="42"/>
    <n v="190"/>
    <n v="4.5238095238095237"/>
    <x v="0"/>
    <x v="0"/>
    <x v="3"/>
    <x v="0"/>
    <x v="35"/>
    <x v="8"/>
    <s v="IP"/>
    <d v="2018-08-31T00:00:00"/>
    <s v="Information received from UNHCR PU remote monitoring tool that all the IDPs moved to nearby location ; Yartikaun; camp like setting changed from Opened to Closed on the date of 31 Aust 2018"/>
    <s v="Tanai Town"/>
    <n v="0"/>
    <n v="1"/>
  </r>
  <r>
    <x v="0"/>
    <x v="0"/>
    <s v="MMR001"/>
    <s v="Myitkyina"/>
    <s v="MMR001D001"/>
    <x v="0"/>
    <s v="MMR001001"/>
    <s v="Pa La Na Sa Khan Myar"/>
    <s v="MMR001001003"/>
    <s v="Pi Tauk Myaing"/>
    <n v="165685"/>
    <x v="217"/>
    <x v="218"/>
    <x v="98"/>
    <n v="25.493819999999999"/>
    <m/>
    <n v="255"/>
    <n v="1373"/>
    <n v="5.3843137254901965"/>
    <x v="0"/>
    <x v="0"/>
    <x v="0"/>
    <x v="0"/>
    <x v="42"/>
    <x v="3"/>
    <m/>
    <d v="2019-05-08T00:00:00"/>
    <s v="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6/1/2018: Added as new camp (Camp Like Setting)."/>
    <s v=""/>
    <s v=""/>
    <s v=""/>
  </r>
  <r>
    <x v="0"/>
    <x v="1"/>
    <s v="MMR015"/>
    <s v="Muse"/>
    <s v="MMR015D002"/>
    <x v="16"/>
    <s v="MMR015010"/>
    <s v="Nawng Hkam"/>
    <s v="MMR015010010"/>
    <s v="Nawng Hkam"/>
    <n v="208353"/>
    <x v="218"/>
    <x v="219"/>
    <x v="159"/>
    <n v="23.828520000000001"/>
    <n v="740"/>
    <n v="64"/>
    <n v="349"/>
    <n v="5.453125"/>
    <x v="0"/>
    <x v="0"/>
    <x v="0"/>
    <x v="0"/>
    <x v="14"/>
    <x v="9"/>
    <s v="IP"/>
    <d v="2019-05-08T00:00:00"/>
    <s v="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5619149693996526"/>
    <n v="1"/>
  </r>
  <r>
    <x v="1"/>
    <x v="0"/>
    <s v="MMR001"/>
    <s v="Mohnyin"/>
    <s v="MMR001D002"/>
    <x v="8"/>
    <s v="MMR001008"/>
    <s v="Nammatee Town"/>
    <s v="MMR001008702"/>
    <s v="Myo Hla Ward"/>
    <s v="MMR001008702503"/>
    <x v="219"/>
    <x v="220"/>
    <x v="31"/>
    <m/>
    <m/>
    <n v="245"/>
    <n v="1084"/>
    <n v="4.4244897959183671"/>
    <x v="0"/>
    <x v="0"/>
    <x v="3"/>
    <x v="0"/>
    <x v="43"/>
    <x v="4"/>
    <s v="IP"/>
    <s v="31-08-17"/>
    <s v="IDPs returned"/>
    <s v=""/>
    <s v=""/>
    <s v=""/>
  </r>
  <r>
    <x v="0"/>
    <x v="1"/>
    <s v="MMR015"/>
    <s v="Muse"/>
    <s v="MMR015D002"/>
    <x v="16"/>
    <s v="MMR015010"/>
    <s v="Nawng Hkam"/>
    <s v="MMR015010010"/>
    <s v="Nawng Hkam"/>
    <n v="208353"/>
    <x v="220"/>
    <x v="221"/>
    <x v="160"/>
    <n v="23.828150000000001"/>
    <n v="751.8"/>
    <n v="43"/>
    <n v="218"/>
    <n v="5.0697674418604652"/>
    <x v="0"/>
    <x v="0"/>
    <x v="0"/>
    <x v="0"/>
    <x v="14"/>
    <x v="10"/>
    <s v="IP"/>
    <d v="2019-05-08T00:00:00"/>
    <s v="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Population update. Changed NGCA to GCA. Source: CCCM Unit"/>
    <s v="Namhkan Town"/>
    <n v="1.5239325151406049"/>
    <n v="1"/>
  </r>
  <r>
    <x v="1"/>
    <x v="0"/>
    <s v="MMR001"/>
    <s v="Myitkyina"/>
    <s v="MMR001D001"/>
    <x v="0"/>
    <s v="MMR001001"/>
    <s v="Myitkyina Town"/>
    <m/>
    <s v="Pan Ma Ti Ward"/>
    <s v="MMR001001701528"/>
    <x v="221"/>
    <x v="222"/>
    <x v="31"/>
    <m/>
    <m/>
    <n v="25"/>
    <n v="69"/>
    <n v="2.76"/>
    <x v="0"/>
    <x v="0"/>
    <x v="3"/>
    <x v="0"/>
    <x v="44"/>
    <x v="8"/>
    <s v="IP"/>
    <s v="31-08-17"/>
    <s v="New displacement from Ka Sung"/>
    <s v=""/>
    <s v=""/>
    <s v=""/>
  </r>
  <r>
    <x v="0"/>
    <x v="1"/>
    <s v="MMR015"/>
    <s v="Muse"/>
    <s v="MMR015D002"/>
    <x v="16"/>
    <s v="MMR015010"/>
    <s v="Nawng Hkam"/>
    <s v="MMR015010010"/>
    <s v="Nawng Hkam"/>
    <n v="208353"/>
    <x v="222"/>
    <x v="223"/>
    <x v="161"/>
    <n v="23.821380000000001"/>
    <n v="811.6"/>
    <n v="76"/>
    <n v="385"/>
    <n v="5.0657894736842106"/>
    <x v="0"/>
    <x v="0"/>
    <x v="0"/>
    <x v="0"/>
    <x v="45"/>
    <x v="9"/>
    <s v="IP"/>
    <d v="2019-05-08T00:00:00"/>
    <s v="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7369508287203668"/>
    <n v="1"/>
  </r>
  <r>
    <x v="0"/>
    <x v="1"/>
    <s v="MMR015"/>
    <s v="Muse"/>
    <s v="MMR015D002"/>
    <x v="17"/>
    <s v="MMR015011"/>
    <s v="Long Waun Nam Rein (Tarmoenye Sub-township)"/>
    <s v="MMR015011050"/>
    <s v="Mai Pong (Shu See)"/>
    <n v="219842"/>
    <x v="223"/>
    <x v="224"/>
    <x v="162"/>
    <n v="23.400155999999999"/>
    <n v="3109"/>
    <n v="38"/>
    <n v="208"/>
    <n v="5.4736842105263159"/>
    <x v="0"/>
    <x v="0"/>
    <x v="0"/>
    <x v="1"/>
    <x v="22"/>
    <x v="9"/>
    <s v="IP"/>
    <d v="2019-05-08T00:00:00"/>
    <s v="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27-Mar-15 (Changed to GCA. Source UNHCR-Bhamo)_x000a_Update population. Source: Camp Profile."/>
    <s v="Tarmoenye Town"/>
    <n v="23.172399462804503"/>
    <n v="5"/>
  </r>
  <r>
    <x v="0"/>
    <x v="1"/>
    <s v="MMR015"/>
    <s v="Muse"/>
    <s v="MMR015D002"/>
    <x v="17"/>
    <s v="MMR015011"/>
    <s v="Nam Hpat Kar"/>
    <s v="MMR015011020"/>
    <s v="Nam Hpat Kar (Ho Pon + Pang Sa Lorp)"/>
    <n v="208696"/>
    <x v="224"/>
    <x v="225"/>
    <x v="163"/>
    <n v="23.694130000000001"/>
    <n v="1135.7"/>
    <n v="56"/>
    <n v="263"/>
    <n v="4.6964285714285712"/>
    <x v="0"/>
    <x v="0"/>
    <x v="0"/>
    <x v="1"/>
    <x v="14"/>
    <x v="9"/>
    <s v="IP"/>
    <d v="2019-05-08T00:00:00"/>
    <s v="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hkan Town"/>
    <n v="21.148671772283631"/>
    <n v="5"/>
  </r>
  <r>
    <x v="0"/>
    <x v="1"/>
    <s v="MMR015"/>
    <s v="Kyaukme"/>
    <s v="MMR015D003"/>
    <x v="18"/>
    <s v="MMR015019"/>
    <s v="Urban"/>
    <s v="MMR015019701"/>
    <s v="No (2) Ward"/>
    <s v="MMR015019701503"/>
    <x v="225"/>
    <x v="226"/>
    <x v="164"/>
    <n v="23.250678000000001"/>
    <n v="1250"/>
    <n v="29"/>
    <n v="158"/>
    <n v="5.4482758620689653"/>
    <x v="0"/>
    <x v="0"/>
    <x v="0"/>
    <x v="0"/>
    <x v="5"/>
    <x v="9"/>
    <s v="IP"/>
    <d v="2019-05-08T00:00:00"/>
    <s v="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15 Population update. Source: KBC_x000a_Changed NGCA to GCA. Source: CCCM Unit"/>
    <s v="Manton Town"/>
    <n v="0.43878855438285824"/>
    <n v="1"/>
  </r>
  <r>
    <x v="0"/>
    <x v="1"/>
    <s v="MMR015"/>
    <s v="Kyaukme"/>
    <s v="MMR015D003"/>
    <x v="19"/>
    <s v="MMR015015"/>
    <s v="Namtu Town"/>
    <s v="MMR015015701"/>
    <s v="Namtu Ward"/>
    <s v="MMR015015701501"/>
    <x v="226"/>
    <x v="227"/>
    <x v="165"/>
    <n v="23.094290000000001"/>
    <n v="534.29999999999995"/>
    <n v="38"/>
    <n v="159"/>
    <n v="4.1842105263157894"/>
    <x v="0"/>
    <x v="0"/>
    <x v="0"/>
    <x v="0"/>
    <x v="5"/>
    <x v="9"/>
    <s v="IP"/>
    <d v="2019-05-08T00:00:00"/>
    <s v="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Namtu KBC 1(MMR015CMP230) and Namtu KBC 2 (MMR015CMP231) are already integrated into the old camp ( Nam Tu Baptist (MMR015CMP014)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tu Town"/>
    <n v="0.37588352961435612"/>
    <n v="1"/>
  </r>
  <r>
    <x v="0"/>
    <x v="1"/>
    <s v="MMR015"/>
    <s v="Muse"/>
    <s v="MMR015D002"/>
    <x v="17"/>
    <s v="MMR015011"/>
    <s v="Kutkai Town"/>
    <s v="MMR015011701"/>
    <s v="No (5) Ward"/>
    <s v="MMR015011701505"/>
    <x v="227"/>
    <x v="228"/>
    <x v="166"/>
    <n v="23.450914000000001"/>
    <n v="4336"/>
    <n v="53"/>
    <n v="261"/>
    <n v="4.9245283018867925"/>
    <x v="0"/>
    <x v="0"/>
    <x v="0"/>
    <x v="0"/>
    <x v="12"/>
    <x v="9"/>
    <s v="IP"/>
    <d v="2019-05-08T00:00:00"/>
    <s v="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5-Jun-15 Population update. Source: KBC_x000a_Update population. Source: Camp Profile."/>
    <s v="Kutkai Town"/>
    <n v="1.9281430163271129"/>
    <n v="1"/>
  </r>
  <r>
    <x v="0"/>
    <x v="1"/>
    <s v="MMR015"/>
    <s v="Muse"/>
    <s v="MMR015D002"/>
    <x v="17"/>
    <s v="MMR015011"/>
    <s v="Kutkai Town"/>
    <s v="MMR015011701"/>
    <s v="No (3) Ward"/>
    <s v="MMR015011701503"/>
    <x v="228"/>
    <x v="229"/>
    <x v="167"/>
    <n v="23.460349999999998"/>
    <n v="4430"/>
    <n v="28"/>
    <n v="135"/>
    <n v="4.8214285714285712"/>
    <x v="0"/>
    <x v="0"/>
    <x v="0"/>
    <x v="0"/>
    <x v="12"/>
    <x v="10"/>
    <s v="IP"/>
    <d v="2019-05-08T00:00:00"/>
    <s v="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d. Source: Shelter unit."/>
    <s v="Kutkai Town"/>
    <n v="0.42212558305526549"/>
    <n v="1"/>
  </r>
  <r>
    <x v="0"/>
    <x v="1"/>
    <s v="MMR015"/>
    <s v="Muse"/>
    <s v="MMR015D002"/>
    <x v="17"/>
    <s v="MMR015011"/>
    <s v="Mong Yu"/>
    <s v="MMR015011030"/>
    <s v="Mong Yu"/>
    <n v="208747"/>
    <x v="229"/>
    <x v="230"/>
    <x v="168"/>
    <n v="23.588920000000002"/>
    <n v="1012.5"/>
    <n v="76"/>
    <n v="344"/>
    <n v="4.5263157894736841"/>
    <x v="0"/>
    <x v="0"/>
    <x v="0"/>
    <x v="1"/>
    <x v="21"/>
    <x v="10"/>
    <s v="IP"/>
    <d v="2019-05-08T00:00:00"/>
    <s v="8/May/2019: Population update. Data source: KMSS_LSO_x000a_( CMA changed from KBC to KMSS-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Kutkai Town"/>
    <n v="21.050742639251741"/>
    <n v="5"/>
  </r>
  <r>
    <x v="0"/>
    <x v="1"/>
    <s v="MMR015"/>
    <s v="Muse"/>
    <s v="MMR015D002"/>
    <x v="17"/>
    <s v="MMR015011"/>
    <s v="Kar Lai Kone Hsar"/>
    <s v="MMR015011005"/>
    <s v="Kar Lai"/>
    <n v="208557"/>
    <x v="230"/>
    <x v="231"/>
    <x v="169"/>
    <n v="23.38503"/>
    <n v="0"/>
    <n v="205"/>
    <n v="1053"/>
    <n v="5.1365853658536587"/>
    <x v="0"/>
    <x v="0"/>
    <x v="0"/>
    <x v="1"/>
    <x v="12"/>
    <x v="9"/>
    <s v="IP"/>
    <d v="2019-05-08T00:00:00"/>
    <s v="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5/Jun/2016: Population update. Data source: monthly report by KBC_x000a_12/May/2016. Population update. Data source: KBC_x000a_28/Jan/2016. Population update. Data source: KBC_x000a_25-Jun-15 Population update. Source: KBC_x000a_Population update. Source: KBC."/>
    <s v="Kutkai Town"/>
    <n v="13.632081902964599"/>
    <n v="3"/>
  </r>
  <r>
    <x v="0"/>
    <x v="1"/>
    <s v="MMR015"/>
    <s v="Kyaukme"/>
    <s v="MMR015D003"/>
    <x v="18"/>
    <s v="MMR015019"/>
    <s v="Urban"/>
    <s v="MMR015019701"/>
    <s v="No (2) Ward"/>
    <s v="MMR015019701503"/>
    <x v="231"/>
    <x v="232"/>
    <x v="170"/>
    <n v="23.24661"/>
    <n v="87.3"/>
    <n v="30"/>
    <n v="155"/>
    <n v="5.166666666666667"/>
    <x v="0"/>
    <x v="0"/>
    <x v="0"/>
    <x v="0"/>
    <x v="6"/>
    <x v="10"/>
    <s v="IP"/>
    <d v="2019-05-08T00:00:00"/>
    <s v="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New Camp"/>
    <s v="Manton Town"/>
    <n v="0.71762888500316424"/>
    <n v="1"/>
  </r>
  <r>
    <x v="0"/>
    <x v="1"/>
    <s v="MMR015"/>
    <s v="Muse"/>
    <s v="MMR015D002"/>
    <x v="20"/>
    <s v="MMR015009"/>
    <s v="Muse Town"/>
    <s v="MMR015009701"/>
    <s v="Ho Mun Ward"/>
    <s v="MMR015009701504"/>
    <x v="232"/>
    <x v="233"/>
    <x v="171"/>
    <n v="24.006319999999999"/>
    <n v="812.7"/>
    <n v="40"/>
    <n v="180"/>
    <n v="4.5"/>
    <x v="0"/>
    <x v="0"/>
    <x v="3"/>
    <x v="0"/>
    <x v="46"/>
    <x v="8"/>
    <s v="IP"/>
    <d v="2019-02-12T00:00:00"/>
    <s v="12/Feb/2019: Population update. Data source: KBC ( Camp status changed to Camp like setting as per KBC-NSS, the camp is on the progress to return and relocation in 2019)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New camp."/>
    <s v="Muse Town"/>
    <n v="1.989668595899414"/>
    <n v="1"/>
  </r>
  <r>
    <x v="0"/>
    <x v="1"/>
    <s v="MMR015"/>
    <s v="Muse"/>
    <s v="MMR015D002"/>
    <x v="16"/>
    <s v="MMR015010"/>
    <s v="Nawng Hkam"/>
    <s v="MMR015010010"/>
    <s v="Nawng Hkam"/>
    <n v="208353"/>
    <x v="233"/>
    <x v="234"/>
    <x v="172"/>
    <n v="23.841646999999998"/>
    <n v="798"/>
    <n v="36"/>
    <n v="193"/>
    <n v="5.3611111111111107"/>
    <x v="0"/>
    <x v="0"/>
    <x v="0"/>
    <x v="0"/>
    <x v="47"/>
    <x v="9"/>
    <s v="IP"/>
    <d v="2019-05-08T00:00:00"/>
    <s v="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0141034419413328"/>
    <n v="1"/>
  </r>
  <r>
    <x v="0"/>
    <x v="1"/>
    <s v="MMR015"/>
    <s v="Muse"/>
    <s v="MMR015D002"/>
    <x v="16"/>
    <s v="MMR015010"/>
    <s v="Ho Nar"/>
    <s v="MMR015010002"/>
    <s v="Pang Long"/>
    <n v="208338"/>
    <x v="234"/>
    <x v="235"/>
    <x v="173"/>
    <n v="23.838190000000001"/>
    <n v="829.8"/>
    <n v="114"/>
    <n v="545"/>
    <n v="4.7807017543859649"/>
    <x v="0"/>
    <x v="0"/>
    <x v="0"/>
    <x v="0"/>
    <x v="48"/>
    <x v="9"/>
    <s v="IP"/>
    <d v="2019-05-08T00:00:00"/>
    <s v="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8590638493982405"/>
    <n v="1"/>
  </r>
  <r>
    <x v="0"/>
    <x v="1"/>
    <s v="MMR015"/>
    <s v="Muse"/>
    <s v="MMR015D002"/>
    <x v="20"/>
    <s v="MMR015009"/>
    <s v="Muse Town"/>
    <s v="MMR015009701"/>
    <s v="Ho Mun Ward"/>
    <s v="MMR015009701504"/>
    <x v="235"/>
    <x v="236"/>
    <x v="174"/>
    <n v="24.006789000000001"/>
    <n v="814"/>
    <n v="17"/>
    <n v="80"/>
    <n v="4.7058823529411766"/>
    <x v="0"/>
    <x v="0"/>
    <x v="0"/>
    <x v="0"/>
    <x v="49"/>
    <x v="10"/>
    <s v="IP"/>
    <d v="2019-05-08T00:00:00"/>
    <s v="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 Source: Save The Children."/>
    <s v="Muse Town"/>
    <n v="2.1362355825722199"/>
    <n v="1"/>
  </r>
  <r>
    <x v="1"/>
    <x v="1"/>
    <s v="MMR015"/>
    <s v="Muse"/>
    <s v="MMR015D002"/>
    <x v="16"/>
    <s v="MMR015010"/>
    <s v="Nawng Hkam"/>
    <s v="MMR015010010"/>
    <s v="Nawng Hkam"/>
    <n v="208353"/>
    <x v="236"/>
    <x v="237"/>
    <x v="31"/>
    <m/>
    <m/>
    <m/>
    <m/>
    <s v="NA"/>
    <x v="1"/>
    <x v="0"/>
    <x v="0"/>
    <x v="2"/>
    <x v="11"/>
    <x v="4"/>
    <s v="IP"/>
    <d v="2014-03-03T00:00:00"/>
    <s v="Closed. Same with (Nam Hkam Catholic Church  St. Thomas II)"/>
    <s v=""/>
    <s v=""/>
    <s v=""/>
  </r>
  <r>
    <x v="0"/>
    <x v="1"/>
    <s v="MMR015"/>
    <s v="Muse"/>
    <s v="MMR015D002"/>
    <x v="17"/>
    <s v="MMR015011"/>
    <s v="Long Waun Nam Rein (Tarmoenye Sub-township)"/>
    <s v="MMR015011050"/>
    <s v="Mai Pong (Shu See)"/>
    <n v="219842"/>
    <x v="237"/>
    <x v="238"/>
    <x v="175"/>
    <n v="23.463000000000001"/>
    <m/>
    <n v="19"/>
    <n v="89"/>
    <n v="4.6842105263157894"/>
    <x v="0"/>
    <x v="0"/>
    <x v="0"/>
    <x v="1"/>
    <x v="22"/>
    <x v="10"/>
    <s v="IP"/>
    <d v="2019-05-08T00:00:00"/>
    <s v="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27-Mar-15 (Changed to GCA. Source UNHCR-Bhamo)_x000a_New camp. Source: KMSS-BMO"/>
    <m/>
    <s v=""/>
    <s v=""/>
  </r>
  <r>
    <x v="0"/>
    <x v="1"/>
    <s v="MMR015"/>
    <s v="Lashio"/>
    <s v="MMR015D001"/>
    <x v="21"/>
    <s v="MMR015002"/>
    <s v="Nam Sa Larp"/>
    <s v="MMR015002021"/>
    <s v="Nam Sa Larp"/>
    <n v="206352"/>
    <x v="238"/>
    <x v="239"/>
    <x v="176"/>
    <n v="23.354268999999999"/>
    <m/>
    <n v="35"/>
    <n v="183"/>
    <n v="5.2285714285714286"/>
    <x v="0"/>
    <x v="0"/>
    <x v="0"/>
    <x v="1"/>
    <x v="31"/>
    <x v="9"/>
    <s v="IP"/>
    <d v="2019-05-08T00:00:00"/>
    <s v="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Population update. Source KBC._x000a_25-Jun-15 New camp. Data Source : KBC"/>
    <m/>
    <s v=""/>
    <s v=""/>
  </r>
  <r>
    <x v="1"/>
    <x v="1"/>
    <s v="MMR015"/>
    <s v="Muse"/>
    <s v="MMR015D002"/>
    <x v="20"/>
    <s v="MMR015009"/>
    <s v="Mung Baw "/>
    <s v="MMR015009013"/>
    <s v="Mung Baw "/>
    <m/>
    <x v="239"/>
    <x v="240"/>
    <x v="177"/>
    <n v="24.008452999999999"/>
    <n v="3396"/>
    <m/>
    <m/>
    <s v="NA"/>
    <x v="1"/>
    <x v="0"/>
    <x v="5"/>
    <x v="1"/>
    <x v="11"/>
    <x v="4"/>
    <s v="IRRC"/>
    <d v="2017-04-06T00:00:00"/>
    <s v="6/April/2017: Changed the camp stutas as &quot;Closed&quot;. Data source CCCM and comfirmed by partner (KBC). And it was updated since 3/March/2017_x000a_Change to Host Families."/>
    <s v="Pang Hseng (Kyu Koke) Town"/>
    <n v="7.490291417449443"/>
    <n v="2"/>
  </r>
  <r>
    <x v="0"/>
    <x v="1"/>
    <s v="MMR015"/>
    <s v="Kyaukme"/>
    <s v="MMR015D003"/>
    <x v="19"/>
    <s v="MMR015015"/>
    <s v="Pang Long"/>
    <s v="MMR015015011"/>
    <s v="Pang Tha Pyay"/>
    <n v="210455"/>
    <x v="240"/>
    <x v="241"/>
    <x v="178"/>
    <n v="22.765999999999998"/>
    <m/>
    <n v="6"/>
    <n v="27"/>
    <n v="4.5"/>
    <x v="0"/>
    <x v="0"/>
    <x v="3"/>
    <x v="1"/>
    <x v="37"/>
    <x v="8"/>
    <s v="IP"/>
    <d v="2019-03-08T00:00:00"/>
    <s v="8/Mar/2019: Population update. Data source: KMSS_LSO   Camp status change from Camp to camp like setting as per KMSS mail. 11 HHs and 56 PPs had moved to Namtu and Seng Ja village in Jannuary 2019 by voluntarily. Some live by their own house and some live in rental house in Nam Tu. camp management system policy the camp will not be included CMC list )_x000a__x000a_12/Feb/2019: Data Source: KMSS-LSO ( Camp status change to Camp from camp like setting as KMSS-LSO will be covering the camp as CMA_x000a_31/July/2018: Data Source (UNHCR-LSH)_x000a_6/June/2018: Data source ( DRC- NSS)_x000a_25/Jul/2016: Added as new camp according to KBC data."/>
    <s v=""/>
    <s v=""/>
    <s v=""/>
  </r>
  <r>
    <x v="0"/>
    <x v="1"/>
    <s v="MMR015"/>
    <s v="Muse"/>
    <s v="MMR015D002"/>
    <x v="16"/>
    <s v="MMR015010"/>
    <s v="Mong Wee"/>
    <s v="MMR015010036"/>
    <s v="Mong Wee"/>
    <n v="208469"/>
    <x v="241"/>
    <x v="242"/>
    <x v="179"/>
    <n v="23.611999999999998"/>
    <m/>
    <n v="62"/>
    <n v="328"/>
    <n v="5.290322580645161"/>
    <x v="0"/>
    <x v="0"/>
    <x v="3"/>
    <x v="1"/>
    <x v="50"/>
    <x v="8"/>
    <s v="IP"/>
    <d v="2018-07-31T00:00:00"/>
    <s v="31/July/2018: Data Source (UNHCR-LSH)_x000a_5/Jun/2018: Population update. Data source: DRC, SCI_x000a_2/Jun/2017: Population update. Data source: WASH cluster._x000a_25/Jul/2016: Added as new camp according to KBC data. Data was given by Jade"/>
    <s v=""/>
    <s v=""/>
    <s v=""/>
  </r>
  <r>
    <x v="0"/>
    <x v="1"/>
    <s v="MMR015"/>
    <s v="Muse"/>
    <s v="MMR015D002"/>
    <x v="17"/>
    <s v="MMR015011"/>
    <s v="Nam Hpat Kar"/>
    <s v="MMR015011020"/>
    <s v="Aung Tha Pyay Ward"/>
    <m/>
    <x v="242"/>
    <x v="243"/>
    <x v="180"/>
    <n v="23.682887999999998"/>
    <m/>
    <n v="36"/>
    <n v="120"/>
    <n v="3.3333333333333335"/>
    <x v="0"/>
    <x v="0"/>
    <x v="0"/>
    <x v="0"/>
    <x v="51"/>
    <x v="10"/>
    <s v="IP"/>
    <d v="2019-05-08T00:00:00"/>
    <s v="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5/Marcy/2018: Population update. Data source: KMSS-LSO._x000a_From Jan 2018, camp like setting status change to Camp as KMSS-LSO will be cover the Camp _x000a_6/Apr/2017: Population update. Data source: CCCM and confirmed by camp manager._x000a__x000a_20/Feb/2017: Updating GPS coordiante._x000a_25/Jul/2016: Added as new camp according to KBC data. Data was given by Jade"/>
    <s v=""/>
    <s v=""/>
    <s v=""/>
  </r>
  <r>
    <x v="1"/>
    <x v="1"/>
    <s v="MMR015"/>
    <s v="Muse"/>
    <s v="MMR015D003"/>
    <x v="20"/>
    <s v="MMR015019"/>
    <s v="Man Pying (Pang Hseng (Kyu Koke)) Sub-township"/>
    <s v="MMR015009038"/>
    <s v="Hawwa"/>
    <m/>
    <x v="243"/>
    <x v="244"/>
    <x v="181"/>
    <n v="23.917631"/>
    <m/>
    <m/>
    <m/>
    <s v="NA"/>
    <x v="0"/>
    <x v="0"/>
    <x v="5"/>
    <x v="1"/>
    <x v="11"/>
    <x v="4"/>
    <s v="IP"/>
    <d v="2017-04-06T00:00:00"/>
    <s v="6/Apr/2017: Changed the camp status as &quot;Closed&quot;. Data source: CCCM and comfirmed by partner (KBC). And it was updated since 3/Mar/2014._x000a_Change to Host Families."/>
    <s v="Pang Hseng (Kyu Koke) Town"/>
    <n v="18.405283544772924"/>
    <n v="4"/>
  </r>
  <r>
    <x v="1"/>
    <x v="1"/>
    <s v="MMR015"/>
    <s v="Muse"/>
    <s v="MMR015D003"/>
    <x v="20"/>
    <s v="MMR015019"/>
    <s v="Mone Paw Nam Chet (Zay) (Pang Hseng (Kyu Koke)) Sub-township"/>
    <s v="MMR015009033"/>
    <s v="Mone Paw Nam Chet"/>
    <n v="208167"/>
    <x v="244"/>
    <x v="245"/>
    <x v="182"/>
    <n v="23.978088"/>
    <m/>
    <m/>
    <m/>
    <s v="NA"/>
    <x v="0"/>
    <x v="0"/>
    <x v="5"/>
    <x v="1"/>
    <x v="11"/>
    <x v="4"/>
    <s v="IP"/>
    <d v="2017-04-06T00:00:00"/>
    <s v="6/Apr/2017: Changed the camp status as &quot;Closed&quot;. Data source: CCCM and comfirmed by partner (KBC). And it was updated since 3/Mar/2014._x000a_Change to Host Families."/>
    <s v="Pang Hseng (Kyu Koke) Town"/>
    <n v="12.794700705104317"/>
    <n v="3"/>
  </r>
  <r>
    <x v="1"/>
    <x v="1"/>
    <s v="MMR015"/>
    <s v="Muse"/>
    <s v="MMR015D002"/>
    <x v="20"/>
    <s v="MMR015009"/>
    <s v="Man Gyat (Monekoe Sub-township)"/>
    <s v="MMR015009048"/>
    <s v="Gwum Hsan"/>
    <m/>
    <x v="245"/>
    <x v="246"/>
    <x v="183"/>
    <n v="24.101320999999999"/>
    <n v="2979"/>
    <m/>
    <m/>
    <s v="NA"/>
    <x v="1"/>
    <x v="0"/>
    <x v="0"/>
    <x v="0"/>
    <x v="23"/>
    <x v="5"/>
    <s v="IP"/>
    <d v="2016-06-15T00:00:00"/>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Monekoe Town"/>
    <n v="1.789574394782699"/>
    <n v="1"/>
  </r>
  <r>
    <x v="0"/>
    <x v="1"/>
    <s v="MMR015"/>
    <s v="Muse"/>
    <s v="MMR015D002"/>
    <x v="17"/>
    <s v="MMR015011"/>
    <s v="Mung Hawm"/>
    <m/>
    <s v="Htoi San Yang "/>
    <m/>
    <x v="246"/>
    <x v="247"/>
    <x v="184"/>
    <n v="23.850999999999999"/>
    <m/>
    <n v="30"/>
    <n v="170"/>
    <n v="5.666666666666667"/>
    <x v="0"/>
    <x v="0"/>
    <x v="3"/>
    <x v="1"/>
    <x v="51"/>
    <x v="8"/>
    <s v="IP"/>
    <d v="2018-06-05T00:00:00"/>
    <s v="5/June/2018: Data Source Metta NSS_x000a_No update information since Jul/2016, KBC to follow up_x000a_25/Jul/2016: Added as new camp according to KBC data."/>
    <s v=""/>
    <s v=""/>
    <s v=""/>
  </r>
  <r>
    <x v="1"/>
    <x v="1"/>
    <s v="MMR015"/>
    <s v="Muse"/>
    <s v="MMR015D002"/>
    <x v="17"/>
    <s v="MMR015011"/>
    <s v="Kar Lai Kone Hsar"/>
    <s v="MMR015011005"/>
    <s v="Kar Lai"/>
    <n v="208557"/>
    <x v="247"/>
    <x v="248"/>
    <x v="185"/>
    <n v="23.4008"/>
    <n v="0"/>
    <m/>
    <m/>
    <s v="NA"/>
    <x v="0"/>
    <x v="0"/>
    <x v="0"/>
    <x v="1"/>
    <x v="21"/>
    <x v="5"/>
    <s v="IP"/>
    <d v="2017-04-27T00:00:00"/>
    <s v="27/Apr/2017: Changed camp status as &quot;Closed&quot;, Data source: KBC._x000a_15/Mar/2017: Population update, KBC is not responsible  org started from December 2016. Data Source: KBC_x000a_24/Feb/2017: Population update. Data source: KBC_x000a_18/Jul/2016: Population updte. Data source: KBC_x000a_12/May/2016. Population update. Data source: KBC_x000a_25-Jun-15 Population update. Source: KBC_x000a_Update population. Source: Camp Profile."/>
    <s v="Kutkai Town"/>
    <n v="11.65743881259678"/>
    <n v="3"/>
  </r>
  <r>
    <x v="0"/>
    <x v="1"/>
    <s v="MMR015"/>
    <s v="Kyaukme"/>
    <s v="MMR015D003"/>
    <x v="19"/>
    <s v="MMR015015"/>
    <s v="Namtu Town"/>
    <s v="MMR015015701"/>
    <s v="Namtu Ward"/>
    <s v="MMR015015701501"/>
    <x v="248"/>
    <x v="249"/>
    <x v="31"/>
    <m/>
    <m/>
    <n v="28"/>
    <n v="144"/>
    <n v="5.1428571428571432"/>
    <x v="0"/>
    <x v="0"/>
    <x v="0"/>
    <x v="0"/>
    <x v="11"/>
    <x v="10"/>
    <s v="IP"/>
    <d v="2019-05-08T00:00:00"/>
    <s v="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0"/>
    <x v="1"/>
    <s v="MMR015"/>
    <s v="Kyaukme"/>
    <s v="MMR015D003"/>
    <x v="22"/>
    <s v="MMR015014"/>
    <s v="Moe Tay"/>
    <s v="MMR015014024"/>
    <s v="Nawng Tha Kyar"/>
    <n v="209986"/>
    <x v="249"/>
    <x v="250"/>
    <x v="186"/>
    <n v="22.677008000000001"/>
    <m/>
    <n v="37"/>
    <n v="120"/>
    <n v="3.2432432432432434"/>
    <x v="0"/>
    <x v="0"/>
    <x v="3"/>
    <x v="1"/>
    <x v="11"/>
    <x v="8"/>
    <s v="IP"/>
    <d v="2018-06-05T00:00:00"/>
    <s v="5/June/2018: Data Updated_x000a_17-01-2017: New added camp. Missing data will be collected from partners and present in next Report."/>
    <s v=""/>
    <s v=""/>
    <s v=""/>
  </r>
  <r>
    <x v="0"/>
    <x v="1"/>
    <s v="MMR015"/>
    <s v="Muse"/>
    <s v="MMR015D002"/>
    <x v="17"/>
    <s v="MMR015011"/>
    <s v="Kutkai Town"/>
    <s v="MMR015011701"/>
    <s v="No (6) Ward"/>
    <s v="MMR015011701506"/>
    <x v="250"/>
    <x v="251"/>
    <x v="167"/>
    <n v="23.460349999999998"/>
    <m/>
    <n v="37"/>
    <n v="150"/>
    <n v="4.0540540540540544"/>
    <x v="0"/>
    <x v="0"/>
    <x v="0"/>
    <x v="0"/>
    <x v="52"/>
    <x v="9"/>
    <s v="IP"/>
    <d v="2019-05-08T00:00:00"/>
    <s v="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1"/>
    <x v="1"/>
    <s v="MMR015"/>
    <s v="Muse"/>
    <s v="MMR015D002"/>
    <x v="17"/>
    <s v="MMR015011"/>
    <s v="Long Waun Nam Rein (Tarmoenye Sub-township)"/>
    <s v="MMR015011050"/>
    <s v="Mai Pong (Shu See)"/>
    <m/>
    <x v="251"/>
    <x v="252"/>
    <x v="187"/>
    <n v="23.391741"/>
    <n v="0"/>
    <n v="0"/>
    <n v="0"/>
    <s v="NA"/>
    <x v="0"/>
    <x v="0"/>
    <x v="0"/>
    <x v="1"/>
    <x v="22"/>
    <x v="4"/>
    <s v="IP"/>
    <d v="2014-03-03T00:00:00"/>
    <s v="Close. Same with Kutkai Down Town RC. Source UNHCR Bhamo"/>
    <s v=""/>
    <s v=""/>
    <s v=""/>
  </r>
  <r>
    <x v="0"/>
    <x v="1"/>
    <s v="MMR015"/>
    <s v="Muse"/>
    <s v="MMR015D002"/>
    <x v="17"/>
    <s v="MMR015011"/>
    <s v="Kawng Hkar Man Pying"/>
    <s v="MMR015011002"/>
    <s v="Man Loi"/>
    <n v="208530"/>
    <x v="252"/>
    <x v="253"/>
    <x v="31"/>
    <m/>
    <m/>
    <n v="24"/>
    <n v="84"/>
    <n v="3.5"/>
    <x v="0"/>
    <x v="0"/>
    <x v="3"/>
    <x v="1"/>
    <x v="11"/>
    <x v="8"/>
    <s v="IP"/>
    <d v="2018-06-05T00:00:00"/>
    <s v="5/June/2018. Data Updated._x000a_6/May/2017: New added camp. Data source: KBC. Camp was confirmed by CCCM unit. The missing informaiton will be updated as soon as possible."/>
    <s v=""/>
    <s v=""/>
    <s v=""/>
  </r>
  <r>
    <x v="1"/>
    <x v="1"/>
    <s v="MMR015"/>
    <s v="Muse"/>
    <s v="MMR015D002"/>
    <x v="20"/>
    <s v="MMR015009"/>
    <s v="Hpai Kawng"/>
    <s v="MMR015009031"/>
    <s v="Hpai Kawng"/>
    <n v="208156"/>
    <x v="253"/>
    <x v="254"/>
    <x v="188"/>
    <n v="24.08738"/>
    <m/>
    <n v="32"/>
    <n v="187"/>
    <n v="5.84375"/>
    <x v="0"/>
    <x v="0"/>
    <x v="5"/>
    <x v="1"/>
    <x v="11"/>
    <x v="4"/>
    <s v="IRRC"/>
    <d v="2017-06-02T00:00:00"/>
    <s v="22/May/2017: Camp status change to Closed. Data Source: KBC _x000a_2/June/2017: Population updated. Data source: WASH Cluster (dated 7/April_outlook mail)_x000a_Change to Host Families."/>
    <s v="Pang Hseng (Kyu Koke) Town"/>
    <n v="5.5919136174199959"/>
    <n v="2"/>
  </r>
  <r>
    <x v="1"/>
    <x v="1"/>
    <s v="MMR015"/>
    <s v="Muse"/>
    <s v="MMR015D002"/>
    <x v="16"/>
    <s v="MMR015010"/>
    <s v="Nawng Hkam"/>
    <s v="MMR015010010"/>
    <s v="Nawng Hkam"/>
    <n v="208353"/>
    <x v="254"/>
    <x v="255"/>
    <x v="189"/>
    <n v="23.82152"/>
    <n v="813.4"/>
    <n v="0"/>
    <n v="0"/>
    <s v="NA"/>
    <x v="1"/>
    <x v="0"/>
    <x v="0"/>
    <x v="2"/>
    <x v="11"/>
    <x v="6"/>
    <s v="IP"/>
    <d v="2014-03-14T00:00:00"/>
    <s v="Closed. Source Cluster Coordinator"/>
    <s v=""/>
    <s v=""/>
    <s v=""/>
  </r>
  <r>
    <x v="1"/>
    <x v="1"/>
    <s v="MMR015"/>
    <s v="Muse"/>
    <s v="MMR015D002"/>
    <x v="20"/>
    <s v="MMR015009"/>
    <s v="Man Nway (Pang Hseng (Kyu Koke)) Sub-township"/>
    <s v="MMR015009036"/>
    <s v="Nam Hkawng Khu"/>
    <n v="208182"/>
    <x v="255"/>
    <x v="256"/>
    <x v="190"/>
    <n v="23.933098999999999"/>
    <n v="0"/>
    <n v="9"/>
    <n v="44"/>
    <n v="4.8888888888888893"/>
    <x v="1"/>
    <x v="0"/>
    <x v="3"/>
    <x v="1"/>
    <x v="22"/>
    <x v="4"/>
    <s v="IP"/>
    <d v="2017-06-02T00:00:00"/>
    <s v="Closed as of 1st of September 2017"/>
    <s v=""/>
    <s v=""/>
    <s v=""/>
  </r>
  <r>
    <x v="1"/>
    <x v="1"/>
    <s v="MMR015"/>
    <s v="Lashio"/>
    <s v="MMR015D001"/>
    <x v="21"/>
    <s v="MMR015002"/>
    <s v="Nar Tee"/>
    <s v="MMR015002029"/>
    <s v="Nar Tee"/>
    <n v="206422"/>
    <x v="256"/>
    <x v="257"/>
    <x v="191"/>
    <n v="23.372409999999999"/>
    <n v="617.6"/>
    <n v="67"/>
    <n v="392"/>
    <n v="5.8507462686567164"/>
    <x v="1"/>
    <x v="0"/>
    <x v="5"/>
    <x v="1"/>
    <x v="26"/>
    <x v="8"/>
    <s v="IP"/>
    <d v="2018-05-06T00:00:00"/>
    <s v="6/5/2018: Status changed into Closed. Source Metta NSS,some IDP have returned, some moved to host families in Namtu and Kha Shi village, Lashio township_x000a_Lack of access. Not updated since Mar/2014._x000a_Change to Host Families."/>
    <s v="Kunlong Town"/>
    <n v="30.037709702375544"/>
    <n v="7"/>
  </r>
  <r>
    <x v="0"/>
    <x v="1"/>
    <s v="MMR015"/>
    <s v="Muse"/>
    <s v="MMR015D002"/>
    <x v="20"/>
    <s v="MMR015009"/>
    <s v="Hpai Kawng (Pang Hseng-Kyu Koke Sub-township"/>
    <s v="MMR015009031"/>
    <s v="Hpai Kawng"/>
    <n v="208156"/>
    <x v="257"/>
    <x v="258"/>
    <x v="188"/>
    <n v="24.08738"/>
    <m/>
    <n v="152"/>
    <n v="788"/>
    <n v="5.1842105263157894"/>
    <x v="0"/>
    <x v="0"/>
    <x v="0"/>
    <x v="1"/>
    <x v="11"/>
    <x v="9"/>
    <s v="IP"/>
    <d v="2019-05-08T00:00:00"/>
    <s v="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1"/>
    <x v="1"/>
    <s v="MMR015"/>
    <s v="Kyaukme"/>
    <s v="MMR015D003"/>
    <x v="19"/>
    <s v="MMR015015"/>
    <s v="Namtu Town"/>
    <s v="MMR015015701"/>
    <s v="Namtu Ward"/>
    <s v="MMR015015701501"/>
    <x v="258"/>
    <x v="259"/>
    <x v="192"/>
    <n v="23.088058"/>
    <n v="1948"/>
    <n v="118"/>
    <n v="520"/>
    <n v="4.406779661016949"/>
    <x v="0"/>
    <x v="0"/>
    <x v="5"/>
    <x v="0"/>
    <x v="11"/>
    <x v="4"/>
    <s v="IP"/>
    <d v="2014-09-01T00:00:00"/>
    <s v="18th - 19th May joint assessment of OCHA and UNHCR, population returned to place of origin. Location is closed. Change to Host Families. Source: Programme Unit."/>
    <s v="Namtu Town"/>
    <n v="0.63626694856259092"/>
    <n v="1"/>
  </r>
  <r>
    <x v="1"/>
    <x v="1"/>
    <s v="MMR015"/>
    <s v="Muse"/>
    <s v="MMR015D002"/>
    <x v="17"/>
    <s v="MMR015011"/>
    <s v="Galeng"/>
    <m/>
    <s v="Galeng"/>
    <m/>
    <x v="259"/>
    <x v="260"/>
    <x v="31"/>
    <m/>
    <m/>
    <n v="0"/>
    <n v="0"/>
    <s v="NA"/>
    <x v="1"/>
    <x v="0"/>
    <x v="0"/>
    <x v="1"/>
    <x v="11"/>
    <x v="4"/>
    <s v="IP"/>
    <d v="2013-01-15T00:00:00"/>
    <s v="Close: Duplicate Camp (MMR015CMP020 - Zup Aung Camp) 21-Jan-14"/>
    <s v=""/>
    <s v=""/>
    <s v=""/>
  </r>
  <r>
    <x v="0"/>
    <x v="1"/>
    <s v="MMR015"/>
    <s v="Muse"/>
    <s v="MMR015D002"/>
    <x v="17"/>
    <s v="MMR015011"/>
    <s v="Galeng"/>
    <m/>
    <s v="Galeng"/>
    <m/>
    <x v="260"/>
    <x v="261"/>
    <x v="31"/>
    <m/>
    <m/>
    <n v="86"/>
    <n v="525"/>
    <n v="6.1046511627906979"/>
    <x v="0"/>
    <x v="0"/>
    <x v="3"/>
    <x v="1"/>
    <x v="11"/>
    <x v="8"/>
    <s v="IP"/>
    <d v="2018-11-01T00:00:00"/>
    <s v="1/Nov/2018: Changed camp status as &quot;reopen&quot;, Data source: NSS Cluster Partners: Reopen as per NSS Cluster Partners confirm that the IDPs are staying in the location during Cluster Meeting. _x000a_Close: Duplicate Camp (MMR015CMP015 - Kone Khem Camp) 21-Jan-14"/>
    <s v=""/>
    <s v=""/>
    <s v=""/>
  </r>
  <r>
    <x v="0"/>
    <x v="1"/>
    <s v="MMR015"/>
    <s v="Kyaukme"/>
    <s v="MMR015D003"/>
    <x v="19"/>
    <s v="MMR015015"/>
    <s v="Namtu Town"/>
    <s v="MMR015015701"/>
    <s v="Namtu Ward"/>
    <s v="MMR015015701501"/>
    <x v="261"/>
    <x v="262"/>
    <x v="193"/>
    <n v="23.099304"/>
    <m/>
    <n v="61"/>
    <n v="279"/>
    <n v="4.5737704918032787"/>
    <x v="0"/>
    <x v="0"/>
    <x v="0"/>
    <x v="0"/>
    <x v="53"/>
    <x v="10"/>
    <s v="IP"/>
    <d v="2019-05-08T00:00:00"/>
    <s v="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0"/>
    <x v="1"/>
    <m/>
    <s v="Muse"/>
    <m/>
    <x v="17"/>
    <m/>
    <s v="Pan Law"/>
    <m/>
    <s v="Pan Law"/>
    <m/>
    <x v="262"/>
    <x v="263"/>
    <x v="31"/>
    <m/>
    <m/>
    <n v="36"/>
    <n v="192"/>
    <n v="5.333333333333333"/>
    <x v="0"/>
    <x v="0"/>
    <x v="0"/>
    <x v="1"/>
    <x v="37"/>
    <x v="10"/>
    <s v="IP"/>
    <d v="2019-05-08T00:00:00"/>
    <s v="8/May/2019: Population update. Data source: KMSS_LSO_x000a_12/Feb/2019: Data Source: KMSS-LSO ( Camp status change to Camp from camp like setting as KMSS-LSO will be covering the camp as CMA_x000a_31/August/2018: Data Source (KMSSLSH)_x000a_31/July/2018: Data Source (UNHCR-LSH)_x000a_5/June/2018: Data Source: IRC_x000a_No update information since Jul/2016, KBC to follow up_x000a_25/Jul/2016: Added as new camp according to KBC data."/>
    <s v=""/>
    <s v=""/>
    <s v=""/>
  </r>
  <r>
    <x v="2"/>
    <x v="2"/>
    <m/>
    <m/>
    <m/>
    <x v="23"/>
    <m/>
    <m/>
    <m/>
    <m/>
    <m/>
    <x v="263"/>
    <x v="264"/>
    <x v="31"/>
    <m/>
    <m/>
    <m/>
    <m/>
    <s v="NA"/>
    <x v="2"/>
    <x v="1"/>
    <x v="6"/>
    <x v="2"/>
    <x v="11"/>
    <x v="4"/>
    <m/>
    <m/>
    <m/>
    <s v=""/>
    <s v=""/>
    <s v=""/>
  </r>
  <r>
    <x v="0"/>
    <x v="0"/>
    <s v="MMR001"/>
    <s v="Myitkyina"/>
    <s v="MMR001D001"/>
    <x v="0"/>
    <s v="MMR001001"/>
    <s v="Myitkyina Town"/>
    <s v="MMR001001701"/>
    <s v="Lel Kone Ward"/>
    <s v="MMR001001701525"/>
    <x v="264"/>
    <x v="265"/>
    <x v="194"/>
    <n v="25.362420757575801"/>
    <n v="0"/>
    <n v="152"/>
    <n v="770"/>
    <n v="5.0657894736842106"/>
    <x v="0"/>
    <x v="0"/>
    <x v="0"/>
    <x v="0"/>
    <x v="54"/>
    <x v="0"/>
    <s v="IP"/>
    <d v="2019-05-08T00:00:00"/>
    <s v="8/May/2019: Population update. Data source: KBC-MYT_x000a_12/Feb/2019: Population update. Data source: KBC- MKA: Kyun Pin Thar Baptist Church ( MMR001CMP013) Combined with Le Kone Bethlehem Church as per KBC- MKA ; 38 HH 182 pp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3.3602711423118103"/>
    <n v="1"/>
  </r>
  <r>
    <x v="0"/>
    <x v="0"/>
    <s v="MMR001"/>
    <s v="Myitkyina"/>
    <s v="MMR001D001"/>
    <x v="1"/>
    <s v="MMR001002"/>
    <s v="Mai Na"/>
    <s v="MMR001002006"/>
    <s v="Mai Na"/>
    <n v="165740"/>
    <x v="265"/>
    <x v="266"/>
    <x v="195"/>
    <n v="25.409612685185198"/>
    <n v="0"/>
    <n v="55"/>
    <n v="250"/>
    <n v="4.5454545454545459"/>
    <x v="0"/>
    <x v="0"/>
    <x v="0"/>
    <x v="0"/>
    <x v="14"/>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Data Source: KBC_x000a_Update population according to KBC data"/>
    <s v="Myitkyina Town"/>
    <n v="4.3887485673235673"/>
    <n v="1"/>
  </r>
  <r>
    <x v="0"/>
    <x v="0"/>
    <s v="MMR001"/>
    <s v="Myitkyina"/>
    <s v="MMR001D001"/>
    <x v="1"/>
    <s v="MMR001002"/>
    <s v="Mai Na"/>
    <s v="MMR001002006"/>
    <s v="Mai Na"/>
    <n v="165740"/>
    <x v="266"/>
    <x v="267"/>
    <x v="196"/>
    <n v="25.4118005797101"/>
    <n v="0"/>
    <n v="515"/>
    <n v="2775"/>
    <n v="5.3883495145631066"/>
    <x v="0"/>
    <x v="0"/>
    <x v="0"/>
    <x v="1"/>
    <x v="18"/>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15 Update population from KBC_x000a_25-Jun-2015 Update population. Data Source: KBC_x000a_Update population according to KBC data"/>
    <s v="Myitkyina Town"/>
    <n v="5.2238983299151851"/>
    <n v="2"/>
  </r>
  <r>
    <x v="0"/>
    <x v="0"/>
    <s v="MMR001"/>
    <s v="Myitkyina"/>
    <s v="MMR001D001"/>
    <x v="1"/>
    <s v="MMR001002"/>
    <s v="Waw Shung (Kan Paik Ti Sub-township)"/>
    <s v="MMR001002035"/>
    <s v="Shan Kyaing"/>
    <n v="165845"/>
    <x v="267"/>
    <x v="268"/>
    <x v="197"/>
    <n v="25.418084"/>
    <m/>
    <n v="183"/>
    <n v="1041"/>
    <n v="5.6885245901639347"/>
    <x v="0"/>
    <x v="0"/>
    <x v="0"/>
    <x v="1"/>
    <x v="10"/>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2015 Update population. Data Source: KBC_x000a_Changed NGCA to GCA. Source: Programme Unit."/>
    <s v="Kan Paik Ti Town"/>
    <n v="9.3609732231189877"/>
    <n v="2"/>
  </r>
  <r>
    <x v="0"/>
    <x v="0"/>
    <s v="MMR001"/>
    <s v="Myitkyina"/>
    <s v="MMR001D001"/>
    <x v="2"/>
    <s v="MMR001005"/>
    <s v="Hpa Re (Pang War Sub-township)"/>
    <s v="MMR001005026"/>
    <s v="Hpa Re Waw Jang"/>
    <n v="166355"/>
    <x v="268"/>
    <x v="269"/>
    <x v="198"/>
    <n v="25.754110000000001"/>
    <n v="2785"/>
    <n v="163"/>
    <n v="967"/>
    <n v="5.9325153374233128"/>
    <x v="1"/>
    <x v="0"/>
    <x v="0"/>
    <x v="3"/>
    <x v="6"/>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_x000a_2/Dec/2015. Population update. Data source: KBC_x000a_25-Jun-2015 Update population. Data Source: KBC_x000a_Update population according to KBC data"/>
    <s v="Pang War Town"/>
    <n v="19.834999342466848"/>
    <n v="4"/>
  </r>
  <r>
    <x v="0"/>
    <x v="1"/>
    <s v="MMR015"/>
    <s v="Muse"/>
    <s v="MMR015D002"/>
    <x v="17"/>
    <s v="MMR015011"/>
    <s v="Kar Lai Kone Hsar"/>
    <s v="MMR015011005"/>
    <m/>
    <m/>
    <x v="269"/>
    <x v="270"/>
    <x v="199"/>
    <n v="23.447111"/>
    <m/>
    <n v="105"/>
    <n v="642"/>
    <n v="6.1142857142857139"/>
    <x v="0"/>
    <x v="0"/>
    <x v="0"/>
    <x v="1"/>
    <x v="31"/>
    <x v="10"/>
    <s v="IP"/>
    <d v="2019-05-08T00:00:00"/>
    <s v="8/May/2019: Population update. Data source: KMSS_LSO_x000a_12/Feb/2019: Data Source: KMSS-LSO ( Camp status change to Camp from camp like setting as KMSS-LSO will be covering the camp as CMA_x000a_31/July/2018: Data Source (UNHCR-LSH)_x000a_6/June/2018: Data Source ( IRC, KMSS-Lsh)_x000a_11/Jul/2017: Updated from UNOCHA, visited on March 2017 _x000a_9/Nov/15. New added camp. Data source: UNHCR CCCM officer NSS mission 8-12 July 2015."/>
    <m/>
    <s v=""/>
    <s v=""/>
  </r>
  <r>
    <x v="1"/>
    <x v="1"/>
    <s v="MMR015"/>
    <s v="Kyaukme"/>
    <s v="MMR015D003"/>
    <x v="18"/>
    <s v="MMR015019"/>
    <m/>
    <m/>
    <m/>
    <m/>
    <x v="270"/>
    <x v="271"/>
    <x v="31"/>
    <m/>
    <m/>
    <n v="36"/>
    <n v="188"/>
    <n v="5.2222222222222223"/>
    <x v="0"/>
    <x v="0"/>
    <x v="3"/>
    <x v="0"/>
    <x v="37"/>
    <x v="8"/>
    <s v="IP"/>
    <d v="2018-08-31T00:00:00"/>
    <s v="No agency has visited since Jul/2016, KBC to follow up._x000a_25/Jul/2016: Added as new camp according to KBC data/ all the hh stayed temporarily and returned to VoO in 2016; source of information: cluster meeting 15 Aug 2018. Lashio, by Metta, KBC, KMSS-L"/>
    <s v=""/>
    <s v=""/>
    <s v=""/>
  </r>
  <r>
    <x v="1"/>
    <x v="1"/>
    <s v="MMR015"/>
    <s v="Muse"/>
    <s v="MMR015D002"/>
    <x v="16"/>
    <s v="MMR015010"/>
    <s v="Mong Wee"/>
    <s v="MMR015010036"/>
    <s v="Mong Wee"/>
    <n v="208469"/>
    <x v="271"/>
    <x v="272"/>
    <x v="200"/>
    <n v="23.611999999999998"/>
    <m/>
    <m/>
    <m/>
    <s v="NA"/>
    <x v="0"/>
    <x v="0"/>
    <x v="0"/>
    <x v="1"/>
    <x v="51"/>
    <x v="4"/>
    <s v="IP"/>
    <d v="2017-06-02T00:00:00"/>
    <s v="2/June/2017: Changed camp status as &quot;Closed&quot;. Data source: UNOCHA and confirmed by CCCM unit._x000a_25/Jul/2016: Added as new camp according to KBC data. Data was given by Jade"/>
    <s v=""/>
    <s v=""/>
    <s v=""/>
  </r>
  <r>
    <x v="0"/>
    <x v="0"/>
    <s v="MMR001"/>
    <s v="Bhamo"/>
    <s v="MMR001D003"/>
    <x v="3"/>
    <s v="MMR001010"/>
    <s v="Bhamo Town"/>
    <s v="MMR001010701"/>
    <s v="Nyaung Pin Ward"/>
    <s v="MMR001010701508"/>
    <x v="272"/>
    <x v="273"/>
    <x v="201"/>
    <n v="24.268292826086999"/>
    <m/>
    <n v="641"/>
    <n v="4027"/>
    <n v="6.282371294851794"/>
    <x v="0"/>
    <x v="0"/>
    <x v="0"/>
    <x v="0"/>
    <x v="1"/>
    <x v="7"/>
    <s v="IP"/>
    <d v="2019-05-08T00:00:00"/>
    <s v="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2015 Update population. Data Source: KBC_x000a_Population update: Source: Camp Profile Round 2."/>
    <s v="Bhamo Town"/>
    <n v="1.5797992800898704"/>
    <n v="1"/>
  </r>
  <r>
    <x v="0"/>
    <x v="0"/>
    <s v="MMR001"/>
    <s v="Myitkyina"/>
    <s v="MMR001D001"/>
    <x v="1"/>
    <s v="MMR001002"/>
    <s v="Nam Sang Yang"/>
    <s v="MMR001002024"/>
    <s v="Nam Sang Yang"/>
    <n v="165772"/>
    <x v="273"/>
    <x v="274"/>
    <x v="202"/>
    <n v="24.755253"/>
    <n v="316"/>
    <n v="1403"/>
    <n v="7165"/>
    <n v="5.1069137562366356"/>
    <x v="1"/>
    <x v="0"/>
    <x v="0"/>
    <x v="0"/>
    <x v="0"/>
    <x v="3"/>
    <s v="IP"/>
    <d v="2019-05-08T00:00:00"/>
    <s v="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16/Feb/2016. HH and Pop correction_x000a_28/Jan/2016. Population update. Data source: KBC 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Laiza town"/>
    <n v="1.7420415164460403"/>
    <n v="1"/>
  </r>
  <r>
    <x v="1"/>
    <x v="1"/>
    <s v="MMR015"/>
    <s v="Lashio"/>
    <s v="MMR015D001"/>
    <x v="21"/>
    <s v="MMR015002"/>
    <s v="Kawng Wein"/>
    <s v="MMR015002026"/>
    <s v="Kawng Wein"/>
    <n v="206395"/>
    <x v="274"/>
    <x v="275"/>
    <x v="203"/>
    <n v="23.353999999999999"/>
    <m/>
    <m/>
    <m/>
    <s v="NA"/>
    <x v="0"/>
    <x v="0"/>
    <x v="0"/>
    <x v="0"/>
    <x v="50"/>
    <x v="4"/>
    <s v="IP"/>
    <d v="2017-07-11T00:00:00"/>
    <s v="11/Jul/2017: Camp status change into closed. KBC said Camp will be combine with Nam Sa Larp. DATA Source: KBC_x000a_25/Jul/2016: Added as new camp according to KBC data. Data was given by Jade"/>
    <s v=""/>
    <s v=""/>
    <s v=""/>
  </r>
  <r>
    <x v="0"/>
    <x v="0"/>
    <s v="MMR001"/>
    <s v="Mohnyin"/>
    <s v="MMR001D002"/>
    <x v="9"/>
    <s v="MMR001007"/>
    <s v="Nam Mun"/>
    <s v="MMR001007016"/>
    <s v="Inn Thar"/>
    <n v="166592"/>
    <x v="275"/>
    <x v="276"/>
    <x v="74"/>
    <n v="24.998349999999999"/>
    <m/>
    <n v="26"/>
    <n v="117"/>
    <n v="4.5"/>
    <x v="0"/>
    <x v="0"/>
    <x v="0"/>
    <x v="1"/>
    <x v="7"/>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Population update. Source: KBC._x000a_25-Jun-15 Population update. Source: KBC_x000a_Update population according to KBC data"/>
    <s v="Hopin Town"/>
    <n v="16.668825701583572"/>
    <n v="4"/>
  </r>
  <r>
    <x v="1"/>
    <x v="1"/>
    <s v="MMR015"/>
    <s v="Kyaukme"/>
    <s v="MMR015D003"/>
    <x v="19"/>
    <s v="MMR015015"/>
    <s v="Namtu Town"/>
    <s v="MMR015015701"/>
    <s v="Namtu Ward"/>
    <s v="MMR015015701501"/>
    <x v="276"/>
    <x v="277"/>
    <x v="193"/>
    <n v="23.099304"/>
    <m/>
    <m/>
    <m/>
    <s v="NA"/>
    <x v="0"/>
    <x v="0"/>
    <x v="0"/>
    <x v="0"/>
    <x v="11"/>
    <x v="4"/>
    <s v="IP"/>
    <d v="2017-06-02T00:00:00"/>
    <s v="2/June/2017: Changed camp status as &quot;Closed&quot; according to UNHCR_Lashio information._x000a_17-01-2017: New added camp. Missing data will be collected from partners and present in next Report."/>
    <s v=""/>
    <s v=""/>
    <s v=""/>
  </r>
  <r>
    <x v="1"/>
    <x v="1"/>
    <s v="MMR015"/>
    <s v="Kyaukme"/>
    <s v="MMR015D003"/>
    <x v="19"/>
    <s v="MMR015015"/>
    <s v="Namtu Town"/>
    <s v="MMR015015701"/>
    <s v="Namtu Ward"/>
    <s v="MMR015015701501"/>
    <x v="277"/>
    <x v="278"/>
    <x v="31"/>
    <m/>
    <m/>
    <n v="13"/>
    <n v="45"/>
    <n v="3.4615384615384617"/>
    <x v="0"/>
    <x v="0"/>
    <x v="3"/>
    <x v="0"/>
    <x v="11"/>
    <x v="4"/>
    <s v="IP"/>
    <d v="2017-01-17T00:00:00"/>
    <s v="Closed as of 1st of September 2017"/>
    <s v=""/>
    <s v=""/>
    <s v=""/>
  </r>
  <r>
    <x v="1"/>
    <x v="1"/>
    <s v="MMR015"/>
    <s v="Kyaukme"/>
    <s v="MMR015D003"/>
    <x v="19"/>
    <s v="MMR015015"/>
    <s v="Namtu Town"/>
    <s v="MMR015015701"/>
    <s v="Namtu Ward"/>
    <s v="MMR015015701501"/>
    <x v="278"/>
    <x v="279"/>
    <x v="31"/>
    <m/>
    <m/>
    <m/>
    <m/>
    <s v="NA"/>
    <x v="0"/>
    <x v="0"/>
    <x v="0"/>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1"/>
    <x v="1"/>
    <s v="MMR015"/>
    <s v="Kyaukme"/>
    <s v="MMR015D003"/>
    <x v="19"/>
    <s v="MMR015015"/>
    <s v="Namtu Town"/>
    <s v="MMR015015701"/>
    <s v="Namtu Ward"/>
    <s v="MMR015015701501"/>
    <x v="279"/>
    <x v="280"/>
    <x v="31"/>
    <m/>
    <m/>
    <m/>
    <m/>
    <s v="NA"/>
    <x v="0"/>
    <x v="0"/>
    <x v="0"/>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0"/>
    <x v="0"/>
    <s v="MMR001"/>
    <s v="Bhamo"/>
    <s v="MMR001D003"/>
    <x v="5"/>
    <s v="MMR001013"/>
    <s v="Maing Khaung"/>
    <s v="MMR001013007"/>
    <s v="Maing Khaung"/>
    <n v="167301"/>
    <x v="280"/>
    <x v="281"/>
    <x v="204"/>
    <n v="23.972453000000002"/>
    <n v="466"/>
    <n v="432"/>
    <n v="2528"/>
    <n v="5.8518518518518521"/>
    <x v="0"/>
    <x v="0"/>
    <x v="0"/>
    <x v="1"/>
    <x v="24"/>
    <x v="7"/>
    <s v="IP"/>
    <d v="2019-05-08T00:00:00"/>
    <s v="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Mansi Town"/>
    <n v="17.731070777343263"/>
    <n v="4"/>
  </r>
  <r>
    <x v="1"/>
    <x v="1"/>
    <s v="MMR015"/>
    <s v="Muse"/>
    <s v="MMR015D002"/>
    <x v="20"/>
    <s v="MMR015009"/>
    <s v="Muse Town"/>
    <s v="MMR015009701"/>
    <s v="Ho Mun Ward"/>
    <s v="MMR015009701504"/>
    <x v="281"/>
    <x v="282"/>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Myauk Ward"/>
    <s v="MMR015009701505"/>
    <x v="282"/>
    <x v="283"/>
    <x v="31"/>
    <m/>
    <m/>
    <m/>
    <m/>
    <s v="NA"/>
    <x v="0"/>
    <x v="0"/>
    <x v="0"/>
    <x v="0"/>
    <x v="11"/>
    <x v="4"/>
    <m/>
    <d v="2017-01-17T00:00:00"/>
    <s v="17-01-2017: New added camp. Missing data will be collected from partners and present in next Report."/>
    <s v=""/>
    <s v=""/>
    <s v=""/>
  </r>
  <r>
    <x v="1"/>
    <x v="1"/>
    <s v="MMR015"/>
    <s v="Muse"/>
    <s v="MMR015D002"/>
    <x v="20"/>
    <s v="MMR015009"/>
    <s v="Muse Town"/>
    <s v="MMR015009701"/>
    <s v="Taung Ward"/>
    <s v="MMR015009701503"/>
    <x v="283"/>
    <x v="284"/>
    <x v="31"/>
    <m/>
    <m/>
    <m/>
    <m/>
    <s v="NA"/>
    <x v="0"/>
    <x v="0"/>
    <x v="0"/>
    <x v="0"/>
    <x v="11"/>
    <x v="4"/>
    <m/>
    <d v="2017-01-17T00:00:00"/>
    <s v="17-01-2017: New added camp. Missing data will be collected from partners and present in next Report."/>
    <s v=""/>
    <s v=""/>
    <s v=""/>
  </r>
  <r>
    <x v="1"/>
    <x v="1"/>
    <s v="MMR015"/>
    <s v="Muse"/>
    <s v="MMR015D002"/>
    <x v="20"/>
    <s v="MMR015009"/>
    <m/>
    <m/>
    <m/>
    <m/>
    <x v="284"/>
    <x v="285"/>
    <x v="31"/>
    <m/>
    <m/>
    <m/>
    <m/>
    <s v="NA"/>
    <x v="0"/>
    <x v="0"/>
    <x v="0"/>
    <x v="2"/>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Swei Taw Ward"/>
    <s v="MMR015009701507"/>
    <x v="285"/>
    <x v="286"/>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Nam Pang"/>
    <s v="MMR015009001"/>
    <s v="Nam Hkon"/>
    <n v="208003"/>
    <x v="286"/>
    <x v="287"/>
    <x v="31"/>
    <m/>
    <m/>
    <m/>
    <m/>
    <s v="NA"/>
    <x v="0"/>
    <x v="0"/>
    <x v="0"/>
    <x v="1"/>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Ho Mun Ward"/>
    <s v="MMR015009701504"/>
    <x v="287"/>
    <x v="288"/>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m/>
    <m/>
    <x v="288"/>
    <x v="289"/>
    <x v="31"/>
    <m/>
    <m/>
    <m/>
    <m/>
    <s v="NA"/>
    <x v="0"/>
    <x v="0"/>
    <x v="0"/>
    <x v="2"/>
    <x v="11"/>
    <x v="4"/>
    <m/>
    <d v="2017-01-17T00:00:00"/>
    <s v="17-01-2017: New added camp. Missing data will be collected from partners and present in next Report."/>
    <s v=""/>
    <s v=""/>
    <s v=""/>
  </r>
  <r>
    <x v="1"/>
    <x v="1"/>
    <s v="MMR015"/>
    <s v="Muse"/>
    <s v="MMR015D002"/>
    <x v="20"/>
    <s v="MMR015009"/>
    <s v="Muse Town"/>
    <s v="MMR015009701"/>
    <s v="Ho Mun Ward"/>
    <s v="MMR015009701504"/>
    <x v="289"/>
    <x v="290"/>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Ho Mun Ward"/>
    <s v="MMR015009701504"/>
    <x v="290"/>
    <x v="291"/>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m/>
    <m/>
    <m/>
    <m/>
    <x v="291"/>
    <x v="292"/>
    <x v="31"/>
    <m/>
    <m/>
    <m/>
    <m/>
    <s v="NA"/>
    <x v="0"/>
    <x v="0"/>
    <x v="0"/>
    <x v="2"/>
    <x v="11"/>
    <x v="4"/>
    <s v="IP"/>
    <d v="2017-04-06T00:00:00"/>
    <s v="6/Apr/2017: Changed camp status as &quot;closed&quot;. Data source: CCCM_UNHCR, comfirmed by partners (KBC)_x000a_17-01-2017: New added camp. Missing data will be collected from partners and present in next Report."/>
    <s v=""/>
    <s v=""/>
    <s v=""/>
  </r>
  <r>
    <x v="0"/>
    <x v="0"/>
    <s v="MMR001"/>
    <s v="Myitkyina"/>
    <s v="MMR001D001"/>
    <x v="1"/>
    <s v="MMR001002"/>
    <s v="Sa Ma"/>
    <s v="MMR001002031"/>
    <s v="Par Jaung"/>
    <n v="165792"/>
    <x v="292"/>
    <x v="293"/>
    <x v="31"/>
    <m/>
    <m/>
    <n v="398"/>
    <n v="1834"/>
    <n v="4.608040201005025"/>
    <x v="1"/>
    <x v="0"/>
    <x v="0"/>
    <x v="1"/>
    <x v="55"/>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6/June/2017: Added as new camp instead of Zai Awng - Mung Ga Zup camp because of the conflict on Dec, 2016. So IDPs ( from Zai Awng - Mung Ga Zup ) flew to Lung Byen. They stay awhile at Lung Byen and then they moved to Shait Yang on 17 Jan 2017. Changed the camp name as &quot;Shait Yan"/>
    <s v="Waingmaw Town"/>
    <n v="0"/>
    <n v="1"/>
  </r>
  <r>
    <x v="0"/>
    <x v="0"/>
    <s v="MMR001"/>
    <s v="Mohnyin"/>
    <s v="MMR001D002"/>
    <x v="8"/>
    <s v="MMR001008"/>
    <s v="Lan Gwa"/>
    <s v="MMR001008036"/>
    <s v="Lan Gwa"/>
    <n v="166765"/>
    <x v="293"/>
    <x v="294"/>
    <x v="205"/>
    <n v="25.383465999999999"/>
    <m/>
    <n v="76"/>
    <n v="381"/>
    <n v="5.0131578947368425"/>
    <x v="0"/>
    <x v="0"/>
    <x v="0"/>
    <x v="0"/>
    <x v="39"/>
    <x v="3"/>
    <s v="IP"/>
    <d v="2019-05-08T00:00:00"/>
    <s v="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8"/>
    <s v="MMR001008"/>
    <s v="Nammatee Town"/>
    <s v="MMR001008702"/>
    <s v="Myo Ma Ward"/>
    <s v="MMR001008702501"/>
    <x v="294"/>
    <x v="295"/>
    <x v="31"/>
    <m/>
    <m/>
    <n v="6"/>
    <n v="32"/>
    <n v="5.333333333333333"/>
    <x v="0"/>
    <x v="0"/>
    <x v="3"/>
    <x v="0"/>
    <x v="39"/>
    <x v="8"/>
    <s v="IP"/>
    <d v="2018-08-31T00:00:00"/>
    <s v="31/August /2018: Population update. Data source: KMSS M;Remaining IDPs voluntarily moved to PaMaTi area_x000a_30/June /2018: Population update. Data source: UNHCR/Cluster partners_x000a_30/May/2018: Population update. Data source: UNHCR/Cluster partners_x000a_21/May/2018: Added as new camp. Data source: MIRA (Multi Sector Assessment Team)"/>
    <s v="Panmatee Town"/>
    <n v="0.4"/>
    <n v="1"/>
  </r>
  <r>
    <x v="0"/>
    <x v="0"/>
    <s v="MMR001"/>
    <s v="Myitkyina"/>
    <s v="MMR001D001"/>
    <x v="0"/>
    <s v="MMR001001"/>
    <s v="Nawng Nang"/>
    <s v="MMR001001002"/>
    <s v="Ka War Hka"/>
    <n v="165682"/>
    <x v="295"/>
    <x v="296"/>
    <x v="206"/>
    <n v="25.480989999999998"/>
    <m/>
    <n v="205"/>
    <n v="960"/>
    <n v="4.6829268292682924"/>
    <x v="0"/>
    <x v="0"/>
    <x v="0"/>
    <x v="0"/>
    <x v="39"/>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 Trinity KBC Church) change to Trinity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Myitkyina Town"/>
    <n v="8"/>
    <n v="2"/>
  </r>
  <r>
    <x v="0"/>
    <x v="0"/>
    <s v="MMR001"/>
    <s v="Mohnyin"/>
    <s v="MMR001D002"/>
    <x v="10"/>
    <s v="MMR001009"/>
    <s v="La War"/>
    <s v="MMR001009006"/>
    <s v="La Wa"/>
    <n v="166808"/>
    <x v="296"/>
    <x v="297"/>
    <x v="31"/>
    <m/>
    <m/>
    <n v="47"/>
    <n v="218"/>
    <n v="4.6382978723404253"/>
    <x v="0"/>
    <x v="0"/>
    <x v="0"/>
    <x v="1"/>
    <x v="11"/>
    <x v="3"/>
    <m/>
    <d v="2019-05-08T00:00:00"/>
    <s v="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30/May/2018: Added as new camp"/>
    <s v="Kamaing Town"/>
    <n v="10"/>
    <n v="3"/>
  </r>
  <r>
    <x v="0"/>
    <x v="0"/>
    <s v="MMR001"/>
    <s v="Waignmaw"/>
    <s v="MMR001D001"/>
    <x v="1"/>
    <s v="MMR001002"/>
    <s v="Waingmaw Town"/>
    <s v="MMR001002701"/>
    <s v="No (1) Ward"/>
    <s v="MMR001002701501"/>
    <x v="297"/>
    <x v="298"/>
    <x v="31"/>
    <m/>
    <m/>
    <n v="79"/>
    <n v="350"/>
    <n v="4.4303797468354427"/>
    <x v="0"/>
    <x v="0"/>
    <x v="0"/>
    <x v="0"/>
    <x v="41"/>
    <x v="0"/>
    <s v="IP"/>
    <d v="2019-05-08T00:00:00"/>
    <s v="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change Bethela KBC church to  Waimaw Baptist Zonal Offie 2 As per KBC email sent on Thu 7/5/2018 5:47 PM by PC KBC- HDD _x000a_30/June /2018: Population update. Data source: UNHCR/Cluster partners_x000a__x000a_30/May/2018: Population update. Data source: UNHCR/Cluster partners_x000a_30/May/2018: Added as new camp"/>
    <s v="Waingmaw Town"/>
    <n v="0"/>
    <n v="1"/>
  </r>
  <r>
    <x v="3"/>
    <x v="0"/>
    <s v="MMR001"/>
    <s v="Myitkyina"/>
    <s v="MMR001D001"/>
    <x v="1"/>
    <s v="MMR001002"/>
    <s v="Mai Na"/>
    <s v="MMR001002006"/>
    <s v="Mai Na"/>
    <n v="165740"/>
    <x v="298"/>
    <x v="299"/>
    <x v="25"/>
    <n v="25.415667500000001"/>
    <m/>
    <n v="95"/>
    <n v="499"/>
    <n v="5.2526315789473683"/>
    <x v="0"/>
    <x v="1"/>
    <x v="7"/>
    <x v="0"/>
    <x v="42"/>
    <x v="4"/>
    <m/>
    <d v="2018-07-09T00:00:00"/>
    <s v="09/July/2018: Added as new site. Population figure as of joint assessment report (estimated)"/>
    <s v="Myitkyina Town"/>
    <n v="6"/>
    <n v="2"/>
  </r>
  <r>
    <x v="0"/>
    <x v="1"/>
    <s v="MMR015"/>
    <s v="Muse"/>
    <s v="MMR015D002"/>
    <x v="17"/>
    <s v="MMR015011"/>
    <s v="Mong Yu"/>
    <s v="MMR015011030"/>
    <s v="Mong Yu"/>
    <n v="208747"/>
    <x v="299"/>
    <x v="300"/>
    <x v="207"/>
    <n v="23.591999999999999"/>
    <m/>
    <n v="66"/>
    <n v="346"/>
    <n v="5.2424242424242422"/>
    <x v="0"/>
    <x v="0"/>
    <x v="0"/>
    <x v="1"/>
    <x v="56"/>
    <x v="10"/>
    <s v="IP"/>
    <d v="2019-05-08T00:00:00"/>
    <s v="8/May/2019: Population update. Data source: KMSS_LSO_x000a_12/Feb/2019: Population update. Data source: KMSS_Lashio_x000a_12/Feb/2019: Population update. Data source: KMSS-LSH ( CMA changed from KBC to KMSS-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and Responsible agency update. Data source: KBC._x000a_10/Jan/2017: Population update. Data source: KBC_x000a_18/Jul/2016: Added as new camp according to KBC_Brang Mai."/>
    <m/>
    <s v=""/>
    <s v=""/>
  </r>
  <r>
    <x v="3"/>
    <x v="0"/>
    <m/>
    <m/>
    <m/>
    <x v="5"/>
    <m/>
    <m/>
    <m/>
    <m/>
    <m/>
    <x v="300"/>
    <x v="264"/>
    <x v="31"/>
    <m/>
    <m/>
    <n v="86"/>
    <n v="450"/>
    <n v="5.2325581395348841"/>
    <x v="0"/>
    <x v="1"/>
    <x v="7"/>
    <x v="4"/>
    <x v="11"/>
    <x v="4"/>
    <m/>
    <m/>
    <m/>
    <s v=""/>
    <s v=""/>
    <s v=""/>
  </r>
  <r>
    <x v="0"/>
    <x v="1"/>
    <s v="MMR015"/>
    <s v="Muse"/>
    <s v="MMR015D002"/>
    <x v="17"/>
    <s v="MMR015011"/>
    <s v="Pang Kai Pang Lawt"/>
    <s v="MMR015011029"/>
    <m/>
    <m/>
    <x v="301"/>
    <x v="301"/>
    <x v="31"/>
    <m/>
    <m/>
    <n v="32"/>
    <n v="150"/>
    <n v="4.6875"/>
    <x v="0"/>
    <x v="0"/>
    <x v="0"/>
    <x v="1"/>
    <x v="57"/>
    <x v="10"/>
    <s v="IP"/>
    <d v="2019-05-08T00:00:00"/>
    <s v="8/May/2019: Population update. Data source: KMSS_LSO_x000a_12/Feb/2019: Data Source: KMSS-LSO ( Camp status change to Camp from camp like setting as KMSS-LSO will be covering the camp as CMA_x000a_1/November/2018: Data Source: UNHCR-LSH and Partners_x000a_IDPs relocated from  Mai Yu Lay New (Ta'ang) ( MMR015CMP220) "/>
    <s v=""/>
    <s v=""/>
    <s v=""/>
  </r>
  <r>
    <x v="0"/>
    <x v="0"/>
    <s v="MMR001"/>
    <s v="Puta-O"/>
    <s v="MMR001D004"/>
    <x v="13"/>
    <s v="MMR001015"/>
    <m/>
    <m/>
    <s v="Hka Ka Ran Yang"/>
    <s v="MMR001015030"/>
    <x v="302"/>
    <x v="299"/>
    <x v="208"/>
    <n v="26.299828999999999"/>
    <m/>
    <n v="29"/>
    <n v="140"/>
    <n v="4.8275862068965516"/>
    <x v="0"/>
    <x v="0"/>
    <x v="3"/>
    <x v="1"/>
    <x v="58"/>
    <x v="8"/>
    <s v="IP"/>
    <d v="2019-04-08T00:00:00"/>
    <s v="8/April/2019: Population update. Data source: KMSS-M and Cluster ; 19 families displaced in 2016 and 10 families displaced in November 2018"/>
    <s v="Sumprabum Town"/>
    <m/>
    <m/>
  </r>
  <r>
    <x v="0"/>
    <x v="0"/>
    <s v="MMR001"/>
    <s v="Bhamo"/>
    <s v="MMR001D003"/>
    <x v="6"/>
    <s v="MMR001011"/>
    <m/>
    <m/>
    <s v="Pan Khun Yang"/>
    <s v="MMR001011034"/>
    <x v="303"/>
    <x v="302"/>
    <x v="31"/>
    <m/>
    <m/>
    <n v="361"/>
    <n v="1397"/>
    <n v="3.8698060941828256"/>
    <x v="1"/>
    <x v="0"/>
    <x v="3"/>
    <x v="1"/>
    <x v="59"/>
    <x v="8"/>
    <m/>
    <d v="2019-04-30T00:00:00"/>
    <s v="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_x000a_fled in early of 2012 because of Arm Clashed between KIO and Burmese Millitary.They are still at the forest area of near their origin village as the mobile IDPs until now"/>
    <s v="Shwegu Town"/>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PivotTable2" cacheId="24"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location ref="Q11:R32" firstHeaderRow="1" firstDataRow="1" firstDataCol="1" rowPageCount="2" colPageCount="1"/>
  <pivotFields count="31">
    <pivotField axis="axisPage" multipleItemSelectionAllowed="1" showAll="0">
      <items count="5">
        <item h="1" x="1"/>
        <item x="0"/>
        <item h="1" x="3"/>
        <item h="1" x="2"/>
        <item t="default"/>
      </items>
    </pivotField>
    <pivotField axis="axisPage" subtotalTop="0" multipleItemSelectionAllowed="1" showAll="0">
      <items count="4">
        <item x="0"/>
        <item x="1"/>
        <item x="2"/>
        <item t="default"/>
      </items>
    </pivotField>
    <pivotField showAll="0" defaultSubtotal="0"/>
    <pivotField showAll="0" defaultSubtotal="0"/>
    <pivotField showAll="0" defaultSubtotal="0"/>
    <pivotField axis="axisRow" showAll="0" sortType="ascending" defaultSubtotal="0">
      <items count="24">
        <item x="3"/>
        <item x="2"/>
        <item x="10"/>
        <item x="21"/>
        <item x="22"/>
        <item x="12"/>
        <item x="11"/>
        <item x="17"/>
        <item x="14"/>
        <item x="5"/>
        <item x="18"/>
        <item x="8"/>
        <item x="9"/>
        <item x="4"/>
        <item x="20"/>
        <item x="0"/>
        <item x="16"/>
        <item x="19"/>
        <item x="7"/>
        <item x="6"/>
        <item x="13"/>
        <item x="15"/>
        <item x="1"/>
        <item x="2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2">
    <pageField fld="1" hier="-1"/>
    <pageField fld="0" hier="-1"/>
  </pageFields>
  <dataFields count="1">
    <dataField name="Population" fld="17" baseField="5" baseItem="22"/>
  </dataFields>
  <formats count="5">
    <format dxfId="931">
      <pivotArea type="all" dataOnly="0" outline="0" fieldPosition="0"/>
    </format>
    <format dxfId="930">
      <pivotArea field="1" type="button" dataOnly="0" labelOnly="1" outline="0" axis="axisPage" fieldPosition="0"/>
    </format>
    <format dxfId="929">
      <pivotArea dataOnly="0" labelOnly="1" outline="0" fieldPosition="0">
        <references count="1">
          <reference field="4294967294" count="1">
            <x v="0"/>
          </reference>
        </references>
      </pivotArea>
    </format>
    <format dxfId="928">
      <pivotArea grandRow="1" outline="0" collapsedLevelsAreSubtotals="1" fieldPosition="0"/>
    </format>
    <format dxfId="927">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3" firstHeaderRow="1" firstDataRow="1" firstDataCol="4" rowPageCount="1" colPageCount="1"/>
  <pivotFields count="24">
    <pivotField compact="0" outline="0" showAll="0" defaultSubtotal="0"/>
    <pivotField axis="axisRow" compact="0" outline="0" showAll="0" defaultSubtotal="0">
      <items count="18">
        <item h="1" x="10"/>
        <item h="1" x="13"/>
        <item h="1" x="8"/>
        <item h="1" x="15"/>
        <item h="1" x="0"/>
        <item h="1" x="14"/>
        <item h="1" x="11"/>
        <item h="1" x="5"/>
        <item x="6"/>
        <item h="1" x="17"/>
        <item h="1" x="7"/>
        <item h="1" x="2"/>
        <item h="1" x="4"/>
        <item h="1" x="9"/>
        <item h="1" x="12"/>
        <item h="1" x="16"/>
        <item h="1" x="3"/>
        <item h="1" x="1"/>
      </items>
    </pivotField>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10"/>
        <item x="111"/>
        <item x="84"/>
        <item x="68"/>
        <item x="20"/>
        <item x="66"/>
        <item x="67"/>
        <item x="23"/>
        <item x="27"/>
        <item x="24"/>
        <item x="6"/>
        <item x="112"/>
        <item x="42"/>
        <item x="75"/>
        <item x="37"/>
        <item x="85"/>
        <item x="100"/>
        <item x="56"/>
        <item x="113"/>
        <item x="43"/>
        <item x="115"/>
        <item x="53"/>
        <item x="116"/>
        <item x="118"/>
        <item x="119"/>
        <item x="101"/>
        <item x="102"/>
        <item x="86"/>
        <item x="32"/>
        <item x="103"/>
        <item x="55"/>
        <item x="26"/>
        <item x="28"/>
        <item x="69"/>
        <item x="29"/>
        <item x="104"/>
        <item x="74"/>
        <item x="34"/>
        <item x="124"/>
        <item x="1"/>
        <item x="125"/>
        <item x="126"/>
        <item x="87"/>
        <item x="0"/>
        <item x="3"/>
        <item x="45"/>
        <item x="50"/>
        <item x="127"/>
        <item x="105"/>
        <item x="76"/>
        <item x="106"/>
        <item x="107"/>
        <item x="30"/>
        <item x="128"/>
        <item x="5"/>
        <item x="108"/>
        <item x="77"/>
        <item x="129"/>
        <item x="31"/>
        <item x="21"/>
        <item x="89"/>
        <item x="80"/>
        <item x="131"/>
        <item x="109"/>
        <item x="132"/>
        <item x="78"/>
        <item x="110"/>
        <item x="114"/>
        <item x="117"/>
        <item x="134"/>
        <item x="71"/>
        <item x="120"/>
        <item x="18"/>
        <item x="135"/>
        <item x="121"/>
        <item x="122"/>
        <item x="72"/>
        <item x="123"/>
        <item x="90"/>
        <item x="51"/>
        <item x="91"/>
        <item x="7"/>
        <item x="33"/>
        <item x="2"/>
        <item x="16"/>
        <item x="17"/>
        <item x="81"/>
        <item x="52"/>
        <item x="25"/>
        <item x="46"/>
        <item x="79"/>
        <item x="12"/>
        <item x="92"/>
        <item x="9"/>
        <item x="136"/>
        <item x="98"/>
        <item x="35"/>
        <item x="58"/>
        <item x="40"/>
        <item x="137"/>
        <item x="138"/>
        <item x="59"/>
        <item x="139"/>
        <item x="93"/>
        <item x="47"/>
        <item x="141"/>
        <item x="48"/>
        <item x="49"/>
        <item x="73"/>
        <item x="142"/>
        <item x="94"/>
        <item x="140"/>
        <item x="143"/>
        <item x="99"/>
        <item x="144"/>
        <item x="95"/>
        <item x="145"/>
        <item x="96"/>
        <item x="146"/>
        <item x="147"/>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72"/>
        <item x="140"/>
        <item x="73"/>
        <item x="94"/>
        <item x="45"/>
        <item x="3"/>
        <item x="40"/>
        <item x="27"/>
        <item x="9"/>
        <item x="29"/>
        <item x="15"/>
        <item x="78"/>
        <item x="113"/>
        <item x="96"/>
        <item x="135"/>
        <item x="93"/>
        <item x="80"/>
        <item x="131"/>
        <item x="128"/>
        <item x="91"/>
        <item x="76"/>
        <item x="126"/>
        <item x="77"/>
        <item x="137"/>
        <item x="138"/>
        <item x="74"/>
        <item x="34"/>
        <item x="104"/>
        <item x="33"/>
        <item x="35"/>
        <item x="108"/>
        <item x="102"/>
        <item x="122"/>
        <item x="139"/>
        <item x="90"/>
        <item x="89"/>
        <item x="129"/>
        <item x="121"/>
        <item x="145"/>
        <item x="23"/>
        <item x="20"/>
        <item x="37"/>
        <item x="95"/>
        <item x="125"/>
        <item x="53"/>
        <item x="56"/>
        <item x="42"/>
        <item x="16"/>
        <item x="32"/>
        <item x="66"/>
        <item x="51"/>
        <item x="30"/>
        <item x="107"/>
        <item x="124"/>
        <item x="123"/>
        <item x="52"/>
        <item x="2"/>
        <item x="69"/>
        <item x="84"/>
        <item x="24"/>
        <item x="22"/>
        <item x="83"/>
        <item x="28"/>
        <item x="92"/>
        <item x="98"/>
        <item x="99"/>
        <item x="143"/>
        <item x="68"/>
        <item x="10"/>
        <item x="85"/>
        <item x="71"/>
        <item x="81"/>
        <item x="111"/>
        <item x="26"/>
        <item x="86"/>
        <item x="132"/>
        <item x="134"/>
        <item x="17"/>
        <item x="50"/>
        <item x="127"/>
        <item x="142"/>
        <item x="67"/>
        <item x="114"/>
        <item x="110"/>
        <item x="109"/>
        <item x="117"/>
        <item x="5"/>
        <item x="100"/>
        <item x="120"/>
        <item x="116"/>
        <item x="118"/>
        <item x="11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9"/>
  </rowFields>
  <rowItems count="20">
    <i>
      <x v="8"/>
      <x/>
      <x v="21"/>
      <x v="41"/>
    </i>
    <i r="2">
      <x v="37"/>
      <x v="38"/>
    </i>
    <i r="2">
      <x v="89"/>
      <x v="100"/>
    </i>
    <i r="2">
      <x v="96"/>
      <x v="37"/>
    </i>
    <i r="2">
      <x v="120"/>
      <x v="42"/>
    </i>
    <i r="1">
      <x v="3"/>
      <x v="26"/>
      <x v="119"/>
    </i>
    <i r="2">
      <x v="27"/>
      <x v="120"/>
    </i>
    <i r="2">
      <x v="129"/>
      <x v="127"/>
    </i>
    <i r="1">
      <x v="4"/>
      <x v="54"/>
      <x v="81"/>
    </i>
    <i r="2">
      <x v="59"/>
      <x v="51"/>
    </i>
    <i r="1">
      <x v="8"/>
      <x v="52"/>
      <x v="49"/>
    </i>
    <i r="2">
      <x v="64"/>
      <x v="45"/>
    </i>
    <i r="1">
      <x v="9"/>
      <x v="125"/>
      <x v="123"/>
    </i>
    <i r="2">
      <x v="126"/>
      <x v="124"/>
    </i>
    <i r="2">
      <x v="139"/>
      <x v="137"/>
    </i>
    <i r="1">
      <x v="11"/>
      <x v="127"/>
      <x v="125"/>
    </i>
    <i r="2">
      <x v="128"/>
      <x v="126"/>
    </i>
    <i r="1">
      <x v="13"/>
      <x v="102"/>
      <x v="52"/>
    </i>
    <i r="1">
      <x v="14"/>
      <x v="118"/>
      <x v="71"/>
    </i>
    <i r="1">
      <x v="16"/>
      <x v="135"/>
      <x v="133"/>
    </i>
  </rowItems>
  <colItems count="1">
    <i/>
  </colItems>
  <pageFields count="1">
    <pageField fld="20"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7" cacheId="24" applyNumberFormats="0" applyBorderFormats="0" applyFontFormats="0" applyPatternFormats="0" applyAlignmentFormats="0" applyWidthHeightFormats="1" dataCaption="Values" updatedVersion="5" minRefreshableVersion="3" showDrill="0" showDataTips="0" itemPrintTitles="1" createdVersion="4" indent="0" compact="0" compactData="0" multipleFieldFilters="0">
  <location ref="B8:I200" firstHeaderRow="0" firstDataRow="1" firstDataCol="6" rowPageCount="2" colPageCount="1"/>
  <pivotFields count="31">
    <pivotField axis="axisPage" compact="0" outline="0" multipleItemSelectionAllowed="1" showAll="0">
      <items count="5">
        <item h="1" x="1"/>
        <item x="0"/>
        <item h="1" x="3"/>
        <item h="1" x="2"/>
        <item t="default"/>
      </items>
    </pivotField>
    <pivotField axis="axisRow" compact="0" outline="0" showAll="0">
      <items count="4">
        <item x="0"/>
        <item x="1"/>
        <item x="2"/>
        <item t="default"/>
      </items>
    </pivotField>
    <pivotField compact="0" outline="0" showAll="0" defaultSubtotal="0"/>
    <pivotField compact="0" outline="0" showAll="0"/>
    <pivotField compact="0" outline="0" showAll="0" defaultSubtotal="0"/>
    <pivotField axis="axisRow" compact="0" outline="0" showAll="0">
      <items count="25">
        <item x="3"/>
        <item x="2"/>
        <item x="10"/>
        <item x="21"/>
        <item x="12"/>
        <item x="11"/>
        <item x="17"/>
        <item x="14"/>
        <item x="5"/>
        <item x="18"/>
        <item x="8"/>
        <item x="9"/>
        <item x="4"/>
        <item x="20"/>
        <item x="0"/>
        <item x="16"/>
        <item x="19"/>
        <item x="7"/>
        <item x="6"/>
        <item x="13"/>
        <item x="1"/>
        <item x="22"/>
        <item x="15"/>
        <item x="23"/>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304">
        <item x="139"/>
        <item x="147"/>
        <item x="123"/>
        <item x="37"/>
        <item x="130"/>
        <item x="135"/>
        <item x="141"/>
        <item x="144"/>
        <item x="138"/>
        <item x="86"/>
        <item x="179"/>
        <item x="180"/>
        <item x="178"/>
        <item x="128"/>
        <item x="154"/>
        <item x="140"/>
        <item x="107"/>
        <item x="75"/>
        <item x="112"/>
        <item x="74"/>
        <item x="82"/>
        <item x="35"/>
        <item x="131"/>
        <item x="129"/>
        <item x="106"/>
        <item x="148"/>
        <item x="153"/>
        <item x="259"/>
        <item x="43"/>
        <item x="24"/>
        <item x="76"/>
        <item x="118"/>
        <item x="136"/>
        <item x="155"/>
        <item x="165"/>
        <item x="243"/>
        <item x="253"/>
        <item x="268"/>
        <item x="103"/>
        <item x="39"/>
        <item x="158"/>
        <item x="181"/>
        <item x="13"/>
        <item x="15"/>
        <item x="99"/>
        <item x="45"/>
        <item x="156"/>
        <item x="247"/>
        <item x="227"/>
        <item x="228"/>
        <item x="10"/>
        <item x="67"/>
        <item x="71"/>
        <item x="168"/>
        <item x="42"/>
        <item x="109"/>
        <item x="117"/>
        <item x="127"/>
        <item x="264"/>
        <item x="11"/>
        <item x="149"/>
        <item x="132"/>
        <item x="122"/>
        <item x="36"/>
        <item x="59"/>
        <item x="53"/>
        <item x="58"/>
        <item x="124"/>
        <item x="101"/>
        <item x="185"/>
        <item x="22"/>
        <item x="85"/>
        <item x="61"/>
        <item x="27"/>
        <item x="25"/>
        <item x="266"/>
        <item x="265"/>
        <item x="280"/>
        <item x="12"/>
        <item x="48"/>
        <item x="7"/>
        <item x="176"/>
        <item x="177"/>
        <item x="60"/>
        <item x="164"/>
        <item x="115"/>
        <item x="114"/>
        <item x="111"/>
        <item x="55"/>
        <item x="225"/>
        <item x="231"/>
        <item x="49"/>
        <item x="88"/>
        <item x="87"/>
        <item x="90"/>
        <item x="92"/>
        <item x="93"/>
        <item x="89"/>
        <item x="94"/>
        <item x="91"/>
        <item x="16"/>
        <item x="17"/>
        <item x="100"/>
        <item x="84"/>
        <item x="81"/>
        <item x="80"/>
        <item x="70"/>
        <item x="83"/>
        <item x="146"/>
        <item x="46"/>
        <item x="54"/>
        <item x="245"/>
        <item x="239"/>
        <item x="205"/>
        <item x="169"/>
        <item x="223"/>
        <item x="251"/>
        <item x="145"/>
        <item x="38"/>
        <item x="14"/>
        <item x="47"/>
        <item x="125"/>
        <item x="222"/>
        <item x="218"/>
        <item x="220"/>
        <item x="254"/>
        <item x="236"/>
        <item x="255"/>
        <item x="244"/>
        <item x="224"/>
        <item x="170"/>
        <item x="173"/>
        <item x="126"/>
        <item x="137"/>
        <item x="226"/>
        <item x="258"/>
        <item x="20"/>
        <item x="44"/>
        <item x="72"/>
        <item x="77"/>
        <item x="256"/>
        <item x="68"/>
        <item x="184"/>
        <item x="29"/>
        <item x="275"/>
        <item x="78"/>
        <item x="79"/>
        <item x="113"/>
        <item x="56"/>
        <item x="1"/>
        <item x="63"/>
        <item x="120"/>
        <item x="108"/>
        <item x="159"/>
        <item x="96"/>
        <item x="142"/>
        <item x="62"/>
        <item x="119"/>
        <item x="28"/>
        <item x="21"/>
        <item x="26"/>
        <item x="23"/>
        <item x="133"/>
        <item x="272"/>
        <item x="102"/>
        <item x="151"/>
        <item x="98"/>
        <item x="64"/>
        <item x="5"/>
        <item x="6"/>
        <item x="267"/>
        <item x="50"/>
        <item x="51"/>
        <item x="8"/>
        <item x="183"/>
        <item x="69"/>
        <item x="186"/>
        <item x="157"/>
        <item x="52"/>
        <item x="104"/>
        <item x="57"/>
        <item x="0"/>
        <item x="3"/>
        <item x="2"/>
        <item x="4"/>
        <item x="30"/>
        <item x="95"/>
        <item x="175"/>
        <item x="65"/>
        <item x="34"/>
        <item x="33"/>
        <item x="152"/>
        <item x="134"/>
        <item x="273"/>
        <item x="41"/>
        <item x="143"/>
        <item x="19"/>
        <item x="40"/>
        <item x="73"/>
        <item x="167"/>
        <item x="230"/>
        <item x="160"/>
        <item x="161"/>
        <item x="188"/>
        <item x="190"/>
        <item x="232"/>
        <item x="233"/>
        <item x="163"/>
        <item x="235"/>
        <item x="166"/>
        <item x="234"/>
        <item x="171"/>
        <item x="237"/>
        <item x="195"/>
        <item x="32"/>
        <item x="31"/>
        <item x="110"/>
        <item x="97"/>
        <item x="18"/>
        <item x="105"/>
        <item x="182"/>
        <item x="238"/>
        <item x="199"/>
        <item x="187"/>
        <item x="201"/>
        <item x="189"/>
        <item x="191"/>
        <item x="204"/>
        <item x="269"/>
        <item x="206"/>
        <item x="271"/>
        <item x="241"/>
        <item x="240"/>
        <item x="270"/>
        <item x="274"/>
        <item x="246"/>
        <item x="207"/>
        <item x="192"/>
        <item x="209"/>
        <item x="193"/>
        <item x="194"/>
        <item x="276"/>
        <item x="277"/>
        <item x="278"/>
        <item x="279"/>
        <item x="248"/>
        <item x="281"/>
        <item x="282"/>
        <item x="283"/>
        <item x="284"/>
        <item x="285"/>
        <item x="286"/>
        <item x="287"/>
        <item x="288"/>
        <item x="289"/>
        <item x="290"/>
        <item x="291"/>
        <item x="249"/>
        <item x="250"/>
        <item x="252"/>
        <item x="257"/>
        <item x="196"/>
        <item x="292"/>
        <item x="197"/>
        <item x="261"/>
        <item x="216"/>
        <item x="202"/>
        <item x="9"/>
        <item x="203"/>
        <item x="66"/>
        <item x="219"/>
        <item x="221"/>
        <item x="262"/>
        <item x="208"/>
        <item x="242"/>
        <item x="229"/>
        <item x="299"/>
        <item x="210"/>
        <item x="293"/>
        <item x="294"/>
        <item x="212"/>
        <item x="214"/>
        <item x="296"/>
        <item x="215"/>
        <item x="217"/>
        <item x="200"/>
        <item x="211"/>
        <item x="295"/>
        <item x="298"/>
        <item x="297"/>
        <item x="213"/>
        <item x="198"/>
        <item x="263"/>
        <item x="300"/>
        <item x="260"/>
        <item x="301"/>
        <item x="116"/>
        <item x="121"/>
        <item x="150"/>
        <item x="162"/>
        <item x="172"/>
        <item x="174"/>
        <item x="302"/>
        <item x="303"/>
      </items>
    </pivotField>
    <pivotField axis="axisRow" compact="0" outline="0" showAll="0" defaultSubtotal="0">
      <items count="303">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219"/>
        <item x="237"/>
        <item x="221"/>
        <item x="223"/>
        <item x="240"/>
        <item x="224"/>
        <item x="225"/>
        <item x="226"/>
        <item x="244"/>
        <item x="245"/>
        <item x="246"/>
        <item x="227"/>
        <item x="248"/>
        <item x="228"/>
        <item x="229"/>
        <item x="230"/>
        <item x="252"/>
        <item x="231"/>
        <item x="254"/>
        <item x="255"/>
        <item x="256"/>
        <item x="257"/>
        <item x="232"/>
        <item x="259"/>
        <item x="260"/>
        <item x="261"/>
        <item x="161"/>
        <item x="189"/>
        <item x="162"/>
        <item x="191"/>
        <item x="163"/>
        <item x="233"/>
        <item x="234"/>
        <item x="235"/>
        <item x="164"/>
        <item x="236"/>
        <item x="167"/>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 x="302"/>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3">
        <item x="0"/>
        <item x="1"/>
        <item x="2"/>
      </items>
    </pivotField>
    <pivotField axis="axisPage" compact="0" outline="0" multipleItemSelectionAllowed="1" showAll="0" defaultSubtotal="0">
      <items count="2">
        <item x="0"/>
        <item x="1"/>
      </items>
    </pivotField>
    <pivotField compact="0" outline="0" showAll="0" defaultSubtotal="0"/>
    <pivotField compact="0" outline="0" showAll="0" defaultSubtotal="0">
      <items count="5">
        <item x="3"/>
        <item x="1"/>
        <item x="0"/>
        <item x="2"/>
        <item x="4"/>
      </items>
    </pivotField>
    <pivotField compact="0" outline="0" showAll="0" defaultSubtotal="0"/>
    <pivotField axis="axisRow" compact="0" outline="0" showAll="0" defaultSubtotal="0">
      <items count="11">
        <item x="5"/>
        <item x="6"/>
        <item x="3"/>
        <item x="1"/>
        <item n=" " x="4"/>
        <item x="10"/>
        <item x="8"/>
        <item x="2"/>
        <item x="0"/>
        <item x="7"/>
        <item x="9"/>
      </items>
    </pivotField>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s>
  <rowFields count="6">
    <field x="1"/>
    <field x="5"/>
    <field x="11"/>
    <field x="12"/>
    <field x="24"/>
    <field x="19"/>
  </rowFields>
  <rowItems count="192">
    <i>
      <x/>
      <x/>
      <x v="3"/>
      <x v="47"/>
      <x v="1"/>
      <x/>
    </i>
    <i r="2">
      <x v="7"/>
      <x v="161"/>
      <x v="9"/>
      <x/>
    </i>
    <i r="2">
      <x v="39"/>
      <x v="49"/>
      <x v="9"/>
      <x/>
    </i>
    <i r="2">
      <x v="63"/>
      <x v="46"/>
      <x v="3"/>
      <x/>
    </i>
    <i r="2">
      <x v="118"/>
      <x v="48"/>
      <x v="3"/>
      <x/>
    </i>
    <i r="2">
      <x v="155"/>
      <x v="160"/>
      <x v="9"/>
      <x/>
    </i>
    <i r="2">
      <x v="163"/>
      <x v="44"/>
      <x v="9"/>
      <x/>
    </i>
    <i r="2">
      <x v="297"/>
      <x v="134"/>
      <x v="6"/>
      <x/>
    </i>
    <i t="default" r="1">
      <x/>
    </i>
    <i r="1">
      <x v="1"/>
      <x v="21"/>
      <x v="39"/>
      <x v="3"/>
      <x/>
    </i>
    <i r="2">
      <x v="37"/>
      <x v="40"/>
      <x v="8"/>
      <x v="1"/>
    </i>
    <i r="2">
      <x v="60"/>
      <x v="162"/>
      <x v="3"/>
      <x/>
    </i>
    <i r="2">
      <x v="153"/>
      <x v="175"/>
      <x v="2"/>
      <x/>
    </i>
    <i r="2">
      <x v="202"/>
      <x v="216"/>
      <x v="2"/>
      <x/>
    </i>
    <i t="default" r="1">
      <x v="1"/>
    </i>
    <i r="1">
      <x v="2"/>
      <x v="2"/>
      <x v="136"/>
      <x v="2"/>
      <x/>
    </i>
    <i r="2">
      <x v="4"/>
      <x v="144"/>
      <x v="3"/>
      <x/>
    </i>
    <i r="2">
      <x v="5"/>
      <x v="157"/>
      <x v="3"/>
      <x/>
    </i>
    <i r="2">
      <x v="13"/>
      <x v="137"/>
      <x v="8"/>
      <x/>
    </i>
    <i r="2">
      <x v="19"/>
      <x v="103"/>
      <x v="6"/>
      <x/>
    </i>
    <i r="2">
      <x v="23"/>
      <x v="142"/>
      <x v="3"/>
      <x/>
    </i>
    <i r="2">
      <x v="31"/>
      <x v="129"/>
      <x v="8"/>
      <x/>
    </i>
    <i r="2">
      <x v="32"/>
      <x v="158"/>
      <x v="6"/>
      <x/>
    </i>
    <i r="2">
      <x v="61"/>
      <x v="149"/>
      <x v="3"/>
      <x/>
    </i>
    <i r="2">
      <x v="62"/>
      <x v="135"/>
      <x v="3"/>
      <x/>
    </i>
    <i r="2">
      <x v="106"/>
      <x v="85"/>
      <x v="6"/>
      <x/>
    </i>
    <i r="2">
      <x v="133"/>
      <x v="159"/>
      <x v="6"/>
      <x/>
    </i>
    <i r="2">
      <x v="138"/>
      <x v="97"/>
      <x v="2"/>
      <x/>
    </i>
    <i r="2">
      <x v="162"/>
      <x v="150"/>
      <x v="6"/>
      <x/>
    </i>
    <i r="2">
      <x v="192"/>
      <x v="152"/>
      <x v="8"/>
      <x/>
    </i>
    <i r="2">
      <x v="198"/>
      <x v="99"/>
      <x v="8"/>
      <x/>
    </i>
    <i r="2">
      <x v="209"/>
      <x v="224"/>
      <x v="8"/>
      <x/>
    </i>
    <i r="2">
      <x v="237"/>
      <x v="250"/>
      <x v="8"/>
      <x/>
    </i>
    <i r="2">
      <x v="239"/>
      <x v="252"/>
      <x v="6"/>
      <x/>
    </i>
    <i r="2">
      <x v="240"/>
      <x v="253"/>
      <x v="2"/>
      <x/>
    </i>
    <i r="2">
      <x v="263"/>
      <x v="276"/>
      <x v="8"/>
      <x/>
    </i>
    <i r="2">
      <x v="282"/>
      <x v="295"/>
      <x v="2"/>
      <x/>
    </i>
    <i r="2">
      <x v="283"/>
      <x v="297"/>
      <x v="2"/>
      <x/>
    </i>
    <i t="default" r="1">
      <x v="2"/>
    </i>
    <i r="1">
      <x v="8"/>
      <x v="18"/>
      <x v="119"/>
      <x v="1"/>
      <x v="1"/>
    </i>
    <i r="2">
      <x v="55"/>
      <x v="118"/>
      <x v="1"/>
      <x v="1"/>
    </i>
    <i r="2">
      <x v="77"/>
      <x v="183"/>
      <x v="9"/>
      <x/>
    </i>
    <i r="2">
      <x v="85"/>
      <x v="122"/>
      <x v="10"/>
      <x/>
    </i>
    <i r="2">
      <x v="86"/>
      <x v="121"/>
      <x v="1"/>
      <x/>
    </i>
    <i r="2">
      <x v="91"/>
      <x v="63"/>
      <x v="9"/>
      <x/>
    </i>
    <i r="2">
      <x v="201"/>
      <x v="214"/>
      <x v="1"/>
      <x/>
    </i>
    <i r="2">
      <x v="207"/>
      <x v="222"/>
      <x v="1"/>
      <x/>
    </i>
    <i r="2">
      <x v="211"/>
      <x v="225"/>
      <x v="10"/>
      <x/>
    </i>
    <i r="2">
      <x v="296"/>
      <x v="123"/>
      <x v="6"/>
      <x/>
    </i>
    <i r="2">
      <x v="298"/>
      <x v="163"/>
      <x v="6"/>
      <x/>
    </i>
    <i t="default" r="1">
      <x v="8"/>
    </i>
    <i r="1">
      <x v="10"/>
      <x v="51"/>
      <x v="74"/>
      <x v="8"/>
      <x/>
    </i>
    <i r="2">
      <x v="141"/>
      <x v="75"/>
      <x v="8"/>
      <x/>
    </i>
    <i r="2">
      <x v="223"/>
      <x v="233"/>
      <x v="8"/>
      <x/>
    </i>
    <i r="2">
      <x v="269"/>
      <x v="73"/>
      <x v="8"/>
      <x/>
    </i>
    <i r="2">
      <x v="277"/>
      <x v="287"/>
      <x v="2"/>
      <x/>
    </i>
    <i r="2">
      <x v="278"/>
      <x v="288"/>
      <x v="2"/>
      <x/>
    </i>
    <i r="2">
      <x v="279"/>
      <x v="290"/>
      <x v="6"/>
      <x/>
    </i>
    <i r="2">
      <x v="286"/>
      <x v="289"/>
      <x v="8"/>
      <x/>
    </i>
    <i t="default" r="1">
      <x v="10"/>
    </i>
    <i r="1">
      <x v="11"/>
      <x v="144"/>
      <x v="130"/>
      <x v="8"/>
      <x/>
    </i>
    <i r="2">
      <x v="175"/>
      <x v="76"/>
      <x v="2"/>
      <x/>
    </i>
    <i r="2">
      <x v="300"/>
      <x v="228"/>
      <x v="6"/>
      <x/>
    </i>
    <i r="2">
      <x v="301"/>
      <x v="229"/>
      <x v="6"/>
      <x/>
    </i>
    <i t="default" r="1">
      <x v="11"/>
    </i>
    <i r="1">
      <x v="12"/>
      <x v="24"/>
      <x v="116"/>
      <x v="2"/>
      <x v="1"/>
    </i>
    <i r="2">
      <x v="38"/>
      <x v="115"/>
      <x v="2"/>
      <x v="1"/>
    </i>
    <i r="2">
      <x v="44"/>
      <x v="114"/>
      <x v="2"/>
      <x v="1"/>
    </i>
    <i r="2">
      <x v="46"/>
      <x v="167"/>
      <x v="6"/>
      <x/>
    </i>
    <i r="2">
      <x v="64"/>
      <x v="68"/>
      <x v="9"/>
      <x/>
    </i>
    <i r="2">
      <x v="65"/>
      <x v="66"/>
      <x v="1"/>
      <x/>
    </i>
    <i r="2">
      <x v="66"/>
      <x v="67"/>
      <x v="9"/>
      <x/>
    </i>
    <i r="2">
      <x v="79"/>
      <x v="59"/>
      <x v="1"/>
      <x/>
    </i>
    <i r="2">
      <x v="109"/>
      <x v="53"/>
      <x v="9"/>
      <x/>
    </i>
    <i r="2">
      <x v="120"/>
      <x v="58"/>
      <x v="6"/>
      <x/>
    </i>
    <i r="2">
      <x v="147"/>
      <x v="120"/>
      <x v="1"/>
      <x v="1"/>
    </i>
    <i r="2">
      <x v="150"/>
      <x v="69"/>
      <x v="9"/>
      <x/>
    </i>
    <i r="2">
      <x v="152"/>
      <x v="117"/>
      <x v="1"/>
      <x v="1"/>
    </i>
    <i r="2">
      <x v="167"/>
      <x v="70"/>
      <x v="9"/>
      <x/>
    </i>
    <i r="2">
      <x v="298"/>
      <x v="164"/>
      <x v="6"/>
      <x/>
    </i>
    <i t="default" r="1">
      <x v="12"/>
    </i>
    <i r="1">
      <x v="14"/>
      <x v="42"/>
      <x v="15"/>
      <x v="8"/>
      <x/>
    </i>
    <i r="2">
      <x v="43"/>
      <x v="16"/>
      <x v="2"/>
      <x/>
    </i>
    <i r="2">
      <x v="58"/>
      <x v="12"/>
      <x v="8"/>
      <x/>
    </i>
    <i r="2">
      <x v="59"/>
      <x v="11"/>
      <x v="8"/>
      <x/>
    </i>
    <i r="2">
      <x v="78"/>
      <x v="13"/>
      <x v="8"/>
      <x/>
    </i>
    <i r="2">
      <x v="80"/>
      <x v="7"/>
      <x v="8"/>
      <x/>
    </i>
    <i r="2">
      <x v="100"/>
      <x v="17"/>
      <x v="3"/>
      <x/>
    </i>
    <i r="2">
      <x v="101"/>
      <x v="18"/>
      <x v="3"/>
      <x/>
    </i>
    <i r="2">
      <x v="136"/>
      <x v="21"/>
      <x v="2"/>
      <x/>
    </i>
    <i r="2">
      <x v="149"/>
      <x v="1"/>
      <x v="8"/>
      <x/>
    </i>
    <i r="2">
      <x v="151"/>
      <x v="133"/>
      <x v="2"/>
      <x/>
    </i>
    <i r="2">
      <x v="168"/>
      <x v="5"/>
      <x v="8"/>
      <x/>
    </i>
    <i r="2">
      <x v="169"/>
      <x v="6"/>
      <x v="3"/>
      <x/>
    </i>
    <i r="2">
      <x v="173"/>
      <x v="8"/>
      <x v="8"/>
      <x/>
    </i>
    <i r="2">
      <x v="181"/>
      <x/>
      <x v="8"/>
      <x/>
    </i>
    <i r="2">
      <x v="182"/>
      <x v="3"/>
      <x v="3"/>
      <x/>
    </i>
    <i r="2">
      <x v="183"/>
      <x v="2"/>
      <x v="8"/>
      <x/>
    </i>
    <i r="2">
      <x v="184"/>
      <x v="4"/>
      <x v="8"/>
      <x/>
    </i>
    <i r="2">
      <x v="218"/>
      <x v="20"/>
      <x v="3"/>
      <x/>
    </i>
    <i r="2">
      <x v="267"/>
      <x v="9"/>
      <x v="8"/>
      <x/>
    </i>
    <i r="2">
      <x v="268"/>
      <x v="283"/>
      <x v="2"/>
      <x/>
    </i>
    <i r="2">
      <x v="281"/>
      <x v="294"/>
      <x v="6"/>
      <x/>
    </i>
    <i r="2">
      <x v="284"/>
      <x v="298"/>
      <x v="2"/>
      <x/>
    </i>
    <i r="2">
      <x v="287"/>
      <x v="291"/>
      <x v="8"/>
      <x/>
    </i>
    <i r="2">
      <x v="290"/>
      <x v="293"/>
      <x v="8"/>
      <x/>
    </i>
    <i t="default" r="1">
      <x v="14"/>
    </i>
    <i r="1">
      <x v="17"/>
      <x v="188"/>
      <x v="72"/>
      <x v="6"/>
      <x/>
    </i>
    <i r="2">
      <x v="220"/>
      <x v="231"/>
      <x v="8"/>
      <x/>
    </i>
    <i r="2">
      <x v="299"/>
      <x v="218"/>
      <x v="6"/>
      <x/>
    </i>
    <i t="default" r="1">
      <x v="17"/>
    </i>
    <i r="1">
      <x v="18"/>
      <x v="171"/>
      <x v="64"/>
      <x v="9"/>
      <x/>
    </i>
    <i r="2">
      <x v="172"/>
      <x v="65"/>
      <x v="1"/>
      <x/>
    </i>
    <i r="2">
      <x v="303"/>
      <x v="302"/>
      <x v="6"/>
      <x v="1"/>
    </i>
    <i t="default" r="1">
      <x v="18"/>
    </i>
    <i r="1">
      <x v="19"/>
      <x v="177"/>
      <x v="172"/>
      <x v="6"/>
      <x/>
    </i>
    <i r="2">
      <x v="225"/>
      <x v="235"/>
      <x v="8"/>
      <x v="1"/>
    </i>
    <i r="2">
      <x v="226"/>
      <x v="236"/>
      <x v="8"/>
      <x v="1"/>
    </i>
    <i r="2">
      <x v="302"/>
      <x v="299"/>
      <x v="6"/>
      <x/>
    </i>
    <i t="default" r="1">
      <x v="19"/>
    </i>
    <i r="1">
      <x v="20"/>
      <x v="17"/>
      <x v="106"/>
      <x v="2"/>
      <x v="1"/>
    </i>
    <i r="2">
      <x v="29"/>
      <x v="25"/>
      <x v="3"/>
      <x/>
    </i>
    <i r="2">
      <x v="30"/>
      <x v="108"/>
      <x v="8"/>
      <x v="1"/>
    </i>
    <i r="2">
      <x v="40"/>
      <x v="173"/>
      <x v="6"/>
      <x v="1"/>
    </i>
    <i r="2">
      <x v="70"/>
      <x v="24"/>
      <x v="8"/>
      <x/>
    </i>
    <i r="2">
      <x v="71"/>
      <x v="112"/>
      <x v="2"/>
      <x v="1"/>
    </i>
    <i r="2">
      <x v="73"/>
      <x v="28"/>
      <x v="3"/>
      <x/>
    </i>
    <i r="2">
      <x v="74"/>
      <x v="26"/>
      <x v="2"/>
      <x/>
    </i>
    <i r="2">
      <x v="75"/>
      <x v="37"/>
      <x v="8"/>
      <x/>
    </i>
    <i r="2">
      <x v="76"/>
      <x v="36"/>
      <x v="8"/>
      <x/>
    </i>
    <i r="2">
      <x v="143"/>
      <x v="30"/>
      <x v="3"/>
      <x/>
    </i>
    <i r="2">
      <x v="157"/>
      <x v="132"/>
      <x v="2"/>
      <x v="1"/>
    </i>
    <i r="2">
      <x v="158"/>
      <x v="29"/>
      <x v="3"/>
      <x/>
    </i>
    <i r="2">
      <x v="159"/>
      <x v="22"/>
      <x v="8"/>
      <x/>
    </i>
    <i r="2">
      <x v="160"/>
      <x v="27"/>
      <x v="3"/>
      <x/>
    </i>
    <i r="2">
      <x v="170"/>
      <x v="38"/>
      <x v="8"/>
      <x/>
    </i>
    <i r="2">
      <x v="185"/>
      <x v="34"/>
      <x v="3"/>
      <x/>
    </i>
    <i r="2">
      <x v="189"/>
      <x v="35"/>
      <x v="3"/>
      <x/>
    </i>
    <i r="2">
      <x v="193"/>
      <x v="109"/>
      <x v="2"/>
      <x v="1"/>
    </i>
    <i r="2">
      <x v="217"/>
      <x v="113"/>
      <x v="8"/>
      <x v="1"/>
    </i>
    <i r="2">
      <x v="261"/>
      <x v="274"/>
      <x v="6"/>
      <x/>
    </i>
    <i r="2">
      <x v="262"/>
      <x v="275"/>
      <x v="8"/>
      <x v="1"/>
    </i>
    <i r="2">
      <x v="273"/>
      <x v="285"/>
      <x v="6"/>
      <x/>
    </i>
    <i r="2">
      <x v="289"/>
      <x v="296"/>
      <x v="8"/>
      <x/>
    </i>
    <i t="default" r="1">
      <x v="20"/>
    </i>
    <i r="1">
      <x v="22"/>
      <x v="266"/>
      <x v="281"/>
      <x v="2"/>
      <x/>
    </i>
    <i r="2">
      <x v="285"/>
      <x v="280"/>
      <x v="8"/>
      <x/>
    </i>
    <i r="2">
      <x v="291"/>
      <x v="278"/>
      <x v="2"/>
      <x/>
    </i>
    <i t="default" r="1">
      <x v="22"/>
    </i>
    <i t="default">
      <x/>
    </i>
    <i>
      <x v="1"/>
      <x v="3"/>
      <x v="221"/>
      <x v="230"/>
      <x v="10"/>
      <x/>
    </i>
    <i t="default" r="1">
      <x v="3"/>
    </i>
    <i r="1">
      <x v="6"/>
      <x v="48"/>
      <x v="201"/>
      <x v="10"/>
      <x/>
    </i>
    <i r="2">
      <x v="49"/>
      <x v="202"/>
      <x v="5"/>
      <x/>
    </i>
    <i r="2">
      <x v="115"/>
      <x v="193"/>
      <x v="10"/>
      <x/>
    </i>
    <i r="2">
      <x v="129"/>
      <x v="194"/>
      <x v="10"/>
      <x/>
    </i>
    <i r="2">
      <x v="200"/>
      <x v="205"/>
      <x v="10"/>
      <x/>
    </i>
    <i r="2">
      <x v="212"/>
      <x v="226"/>
      <x v="5"/>
      <x/>
    </i>
    <i r="2">
      <x v="228"/>
      <x v="238"/>
      <x v="5"/>
      <x/>
    </i>
    <i r="2">
      <x v="235"/>
      <x v="248"/>
      <x v="6"/>
      <x/>
    </i>
    <i r="2">
      <x v="258"/>
      <x v="271"/>
      <x v="10"/>
      <x/>
    </i>
    <i r="2">
      <x v="259"/>
      <x v="272"/>
      <x v="6"/>
      <x/>
    </i>
    <i r="2">
      <x v="272"/>
      <x v="286"/>
      <x v="5"/>
      <x/>
    </i>
    <i r="2">
      <x v="274"/>
      <x v="246"/>
      <x v="5"/>
      <x/>
    </i>
    <i r="2">
      <x v="275"/>
      <x v="203"/>
      <x v="5"/>
      <x/>
    </i>
    <i r="2">
      <x v="276"/>
      <x v="241"/>
      <x v="5"/>
      <x/>
    </i>
    <i r="2">
      <x v="294"/>
      <x v="213"/>
      <x v="6"/>
      <x/>
    </i>
    <i r="2">
      <x v="295"/>
      <x v="301"/>
      <x v="5"/>
      <x/>
    </i>
    <i t="default" r="1">
      <x v="6"/>
    </i>
    <i r="1">
      <x v="9"/>
      <x v="89"/>
      <x v="195"/>
      <x v="10"/>
      <x/>
    </i>
    <i r="2">
      <x v="90"/>
      <x v="210"/>
      <x v="5"/>
      <x/>
    </i>
    <i t="default" r="1">
      <x v="9"/>
    </i>
    <i r="1">
      <x v="13"/>
      <x v="205"/>
      <x v="219"/>
      <x v="6"/>
      <x/>
    </i>
    <i r="2">
      <x v="208"/>
      <x v="223"/>
      <x v="5"/>
      <x/>
    </i>
    <i r="2">
      <x v="260"/>
      <x v="273"/>
      <x v="10"/>
      <x/>
    </i>
    <i t="default" r="1">
      <x v="13"/>
    </i>
    <i r="1">
      <x v="15"/>
      <x v="122"/>
      <x v="191"/>
      <x v="10"/>
      <x/>
    </i>
    <i r="2">
      <x v="123"/>
      <x v="188"/>
      <x v="10"/>
      <x/>
    </i>
    <i r="2">
      <x v="124"/>
      <x v="190"/>
      <x v="5"/>
      <x/>
    </i>
    <i r="2">
      <x v="206"/>
      <x v="220"/>
      <x v="10"/>
      <x/>
    </i>
    <i r="2">
      <x v="210"/>
      <x v="221"/>
      <x v="10"/>
      <x/>
    </i>
    <i r="2">
      <x v="231"/>
      <x v="245"/>
      <x v="6"/>
      <x/>
    </i>
    <i t="default" r="1">
      <x v="15"/>
    </i>
    <i r="1">
      <x v="16"/>
      <x v="134"/>
      <x v="199"/>
      <x v="10"/>
      <x/>
    </i>
    <i r="2">
      <x v="232"/>
      <x v="242"/>
      <x v="6"/>
      <x/>
    </i>
    <i r="2">
      <x v="245"/>
      <x v="258"/>
      <x v="5"/>
      <x/>
    </i>
    <i r="2">
      <x v="264"/>
      <x v="277"/>
      <x v="5"/>
      <x/>
    </i>
    <i t="default" r="1">
      <x v="16"/>
    </i>
    <i r="1">
      <x v="21"/>
      <x v="257"/>
      <x v="270"/>
      <x v="6"/>
      <x/>
    </i>
    <i t="default" r="1">
      <x v="21"/>
    </i>
    <i t="default">
      <x v="1"/>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0">
    <format dxfId="887">
      <pivotArea outline="0" collapsedLevelsAreSubtotals="1" fieldPosition="0"/>
    </format>
    <format dxfId="886">
      <pivotArea dataOnly="0" labelOnly="1" outline="0" fieldPosition="0">
        <references count="1">
          <reference field="4294967294" count="2">
            <x v="0"/>
            <x v="1"/>
          </reference>
        </references>
      </pivotArea>
    </format>
    <format dxfId="885">
      <pivotArea grandRow="1" outline="0" collapsedLevelsAreSubtotals="1" fieldPosition="0"/>
    </format>
    <format dxfId="884">
      <pivotArea dataOnly="0" labelOnly="1" grandRow="1" outline="0" fieldPosition="0"/>
    </format>
    <format dxfId="883">
      <pivotArea grandRow="1" outline="0" collapsedLevelsAreSubtotals="1" fieldPosition="0"/>
    </format>
    <format dxfId="882">
      <pivotArea dataOnly="0" labelOnly="1" grandRow="1" outline="0" fieldPosition="0"/>
    </format>
    <format dxfId="881">
      <pivotArea field="24" type="button" dataOnly="0" labelOnly="1" outline="0" axis="axisRow" fieldPosition="4"/>
    </format>
    <format dxfId="880">
      <pivotArea field="24" type="button" dataOnly="0" labelOnly="1" outline="0" axis="axisRow" fieldPosition="4"/>
    </format>
    <format dxfId="879">
      <pivotArea field="1" type="button" dataOnly="0" labelOnly="1" outline="0" axis="axisRow" fieldPosition="0"/>
    </format>
    <format dxfId="878">
      <pivotArea field="5" type="button" dataOnly="0" labelOnly="1" outline="0" axis="axisRow" fieldPosition="1"/>
    </format>
    <format dxfId="877">
      <pivotArea field="11" type="button" dataOnly="0" labelOnly="1" outline="0" axis="axisRow" fieldPosition="2"/>
    </format>
    <format dxfId="876">
      <pivotArea field="12" type="button" dataOnly="0" labelOnly="1" outline="0" axis="axisRow" fieldPosition="3"/>
    </format>
    <format dxfId="875">
      <pivotArea field="22" type="button" dataOnly="0" labelOnly="1" outline="0"/>
    </format>
    <format dxfId="874">
      <pivotArea dataOnly="0" labelOnly="1" outline="0" fieldPosition="0">
        <references count="1">
          <reference field="4294967294" count="2">
            <x v="0"/>
            <x v="1"/>
          </reference>
        </references>
      </pivotArea>
    </format>
    <format dxfId="873">
      <pivotArea field="1" type="button" dataOnly="0" labelOnly="1" outline="0" axis="axisRow" fieldPosition="0"/>
    </format>
    <format dxfId="872">
      <pivotArea field="5" type="button" dataOnly="0" labelOnly="1" outline="0" axis="axisRow" fieldPosition="1"/>
    </format>
    <format dxfId="871">
      <pivotArea field="11" type="button" dataOnly="0" labelOnly="1" outline="0" axis="axisRow" fieldPosition="2"/>
    </format>
    <format dxfId="870">
      <pivotArea field="12" type="button" dataOnly="0" labelOnly="1" outline="0" axis="axisRow" fieldPosition="3"/>
    </format>
    <format dxfId="869">
      <pivotArea field="22" type="button" dataOnly="0" labelOnly="1" outline="0"/>
    </format>
    <format dxfId="868">
      <pivotArea dataOnly="0" labelOnly="1" outline="0" fieldPosition="0">
        <references count="1">
          <reference field="4294967294" count="2">
            <x v="0"/>
            <x v="1"/>
          </reference>
        </references>
      </pivotArea>
    </format>
    <format dxfId="867">
      <pivotArea dataOnly="0" labelOnly="1" outline="0" fieldPosition="0">
        <references count="3">
          <reference field="1" count="1" selected="0">
            <x v="0"/>
          </reference>
          <reference field="5" count="1" selected="0">
            <x v="0"/>
          </reference>
          <reference field="11" count="6">
            <x v="63"/>
            <x v="118"/>
            <x v="137"/>
            <x v="155"/>
            <x v="163"/>
            <x v="178"/>
          </reference>
        </references>
      </pivotArea>
    </format>
    <format dxfId="866">
      <pivotArea dataOnly="0" labelOnly="1" outline="0" fieldPosition="0">
        <references count="3">
          <reference field="1" count="1" selected="0">
            <x v="0"/>
          </reference>
          <reference field="5" count="1" selected="0">
            <x v="14"/>
          </reference>
          <reference field="11" count="5">
            <x v="42"/>
            <x v="43"/>
            <x v="50"/>
            <x v="58"/>
            <x v="59"/>
          </reference>
        </references>
      </pivotArea>
    </format>
    <format dxfId="865">
      <pivotArea dataOnly="0" labelOnly="1" outline="0" fieldPosition="0">
        <references count="3">
          <reference field="1" count="1" selected="0">
            <x v="0"/>
          </reference>
          <reference field="5" count="1" selected="0">
            <x v="20"/>
          </reference>
          <reference field="11" count="15">
            <x v="70"/>
            <x v="71"/>
            <x v="73"/>
            <x v="74"/>
            <x v="75"/>
            <x v="76"/>
            <x v="143"/>
            <x v="157"/>
            <x v="158"/>
            <x v="159"/>
            <x v="160"/>
            <x v="161"/>
            <x v="170"/>
            <x v="185"/>
            <x v="189"/>
          </reference>
        </references>
      </pivotArea>
    </format>
    <format dxfId="864">
      <pivotArea field="1" type="button" dataOnly="0" labelOnly="1" outline="0" axis="axisRow" fieldPosition="0"/>
    </format>
    <format dxfId="863">
      <pivotArea field="5" type="button" dataOnly="0" labelOnly="1" outline="0" axis="axisRow" fieldPosition="1"/>
    </format>
    <format dxfId="862">
      <pivotArea field="11" type="button" dataOnly="0" labelOnly="1" outline="0" axis="axisRow" fieldPosition="2"/>
    </format>
    <format dxfId="861">
      <pivotArea field="12" type="button" dataOnly="0" labelOnly="1" outline="0" axis="axisRow" fieldPosition="3"/>
    </format>
    <format dxfId="860">
      <pivotArea field="19" type="button" dataOnly="0" labelOnly="1" outline="0" axis="axisRow" fieldPosition="5"/>
    </format>
    <format dxfId="859">
      <pivotArea type="all" dataOnly="0" outline="0" fieldPosition="0"/>
    </format>
    <format dxfId="858">
      <pivotArea type="all" dataOnly="0" outline="0" fieldPosition="0"/>
    </format>
    <format dxfId="857">
      <pivotArea outline="0" collapsedLevelsAreSubtotals="1" fieldPosition="0"/>
    </format>
    <format dxfId="856">
      <pivotArea dataOnly="0" labelOnly="1" outline="0" fieldPosition="0">
        <references count="1">
          <reference field="1" count="0"/>
        </references>
      </pivotArea>
    </format>
    <format dxfId="855">
      <pivotArea dataOnly="0" labelOnly="1" outline="0" fieldPosition="0">
        <references count="1">
          <reference field="1" count="0" defaultSubtotal="1"/>
        </references>
      </pivotArea>
    </format>
    <format dxfId="854">
      <pivotArea dataOnly="0" labelOnly="1" grandRow="1" outline="0" fieldPosition="0"/>
    </format>
    <format dxfId="853">
      <pivotArea dataOnly="0" labelOnly="1" outline="0" fieldPosition="0">
        <references count="2">
          <reference field="1" count="1" selected="0">
            <x v="0"/>
          </reference>
          <reference field="5" count="13">
            <x v="0"/>
            <x v="1"/>
            <x v="2"/>
            <x v="5"/>
            <x v="8"/>
            <x v="10"/>
            <x v="11"/>
            <x v="12"/>
            <x v="14"/>
            <x v="17"/>
            <x v="18"/>
            <x v="19"/>
            <x v="20"/>
          </reference>
        </references>
      </pivotArea>
    </format>
    <format dxfId="852">
      <pivotArea dataOnly="0" labelOnly="1" outline="0" fieldPosition="0">
        <references count="2">
          <reference field="1" count="1" selected="0">
            <x v="0"/>
          </reference>
          <reference field="5" count="13" defaultSubtotal="1">
            <x v="0"/>
            <x v="1"/>
            <x v="2"/>
            <x v="5"/>
            <x v="8"/>
            <x v="10"/>
            <x v="11"/>
            <x v="12"/>
            <x v="14"/>
            <x v="17"/>
            <x v="18"/>
            <x v="19"/>
            <x v="20"/>
          </reference>
        </references>
      </pivotArea>
    </format>
    <format dxfId="851">
      <pivotArea dataOnly="0" labelOnly="1" outline="0" fieldPosition="0">
        <references count="2">
          <reference field="1" count="1" selected="0">
            <x v="1"/>
          </reference>
          <reference field="5" count="6">
            <x v="3"/>
            <x v="6"/>
            <x v="9"/>
            <x v="13"/>
            <x v="15"/>
            <x v="16"/>
          </reference>
        </references>
      </pivotArea>
    </format>
    <format dxfId="850">
      <pivotArea dataOnly="0" labelOnly="1" outline="0" fieldPosition="0">
        <references count="2">
          <reference field="1" count="1" selected="0">
            <x v="1"/>
          </reference>
          <reference field="5" count="6" defaultSubtotal="1">
            <x v="3"/>
            <x v="6"/>
            <x v="9"/>
            <x v="13"/>
            <x v="15"/>
            <x v="16"/>
          </reference>
        </references>
      </pivotArea>
    </format>
    <format dxfId="849">
      <pivotArea dataOnly="0" labelOnly="1" outline="0" fieldPosition="0">
        <references count="3">
          <reference field="1" count="1" selected="0">
            <x v="0"/>
          </reference>
          <reference field="5" count="1" selected="0">
            <x v="0"/>
          </reference>
          <reference field="11" count="11">
            <x v="3"/>
            <x v="7"/>
            <x v="34"/>
            <x v="39"/>
            <x v="63"/>
            <x v="118"/>
            <x v="137"/>
            <x v="155"/>
            <x v="163"/>
            <x v="178"/>
            <x v="197"/>
          </reference>
        </references>
      </pivotArea>
    </format>
    <format dxfId="848">
      <pivotArea dataOnly="0" labelOnly="1" outline="0" fieldPosition="0">
        <references count="3">
          <reference field="1" count="1" selected="0">
            <x v="0"/>
          </reference>
          <reference field="5" count="1" selected="0">
            <x v="1"/>
          </reference>
          <reference field="11" count="6">
            <x v="21"/>
            <x v="37"/>
            <x v="54"/>
            <x v="60"/>
            <x v="153"/>
            <x v="202"/>
          </reference>
        </references>
      </pivotArea>
    </format>
    <format dxfId="847">
      <pivotArea dataOnly="0" labelOnly="1" outline="0" fieldPosition="0">
        <references count="3">
          <reference field="1" count="1" selected="0">
            <x v="0"/>
          </reference>
          <reference field="5" count="1" selected="0">
            <x v="2"/>
          </reference>
          <reference field="11" count="26">
            <x v="1"/>
            <x v="2"/>
            <x v="4"/>
            <x v="5"/>
            <x v="13"/>
            <x v="19"/>
            <x v="23"/>
            <x v="31"/>
            <x v="32"/>
            <x v="61"/>
            <x v="62"/>
            <x v="106"/>
            <x v="133"/>
            <x v="138"/>
            <x v="162"/>
            <x v="165"/>
            <x v="192"/>
            <x v="198"/>
            <x v="209"/>
            <x v="213"/>
            <x v="229"/>
            <x v="236"/>
            <x v="237"/>
            <x v="238"/>
            <x v="239"/>
            <x v="240"/>
          </reference>
        </references>
      </pivotArea>
    </format>
    <format dxfId="846">
      <pivotArea dataOnly="0" labelOnly="1" outline="0" fieldPosition="0">
        <references count="3">
          <reference field="1" count="1" selected="0">
            <x v="0"/>
          </reference>
          <reference field="5" count="1" selected="0">
            <x v="5"/>
          </reference>
          <reference field="11" count="1">
            <x v="52"/>
          </reference>
        </references>
      </pivotArea>
    </format>
    <format dxfId="845">
      <pivotArea dataOnly="0" labelOnly="1" outline="0" fieldPosition="0">
        <references count="3">
          <reference field="1" count="1" selected="0">
            <x v="0"/>
          </reference>
          <reference field="5" count="1" selected="0">
            <x v="8"/>
          </reference>
          <reference field="11" count="10">
            <x v="18"/>
            <x v="34"/>
            <x v="55"/>
            <x v="77"/>
            <x v="85"/>
            <x v="86"/>
            <x v="91"/>
            <x v="201"/>
            <x v="207"/>
            <x v="211"/>
          </reference>
        </references>
      </pivotArea>
    </format>
    <format dxfId="844">
      <pivotArea dataOnly="0" labelOnly="1" outline="0" fieldPosition="0">
        <references count="3">
          <reference field="1" count="1" selected="0">
            <x v="0"/>
          </reference>
          <reference field="5" count="1" selected="0">
            <x v="10"/>
          </reference>
          <reference field="11" count="5">
            <x v="51"/>
            <x v="141"/>
            <x v="222"/>
            <x v="223"/>
            <x v="224"/>
          </reference>
        </references>
      </pivotArea>
    </format>
    <format dxfId="843">
      <pivotArea dataOnly="0" labelOnly="1" outline="0" fieldPosition="0">
        <references count="3">
          <reference field="1" count="1" selected="0">
            <x v="0"/>
          </reference>
          <reference field="5" count="1" selected="0">
            <x v="11"/>
          </reference>
          <reference field="11" count="2">
            <x v="144"/>
            <x v="175"/>
          </reference>
        </references>
      </pivotArea>
    </format>
    <format dxfId="842">
      <pivotArea dataOnly="0" labelOnly="1" outline="0" fieldPosition="0">
        <references count="3">
          <reference field="1" count="1" selected="0">
            <x v="0"/>
          </reference>
          <reference field="5" count="1" selected="0">
            <x v="12"/>
          </reference>
          <reference field="11" count="20">
            <x v="24"/>
            <x v="34"/>
            <x v="38"/>
            <x v="46"/>
            <x v="64"/>
            <x v="65"/>
            <x v="66"/>
            <x v="72"/>
            <x v="79"/>
            <x v="83"/>
            <x v="84"/>
            <x v="109"/>
            <x v="120"/>
            <x v="147"/>
            <x v="150"/>
            <x v="152"/>
            <x v="156"/>
            <x v="167"/>
            <x v="180"/>
            <x v="227"/>
          </reference>
        </references>
      </pivotArea>
    </format>
    <format dxfId="841">
      <pivotArea dataOnly="0" labelOnly="1" outline="0" fieldPosition="0">
        <references count="3">
          <reference field="1" count="1" selected="0">
            <x v="0"/>
          </reference>
          <reference field="5" count="1" selected="0">
            <x v="14"/>
          </reference>
          <reference field="11" count="21">
            <x v="42"/>
            <x v="43"/>
            <x v="50"/>
            <x v="58"/>
            <x v="59"/>
            <x v="78"/>
            <x v="80"/>
            <x v="100"/>
            <x v="101"/>
            <x v="136"/>
            <x v="149"/>
            <x v="151"/>
            <x v="168"/>
            <x v="169"/>
            <x v="173"/>
            <x v="181"/>
            <x v="182"/>
            <x v="183"/>
            <x v="184"/>
            <x v="196"/>
            <x v="218"/>
          </reference>
        </references>
      </pivotArea>
    </format>
    <format dxfId="840">
      <pivotArea dataOnly="0" labelOnly="1" outline="0" fieldPosition="0">
        <references count="3">
          <reference field="1" count="1" selected="0">
            <x v="0"/>
          </reference>
          <reference field="5" count="1" selected="0">
            <x v="17"/>
          </reference>
          <reference field="11" count="2">
            <x v="188"/>
            <x v="220"/>
          </reference>
        </references>
      </pivotArea>
    </format>
    <format dxfId="839">
      <pivotArea dataOnly="0" labelOnly="1" outline="0" fieldPosition="0">
        <references count="3">
          <reference field="1" count="1" selected="0">
            <x v="0"/>
          </reference>
          <reference field="5" count="1" selected="0">
            <x v="18"/>
          </reference>
          <reference field="11" count="4">
            <x v="34"/>
            <x v="56"/>
            <x v="171"/>
            <x v="172"/>
          </reference>
        </references>
      </pivotArea>
    </format>
    <format dxfId="838">
      <pivotArea dataOnly="0" labelOnly="1" outline="0" fieldPosition="0">
        <references count="3">
          <reference field="1" count="1" selected="0">
            <x v="0"/>
          </reference>
          <reference field="5" count="1" selected="0">
            <x v="19"/>
          </reference>
          <reference field="11" count="3">
            <x v="177"/>
            <x v="225"/>
            <x v="226"/>
          </reference>
        </references>
      </pivotArea>
    </format>
    <format dxfId="837">
      <pivotArea dataOnly="0" labelOnly="1" outline="0" fieldPosition="0">
        <references count="3">
          <reference field="1" count="1" selected="0">
            <x v="0"/>
          </reference>
          <reference field="5" count="1" selected="0">
            <x v="20"/>
          </reference>
          <reference field="11" count="23">
            <x v="17"/>
            <x v="29"/>
            <x v="30"/>
            <x v="40"/>
            <x v="44"/>
            <x v="70"/>
            <x v="71"/>
            <x v="73"/>
            <x v="74"/>
            <x v="75"/>
            <x v="76"/>
            <x v="143"/>
            <x v="157"/>
            <x v="158"/>
            <x v="159"/>
            <x v="160"/>
            <x v="161"/>
            <x v="170"/>
            <x v="185"/>
            <x v="189"/>
            <x v="193"/>
            <x v="217"/>
            <x v="219"/>
          </reference>
        </references>
      </pivotArea>
    </format>
    <format dxfId="836">
      <pivotArea dataOnly="0" labelOnly="1" outline="0" fieldPosition="0">
        <references count="3">
          <reference field="1" count="1" selected="0">
            <x v="1"/>
          </reference>
          <reference field="5" count="1" selected="0">
            <x v="3"/>
          </reference>
          <reference field="11" count="3">
            <x v="140"/>
            <x v="221"/>
            <x v="234"/>
          </reference>
        </references>
      </pivotArea>
    </format>
    <format dxfId="835">
      <pivotArea dataOnly="0" labelOnly="1" outline="0" fieldPosition="0">
        <references count="3">
          <reference field="1" count="1" selected="0">
            <x v="1"/>
          </reference>
          <reference field="5" count="1" selected="0">
            <x v="6"/>
          </reference>
          <reference field="11" count="9">
            <x v="47"/>
            <x v="48"/>
            <x v="49"/>
            <x v="115"/>
            <x v="129"/>
            <x v="200"/>
            <x v="212"/>
            <x v="228"/>
            <x v="235"/>
          </reference>
        </references>
      </pivotArea>
    </format>
    <format dxfId="834">
      <pivotArea dataOnly="0" labelOnly="1" outline="0" fieldPosition="0">
        <references count="3">
          <reference field="1" count="1" selected="0">
            <x v="1"/>
          </reference>
          <reference field="5" count="1" selected="0">
            <x v="9"/>
          </reference>
          <reference field="11" count="3">
            <x v="89"/>
            <x v="90"/>
            <x v="233"/>
          </reference>
        </references>
      </pivotArea>
    </format>
    <format dxfId="833">
      <pivotArea dataOnly="0" labelOnly="1" outline="0" fieldPosition="0">
        <references count="3">
          <reference field="1" count="1" selected="0">
            <x v="1"/>
          </reference>
          <reference field="5" count="1" selected="0">
            <x v="13"/>
          </reference>
          <reference field="11" count="6">
            <x v="35"/>
            <x v="36"/>
            <x v="112"/>
            <x v="128"/>
            <x v="205"/>
            <x v="208"/>
          </reference>
        </references>
      </pivotArea>
    </format>
    <format dxfId="832">
      <pivotArea dataOnly="0" labelOnly="1" outline="0" fieldPosition="0">
        <references count="3">
          <reference field="1" count="1" selected="0">
            <x v="1"/>
          </reference>
          <reference field="5" count="1" selected="0">
            <x v="15"/>
          </reference>
          <reference field="11" count="7">
            <x v="122"/>
            <x v="123"/>
            <x v="124"/>
            <x v="206"/>
            <x v="210"/>
            <x v="230"/>
            <x v="231"/>
          </reference>
        </references>
      </pivotArea>
    </format>
    <format dxfId="831">
      <pivotArea dataOnly="0" labelOnly="1" outline="0" fieldPosition="0">
        <references count="3">
          <reference field="1" count="1" selected="0">
            <x v="1"/>
          </reference>
          <reference field="5" count="1" selected="0">
            <x v="16"/>
          </reference>
          <reference field="11" count="3">
            <x v="134"/>
            <x v="135"/>
            <x v="232"/>
          </reference>
        </references>
      </pivotArea>
    </format>
    <format dxfId="830">
      <pivotArea dataOnly="0" labelOnly="1" outline="0" fieldPosition="0">
        <references count="4">
          <reference field="1" count="1" selected="0">
            <x v="0"/>
          </reference>
          <reference field="5" count="1" selected="0">
            <x v="0"/>
          </reference>
          <reference field="11" count="1" selected="0">
            <x v="3"/>
          </reference>
          <reference field="12" count="1">
            <x v="47"/>
          </reference>
        </references>
      </pivotArea>
    </format>
    <format dxfId="829">
      <pivotArea dataOnly="0" labelOnly="1" outline="0" fieldPosition="0">
        <references count="4">
          <reference field="1" count="1" selected="0">
            <x v="0"/>
          </reference>
          <reference field="5" count="1" selected="0">
            <x v="0"/>
          </reference>
          <reference field="11" count="1" selected="0">
            <x v="7"/>
          </reference>
          <reference field="12" count="1">
            <x v="161"/>
          </reference>
        </references>
      </pivotArea>
    </format>
    <format dxfId="828">
      <pivotArea dataOnly="0" labelOnly="1" outline="0" fieldPosition="0">
        <references count="4">
          <reference field="1" count="1" selected="0">
            <x v="0"/>
          </reference>
          <reference field="5" count="1" selected="0">
            <x v="0"/>
          </reference>
          <reference field="11" count="1" selected="0">
            <x v="34"/>
          </reference>
          <reference field="12" count="1">
            <x v="134"/>
          </reference>
        </references>
      </pivotArea>
    </format>
    <format dxfId="827">
      <pivotArea dataOnly="0" labelOnly="1" outline="0" fieldPosition="0">
        <references count="4">
          <reference field="1" count="1" selected="0">
            <x v="0"/>
          </reference>
          <reference field="5" count="1" selected="0">
            <x v="0"/>
          </reference>
          <reference field="11" count="1" selected="0">
            <x v="39"/>
          </reference>
          <reference field="12" count="1">
            <x v="49"/>
          </reference>
        </references>
      </pivotArea>
    </format>
    <format dxfId="826">
      <pivotArea dataOnly="0" labelOnly="1" outline="0" fieldPosition="0">
        <references count="4">
          <reference field="1" count="1" selected="0">
            <x v="0"/>
          </reference>
          <reference field="5" count="1" selected="0">
            <x v="0"/>
          </reference>
          <reference field="11" count="1" selected="0">
            <x v="63"/>
          </reference>
          <reference field="12" count="1">
            <x v="46"/>
          </reference>
        </references>
      </pivotArea>
    </format>
    <format dxfId="825">
      <pivotArea dataOnly="0" labelOnly="1" outline="0" fieldPosition="0">
        <references count="4">
          <reference field="1" count="1" selected="0">
            <x v="0"/>
          </reference>
          <reference field="5" count="1" selected="0">
            <x v="0"/>
          </reference>
          <reference field="11" count="1" selected="0">
            <x v="118"/>
          </reference>
          <reference field="12" count="1">
            <x v="48"/>
          </reference>
        </references>
      </pivotArea>
    </format>
    <format dxfId="824">
      <pivotArea dataOnly="0" labelOnly="1" outline="0" fieldPosition="0">
        <references count="4">
          <reference field="1" count="1" selected="0">
            <x v="0"/>
          </reference>
          <reference field="5" count="1" selected="0">
            <x v="0"/>
          </reference>
          <reference field="11" count="1" selected="0">
            <x v="137"/>
          </reference>
          <reference field="12" count="1">
            <x v="51"/>
          </reference>
        </references>
      </pivotArea>
    </format>
    <format dxfId="823">
      <pivotArea dataOnly="0" labelOnly="1" outline="0" fieldPosition="0">
        <references count="4">
          <reference field="1" count="1" selected="0">
            <x v="0"/>
          </reference>
          <reference field="5" count="1" selected="0">
            <x v="0"/>
          </reference>
          <reference field="11" count="1" selected="0">
            <x v="155"/>
          </reference>
          <reference field="12" count="1">
            <x v="160"/>
          </reference>
        </references>
      </pivotArea>
    </format>
    <format dxfId="822">
      <pivotArea dataOnly="0" labelOnly="1" outline="0" fieldPosition="0">
        <references count="4">
          <reference field="1" count="1" selected="0">
            <x v="0"/>
          </reference>
          <reference field="5" count="1" selected="0">
            <x v="0"/>
          </reference>
          <reference field="11" count="1" selected="0">
            <x v="163"/>
          </reference>
          <reference field="12" count="1">
            <x v="44"/>
          </reference>
        </references>
      </pivotArea>
    </format>
    <format dxfId="821">
      <pivotArea dataOnly="0" labelOnly="1" outline="0" fieldPosition="0">
        <references count="4">
          <reference field="1" count="1" selected="0">
            <x v="0"/>
          </reference>
          <reference field="5" count="1" selected="0">
            <x v="0"/>
          </reference>
          <reference field="11" count="1" selected="0">
            <x v="178"/>
          </reference>
          <reference field="12" count="1">
            <x v="52"/>
          </reference>
        </references>
      </pivotArea>
    </format>
    <format dxfId="820">
      <pivotArea dataOnly="0" labelOnly="1" outline="0" fieldPosition="0">
        <references count="4">
          <reference field="1" count="1" selected="0">
            <x v="0"/>
          </reference>
          <reference field="5" count="1" selected="0">
            <x v="0"/>
          </reference>
          <reference field="11" count="1" selected="0">
            <x v="197"/>
          </reference>
          <reference field="12" count="1">
            <x v="50"/>
          </reference>
        </references>
      </pivotArea>
    </format>
    <format dxfId="819">
      <pivotArea dataOnly="0" labelOnly="1" outline="0" fieldPosition="0">
        <references count="4">
          <reference field="1" count="1" selected="0">
            <x v="0"/>
          </reference>
          <reference field="5" count="1" selected="0">
            <x v="1"/>
          </reference>
          <reference field="11" count="1" selected="0">
            <x v="21"/>
          </reference>
          <reference field="12" count="1">
            <x v="39"/>
          </reference>
        </references>
      </pivotArea>
    </format>
    <format dxfId="818">
      <pivotArea dataOnly="0" labelOnly="1" outline="0" fieldPosition="0">
        <references count="4">
          <reference field="1" count="1" selected="0">
            <x v="0"/>
          </reference>
          <reference field="5" count="1" selected="0">
            <x v="1"/>
          </reference>
          <reference field="11" count="1" selected="0">
            <x v="37"/>
          </reference>
          <reference field="12" count="1">
            <x v="40"/>
          </reference>
        </references>
      </pivotArea>
    </format>
    <format dxfId="817">
      <pivotArea dataOnly="0" labelOnly="1" outline="0" fieldPosition="0">
        <references count="4">
          <reference field="1" count="1" selected="0">
            <x v="0"/>
          </reference>
          <reference field="5" count="1" selected="0">
            <x v="1"/>
          </reference>
          <reference field="11" count="1" selected="0">
            <x v="54"/>
          </reference>
          <reference field="12" count="1">
            <x v="42"/>
          </reference>
        </references>
      </pivotArea>
    </format>
    <format dxfId="816">
      <pivotArea dataOnly="0" labelOnly="1" outline="0" fieldPosition="0">
        <references count="4">
          <reference field="1" count="1" selected="0">
            <x v="0"/>
          </reference>
          <reference field="5" count="1" selected="0">
            <x v="1"/>
          </reference>
          <reference field="11" count="1" selected="0">
            <x v="60"/>
          </reference>
          <reference field="12" count="1">
            <x v="162"/>
          </reference>
        </references>
      </pivotArea>
    </format>
    <format dxfId="815">
      <pivotArea dataOnly="0" labelOnly="1" outline="0" fieldPosition="0">
        <references count="4">
          <reference field="1" count="1" selected="0">
            <x v="0"/>
          </reference>
          <reference field="5" count="1" selected="0">
            <x v="1"/>
          </reference>
          <reference field="11" count="1" selected="0">
            <x v="153"/>
          </reference>
          <reference field="12" count="1">
            <x v="175"/>
          </reference>
        </references>
      </pivotArea>
    </format>
    <format dxfId="814">
      <pivotArea dataOnly="0" labelOnly="1" outline="0" fieldPosition="0">
        <references count="4">
          <reference field="1" count="1" selected="0">
            <x v="0"/>
          </reference>
          <reference field="5" count="1" selected="0">
            <x v="1"/>
          </reference>
          <reference field="11" count="1" selected="0">
            <x v="202"/>
          </reference>
          <reference field="12" count="1">
            <x v="216"/>
          </reference>
        </references>
      </pivotArea>
    </format>
    <format dxfId="813">
      <pivotArea dataOnly="0" labelOnly="1" outline="0" fieldPosition="0">
        <references count="4">
          <reference field="1" count="1" selected="0">
            <x v="0"/>
          </reference>
          <reference field="5" count="1" selected="0">
            <x v="2"/>
          </reference>
          <reference field="11" count="1" selected="0">
            <x v="1"/>
          </reference>
          <reference field="12" count="1">
            <x v="147"/>
          </reference>
        </references>
      </pivotArea>
    </format>
    <format dxfId="812">
      <pivotArea dataOnly="0" labelOnly="1" outline="0" fieldPosition="0">
        <references count="4">
          <reference field="1" count="1" selected="0">
            <x v="0"/>
          </reference>
          <reference field="5" count="1" selected="0">
            <x v="2"/>
          </reference>
          <reference field="11" count="1" selected="0">
            <x v="2"/>
          </reference>
          <reference field="12" count="1">
            <x v="136"/>
          </reference>
        </references>
      </pivotArea>
    </format>
    <format dxfId="811">
      <pivotArea dataOnly="0" labelOnly="1" outline="0" fieldPosition="0">
        <references count="4">
          <reference field="1" count="1" selected="0">
            <x v="0"/>
          </reference>
          <reference field="5" count="1" selected="0">
            <x v="2"/>
          </reference>
          <reference field="11" count="1" selected="0">
            <x v="4"/>
          </reference>
          <reference field="12" count="1">
            <x v="144"/>
          </reference>
        </references>
      </pivotArea>
    </format>
    <format dxfId="810">
      <pivotArea dataOnly="0" labelOnly="1" outline="0" fieldPosition="0">
        <references count="4">
          <reference field="1" count="1" selected="0">
            <x v="0"/>
          </reference>
          <reference field="5" count="1" selected="0">
            <x v="2"/>
          </reference>
          <reference field="11" count="1" selected="0">
            <x v="5"/>
          </reference>
          <reference field="12" count="1">
            <x v="157"/>
          </reference>
        </references>
      </pivotArea>
    </format>
    <format dxfId="809">
      <pivotArea dataOnly="0" labelOnly="1" outline="0" fieldPosition="0">
        <references count="4">
          <reference field="1" count="1" selected="0">
            <x v="0"/>
          </reference>
          <reference field="5" count="1" selected="0">
            <x v="2"/>
          </reference>
          <reference field="11" count="1" selected="0">
            <x v="13"/>
          </reference>
          <reference field="12" count="1">
            <x v="137"/>
          </reference>
        </references>
      </pivotArea>
    </format>
    <format dxfId="808">
      <pivotArea dataOnly="0" labelOnly="1" outline="0" fieldPosition="0">
        <references count="4">
          <reference field="1" count="1" selected="0">
            <x v="0"/>
          </reference>
          <reference field="5" count="1" selected="0">
            <x v="2"/>
          </reference>
          <reference field="11" count="1" selected="0">
            <x v="19"/>
          </reference>
          <reference field="12" count="1">
            <x v="103"/>
          </reference>
        </references>
      </pivotArea>
    </format>
    <format dxfId="807">
      <pivotArea dataOnly="0" labelOnly="1" outline="0" fieldPosition="0">
        <references count="4">
          <reference field="1" count="1" selected="0">
            <x v="0"/>
          </reference>
          <reference field="5" count="1" selected="0">
            <x v="2"/>
          </reference>
          <reference field="11" count="1" selected="0">
            <x v="23"/>
          </reference>
          <reference field="12" count="1">
            <x v="142"/>
          </reference>
        </references>
      </pivotArea>
    </format>
    <format dxfId="806">
      <pivotArea dataOnly="0" labelOnly="1" outline="0" fieldPosition="0">
        <references count="4">
          <reference field="1" count="1" selected="0">
            <x v="0"/>
          </reference>
          <reference field="5" count="1" selected="0">
            <x v="2"/>
          </reference>
          <reference field="11" count="1" selected="0">
            <x v="31"/>
          </reference>
          <reference field="12" count="1">
            <x v="129"/>
          </reference>
        </references>
      </pivotArea>
    </format>
    <format dxfId="805">
      <pivotArea dataOnly="0" labelOnly="1" outline="0" fieldPosition="0">
        <references count="4">
          <reference field="1" count="1" selected="0">
            <x v="0"/>
          </reference>
          <reference field="5" count="1" selected="0">
            <x v="2"/>
          </reference>
          <reference field="11" count="1" selected="0">
            <x v="32"/>
          </reference>
          <reference field="12" count="1">
            <x v="158"/>
          </reference>
        </references>
      </pivotArea>
    </format>
    <format dxfId="804">
      <pivotArea dataOnly="0" labelOnly="1" outline="0" fieldPosition="0">
        <references count="4">
          <reference field="1" count="1" selected="0">
            <x v="0"/>
          </reference>
          <reference field="5" count="1" selected="0">
            <x v="2"/>
          </reference>
          <reference field="11" count="1" selected="0">
            <x v="61"/>
          </reference>
          <reference field="12" count="1">
            <x v="149"/>
          </reference>
        </references>
      </pivotArea>
    </format>
    <format dxfId="803">
      <pivotArea dataOnly="0" labelOnly="1" outline="0" fieldPosition="0">
        <references count="4">
          <reference field="1" count="1" selected="0">
            <x v="0"/>
          </reference>
          <reference field="5" count="1" selected="0">
            <x v="2"/>
          </reference>
          <reference field="11" count="1" selected="0">
            <x v="62"/>
          </reference>
          <reference field="12" count="1">
            <x v="135"/>
          </reference>
        </references>
      </pivotArea>
    </format>
    <format dxfId="802">
      <pivotArea dataOnly="0" labelOnly="1" outline="0" fieldPosition="0">
        <references count="4">
          <reference field="1" count="1" selected="0">
            <x v="0"/>
          </reference>
          <reference field="5" count="1" selected="0">
            <x v="2"/>
          </reference>
          <reference field="11" count="1" selected="0">
            <x v="106"/>
          </reference>
          <reference field="12" count="1">
            <x v="85"/>
          </reference>
        </references>
      </pivotArea>
    </format>
    <format dxfId="801">
      <pivotArea dataOnly="0" labelOnly="1" outline="0" fieldPosition="0">
        <references count="4">
          <reference field="1" count="1" selected="0">
            <x v="0"/>
          </reference>
          <reference field="5" count="1" selected="0">
            <x v="2"/>
          </reference>
          <reference field="11" count="1" selected="0">
            <x v="133"/>
          </reference>
          <reference field="12" count="1">
            <x v="159"/>
          </reference>
        </references>
      </pivotArea>
    </format>
    <format dxfId="800">
      <pivotArea dataOnly="0" labelOnly="1" outline="0" fieldPosition="0">
        <references count="4">
          <reference field="1" count="1" selected="0">
            <x v="0"/>
          </reference>
          <reference field="5" count="1" selected="0">
            <x v="2"/>
          </reference>
          <reference field="11" count="1" selected="0">
            <x v="138"/>
          </reference>
          <reference field="12" count="1">
            <x v="97"/>
          </reference>
        </references>
      </pivotArea>
    </format>
    <format dxfId="799">
      <pivotArea dataOnly="0" labelOnly="1" outline="0" fieldPosition="0">
        <references count="4">
          <reference field="1" count="1" selected="0">
            <x v="0"/>
          </reference>
          <reference field="5" count="1" selected="0">
            <x v="2"/>
          </reference>
          <reference field="11" count="1" selected="0">
            <x v="162"/>
          </reference>
          <reference field="12" count="1">
            <x v="150"/>
          </reference>
        </references>
      </pivotArea>
    </format>
    <format dxfId="798">
      <pivotArea dataOnly="0" labelOnly="1" outline="0" fieldPosition="0">
        <references count="4">
          <reference field="1" count="1" selected="0">
            <x v="0"/>
          </reference>
          <reference field="5" count="1" selected="0">
            <x v="2"/>
          </reference>
          <reference field="11" count="1" selected="0">
            <x v="165"/>
          </reference>
          <reference field="12" count="1">
            <x v="151"/>
          </reference>
        </references>
      </pivotArea>
    </format>
    <format dxfId="797">
      <pivotArea dataOnly="0" labelOnly="1" outline="0" fieldPosition="0">
        <references count="4">
          <reference field="1" count="1" selected="0">
            <x v="0"/>
          </reference>
          <reference field="5" count="1" selected="0">
            <x v="2"/>
          </reference>
          <reference field="11" count="1" selected="0">
            <x v="192"/>
          </reference>
          <reference field="12" count="1">
            <x v="152"/>
          </reference>
        </references>
      </pivotArea>
    </format>
    <format dxfId="796">
      <pivotArea dataOnly="0" labelOnly="1" outline="0" fieldPosition="0">
        <references count="4">
          <reference field="1" count="1" selected="0">
            <x v="0"/>
          </reference>
          <reference field="5" count="1" selected="0">
            <x v="2"/>
          </reference>
          <reference field="11" count="1" selected="0">
            <x v="198"/>
          </reference>
          <reference field="12" count="1">
            <x v="99"/>
          </reference>
        </references>
      </pivotArea>
    </format>
    <format dxfId="795">
      <pivotArea dataOnly="0" labelOnly="1" outline="0" fieldPosition="0">
        <references count="4">
          <reference field="1" count="1" selected="0">
            <x v="0"/>
          </reference>
          <reference field="5" count="1" selected="0">
            <x v="2"/>
          </reference>
          <reference field="11" count="1" selected="0">
            <x v="209"/>
          </reference>
          <reference field="12" count="1">
            <x v="224"/>
          </reference>
        </references>
      </pivotArea>
    </format>
    <format dxfId="794">
      <pivotArea dataOnly="0" labelOnly="1" outline="0" fieldPosition="0">
        <references count="4">
          <reference field="1" count="1" selected="0">
            <x v="0"/>
          </reference>
          <reference field="5" count="1" selected="0">
            <x v="2"/>
          </reference>
          <reference field="11" count="1" selected="0">
            <x v="213"/>
          </reference>
          <reference field="12" count="1">
            <x v="227"/>
          </reference>
        </references>
      </pivotArea>
    </format>
    <format dxfId="793">
      <pivotArea dataOnly="0" labelOnly="1" outline="0" fieldPosition="0">
        <references count="4">
          <reference field="1" count="1" selected="0">
            <x v="0"/>
          </reference>
          <reference field="5" count="1" selected="0">
            <x v="2"/>
          </reference>
          <reference field="11" count="1" selected="0">
            <x v="229"/>
          </reference>
          <reference field="12" count="1">
            <x v="239"/>
          </reference>
        </references>
      </pivotArea>
    </format>
    <format dxfId="792">
      <pivotArea dataOnly="0" labelOnly="1" outline="0" fieldPosition="0">
        <references count="4">
          <reference field="1" count="1" selected="0">
            <x v="0"/>
          </reference>
          <reference field="5" count="1" selected="0">
            <x v="2"/>
          </reference>
          <reference field="11" count="1" selected="0">
            <x v="236"/>
          </reference>
          <reference field="12" count="1">
            <x v="249"/>
          </reference>
        </references>
      </pivotArea>
    </format>
    <format dxfId="791">
      <pivotArea dataOnly="0" labelOnly="1" outline="0" fieldPosition="0">
        <references count="4">
          <reference field="1" count="1" selected="0">
            <x v="0"/>
          </reference>
          <reference field="5" count="1" selected="0">
            <x v="2"/>
          </reference>
          <reference field="11" count="1" selected="0">
            <x v="237"/>
          </reference>
          <reference field="12" count="1">
            <x v="250"/>
          </reference>
        </references>
      </pivotArea>
    </format>
    <format dxfId="790">
      <pivotArea dataOnly="0" labelOnly="1" outline="0" fieldPosition="0">
        <references count="4">
          <reference field="1" count="1" selected="0">
            <x v="0"/>
          </reference>
          <reference field="5" count="1" selected="0">
            <x v="2"/>
          </reference>
          <reference field="11" count="1" selected="0">
            <x v="238"/>
          </reference>
          <reference field="12" count="1">
            <x v="251"/>
          </reference>
        </references>
      </pivotArea>
    </format>
    <format dxfId="789">
      <pivotArea dataOnly="0" labelOnly="1" outline="0" fieldPosition="0">
        <references count="4">
          <reference field="1" count="1" selected="0">
            <x v="0"/>
          </reference>
          <reference field="5" count="1" selected="0">
            <x v="2"/>
          </reference>
          <reference field="11" count="1" selected="0">
            <x v="239"/>
          </reference>
          <reference field="12" count="1">
            <x v="252"/>
          </reference>
        </references>
      </pivotArea>
    </format>
    <format dxfId="788">
      <pivotArea dataOnly="0" labelOnly="1" outline="0" fieldPosition="0">
        <references count="4">
          <reference field="1" count="1" selected="0">
            <x v="0"/>
          </reference>
          <reference field="5" count="1" selected="0">
            <x v="2"/>
          </reference>
          <reference field="11" count="1" selected="0">
            <x v="240"/>
          </reference>
          <reference field="12" count="1">
            <x v="253"/>
          </reference>
        </references>
      </pivotArea>
    </format>
    <format dxfId="787">
      <pivotArea dataOnly="0" labelOnly="1" outline="0" fieldPosition="0">
        <references count="4">
          <reference field="1" count="1" selected="0">
            <x v="0"/>
          </reference>
          <reference field="5" count="1" selected="0">
            <x v="5"/>
          </reference>
          <reference field="11" count="1" selected="0">
            <x v="52"/>
          </reference>
          <reference field="12" count="1">
            <x v="71"/>
          </reference>
        </references>
      </pivotArea>
    </format>
    <format dxfId="786">
      <pivotArea dataOnly="0" labelOnly="1" outline="0" fieldPosition="0">
        <references count="4">
          <reference field="1" count="1" selected="0">
            <x v="0"/>
          </reference>
          <reference field="5" count="1" selected="0">
            <x v="8"/>
          </reference>
          <reference field="11" count="1" selected="0">
            <x v="18"/>
          </reference>
          <reference field="12" count="1">
            <x v="119"/>
          </reference>
        </references>
      </pivotArea>
    </format>
    <format dxfId="785">
      <pivotArea dataOnly="0" labelOnly="1" outline="0" fieldPosition="0">
        <references count="4">
          <reference field="1" count="1" selected="0">
            <x v="0"/>
          </reference>
          <reference field="5" count="1" selected="0">
            <x v="8"/>
          </reference>
          <reference field="11" count="1" selected="0">
            <x v="34"/>
          </reference>
          <reference field="12" count="1">
            <x v="163"/>
          </reference>
        </references>
      </pivotArea>
    </format>
    <format dxfId="784">
      <pivotArea dataOnly="0" labelOnly="1" outline="0" fieldPosition="0">
        <references count="4">
          <reference field="1" count="1" selected="0">
            <x v="0"/>
          </reference>
          <reference field="5" count="1" selected="0">
            <x v="8"/>
          </reference>
          <reference field="11" count="1" selected="0">
            <x v="55"/>
          </reference>
          <reference field="12" count="1">
            <x v="118"/>
          </reference>
        </references>
      </pivotArea>
    </format>
    <format dxfId="783">
      <pivotArea dataOnly="0" labelOnly="1" outline="0" fieldPosition="0">
        <references count="4">
          <reference field="1" count="1" selected="0">
            <x v="0"/>
          </reference>
          <reference field="5" count="1" selected="0">
            <x v="8"/>
          </reference>
          <reference field="11" count="1" selected="0">
            <x v="77"/>
          </reference>
          <reference field="12" count="1">
            <x v="183"/>
          </reference>
        </references>
      </pivotArea>
    </format>
    <format dxfId="782">
      <pivotArea dataOnly="0" labelOnly="1" outline="0" fieldPosition="0">
        <references count="4">
          <reference field="1" count="1" selected="0">
            <x v="0"/>
          </reference>
          <reference field="5" count="1" selected="0">
            <x v="8"/>
          </reference>
          <reference field="11" count="1" selected="0">
            <x v="85"/>
          </reference>
          <reference field="12" count="1">
            <x v="122"/>
          </reference>
        </references>
      </pivotArea>
    </format>
    <format dxfId="781">
      <pivotArea dataOnly="0" labelOnly="1" outline="0" fieldPosition="0">
        <references count="4">
          <reference field="1" count="1" selected="0">
            <x v="0"/>
          </reference>
          <reference field="5" count="1" selected="0">
            <x v="8"/>
          </reference>
          <reference field="11" count="1" selected="0">
            <x v="86"/>
          </reference>
          <reference field="12" count="1">
            <x v="121"/>
          </reference>
        </references>
      </pivotArea>
    </format>
    <format dxfId="780">
      <pivotArea dataOnly="0" labelOnly="1" outline="0" fieldPosition="0">
        <references count="4">
          <reference field="1" count="1" selected="0">
            <x v="0"/>
          </reference>
          <reference field="5" count="1" selected="0">
            <x v="8"/>
          </reference>
          <reference field="11" count="1" selected="0">
            <x v="91"/>
          </reference>
          <reference field="12" count="1">
            <x v="63"/>
          </reference>
        </references>
      </pivotArea>
    </format>
    <format dxfId="779">
      <pivotArea dataOnly="0" labelOnly="1" outline="0" fieldPosition="0">
        <references count="4">
          <reference field="1" count="1" selected="0">
            <x v="0"/>
          </reference>
          <reference field="5" count="1" selected="0">
            <x v="8"/>
          </reference>
          <reference field="11" count="1" selected="0">
            <x v="201"/>
          </reference>
          <reference field="12" count="1">
            <x v="214"/>
          </reference>
        </references>
      </pivotArea>
    </format>
    <format dxfId="778">
      <pivotArea dataOnly="0" labelOnly="1" outline="0" fieldPosition="0">
        <references count="4">
          <reference field="1" count="1" selected="0">
            <x v="0"/>
          </reference>
          <reference field="5" count="1" selected="0">
            <x v="8"/>
          </reference>
          <reference field="11" count="1" selected="0">
            <x v="207"/>
          </reference>
          <reference field="12" count="1">
            <x v="222"/>
          </reference>
        </references>
      </pivotArea>
    </format>
    <format dxfId="777">
      <pivotArea dataOnly="0" labelOnly="1" outline="0" fieldPosition="0">
        <references count="4">
          <reference field="1" count="1" selected="0">
            <x v="0"/>
          </reference>
          <reference field="5" count="1" selected="0">
            <x v="8"/>
          </reference>
          <reference field="11" count="1" selected="0">
            <x v="211"/>
          </reference>
          <reference field="12" count="1">
            <x v="225"/>
          </reference>
        </references>
      </pivotArea>
    </format>
    <format dxfId="776">
      <pivotArea dataOnly="0" labelOnly="1" outline="0" fieldPosition="0">
        <references count="4">
          <reference field="1" count="1" selected="0">
            <x v="0"/>
          </reference>
          <reference field="5" count="1" selected="0">
            <x v="10"/>
          </reference>
          <reference field="11" count="1" selected="0">
            <x v="51"/>
          </reference>
          <reference field="12" count="1">
            <x v="74"/>
          </reference>
        </references>
      </pivotArea>
    </format>
    <format dxfId="775">
      <pivotArea dataOnly="0" labelOnly="1" outline="0" fieldPosition="0">
        <references count="4">
          <reference field="1" count="1" selected="0">
            <x v="0"/>
          </reference>
          <reference field="5" count="1" selected="0">
            <x v="10"/>
          </reference>
          <reference field="11" count="1" selected="0">
            <x v="141"/>
          </reference>
          <reference field="12" count="1">
            <x v="75"/>
          </reference>
        </references>
      </pivotArea>
    </format>
    <format dxfId="774">
      <pivotArea dataOnly="0" labelOnly="1" outline="0" fieldPosition="0">
        <references count="4">
          <reference field="1" count="1" selected="0">
            <x v="0"/>
          </reference>
          <reference field="5" count="1" selected="0">
            <x v="10"/>
          </reference>
          <reference field="11" count="1" selected="0">
            <x v="222"/>
          </reference>
          <reference field="12" count="1">
            <x v="232"/>
          </reference>
        </references>
      </pivotArea>
    </format>
    <format dxfId="773">
      <pivotArea dataOnly="0" labelOnly="1" outline="0" fieldPosition="0">
        <references count="4">
          <reference field="1" count="1" selected="0">
            <x v="0"/>
          </reference>
          <reference field="5" count="1" selected="0">
            <x v="10"/>
          </reference>
          <reference field="11" count="1" selected="0">
            <x v="223"/>
          </reference>
          <reference field="12" count="1">
            <x v="233"/>
          </reference>
        </references>
      </pivotArea>
    </format>
    <format dxfId="772">
      <pivotArea dataOnly="0" labelOnly="1" outline="0" fieldPosition="0">
        <references count="4">
          <reference field="1" count="1" selected="0">
            <x v="0"/>
          </reference>
          <reference field="5" count="1" selected="0">
            <x v="10"/>
          </reference>
          <reference field="11" count="1" selected="0">
            <x v="224"/>
          </reference>
          <reference field="12" count="1">
            <x v="234"/>
          </reference>
        </references>
      </pivotArea>
    </format>
    <format dxfId="771">
      <pivotArea dataOnly="0" labelOnly="1" outline="0" fieldPosition="0">
        <references count="4">
          <reference field="1" count="1" selected="0">
            <x v="0"/>
          </reference>
          <reference field="5" count="1" selected="0">
            <x v="11"/>
          </reference>
          <reference field="11" count="1" selected="0">
            <x v="144"/>
          </reference>
          <reference field="12" count="1">
            <x v="130"/>
          </reference>
        </references>
      </pivotArea>
    </format>
    <format dxfId="770">
      <pivotArea dataOnly="0" labelOnly="1" outline="0" fieldPosition="0">
        <references count="4">
          <reference field="1" count="1" selected="0">
            <x v="0"/>
          </reference>
          <reference field="5" count="1" selected="0">
            <x v="11"/>
          </reference>
          <reference field="11" count="1" selected="0">
            <x v="175"/>
          </reference>
          <reference field="12" count="1">
            <x v="76"/>
          </reference>
        </references>
      </pivotArea>
    </format>
    <format dxfId="769">
      <pivotArea dataOnly="0" labelOnly="1" outline="0" fieldPosition="0">
        <references count="4">
          <reference field="1" count="1" selected="0">
            <x v="0"/>
          </reference>
          <reference field="5" count="1" selected="0">
            <x v="12"/>
          </reference>
          <reference field="11" count="1" selected="0">
            <x v="24"/>
          </reference>
          <reference field="12" count="1">
            <x v="116"/>
          </reference>
        </references>
      </pivotArea>
    </format>
    <format dxfId="768">
      <pivotArea dataOnly="0" labelOnly="1" outline="0" fieldPosition="0">
        <references count="4">
          <reference field="1" count="1" selected="0">
            <x v="0"/>
          </reference>
          <reference field="5" count="1" selected="0">
            <x v="12"/>
          </reference>
          <reference field="11" count="1" selected="0">
            <x v="34"/>
          </reference>
          <reference field="12" count="1">
            <x v="164"/>
          </reference>
        </references>
      </pivotArea>
    </format>
    <format dxfId="767">
      <pivotArea dataOnly="0" labelOnly="1" outline="0" fieldPosition="0">
        <references count="4">
          <reference field="1" count="1" selected="0">
            <x v="0"/>
          </reference>
          <reference field="5" count="1" selected="0">
            <x v="12"/>
          </reference>
          <reference field="11" count="1" selected="0">
            <x v="38"/>
          </reference>
          <reference field="12" count="1">
            <x v="115"/>
          </reference>
        </references>
      </pivotArea>
    </format>
    <format dxfId="766">
      <pivotArea dataOnly="0" labelOnly="1" outline="0" fieldPosition="0">
        <references count="4">
          <reference field="1" count="1" selected="0">
            <x v="0"/>
          </reference>
          <reference field="5" count="1" selected="0">
            <x v="12"/>
          </reference>
          <reference field="11" count="1" selected="0">
            <x v="46"/>
          </reference>
          <reference field="12" count="1">
            <x v="167"/>
          </reference>
        </references>
      </pivotArea>
    </format>
    <format dxfId="765">
      <pivotArea dataOnly="0" labelOnly="1" outline="0" fieldPosition="0">
        <references count="4">
          <reference field="1" count="1" selected="0">
            <x v="0"/>
          </reference>
          <reference field="5" count="1" selected="0">
            <x v="12"/>
          </reference>
          <reference field="11" count="1" selected="0">
            <x v="64"/>
          </reference>
          <reference field="12" count="1">
            <x v="68"/>
          </reference>
        </references>
      </pivotArea>
    </format>
    <format dxfId="764">
      <pivotArea dataOnly="0" labelOnly="1" outline="0" fieldPosition="0">
        <references count="4">
          <reference field="1" count="1" selected="0">
            <x v="0"/>
          </reference>
          <reference field="5" count="1" selected="0">
            <x v="12"/>
          </reference>
          <reference field="11" count="1" selected="0">
            <x v="65"/>
          </reference>
          <reference field="12" count="1">
            <x v="66"/>
          </reference>
        </references>
      </pivotArea>
    </format>
    <format dxfId="763">
      <pivotArea dataOnly="0" labelOnly="1" outline="0" fieldPosition="0">
        <references count="4">
          <reference field="1" count="1" selected="0">
            <x v="0"/>
          </reference>
          <reference field="5" count="1" selected="0">
            <x v="12"/>
          </reference>
          <reference field="11" count="1" selected="0">
            <x v="66"/>
          </reference>
          <reference field="12" count="1">
            <x v="67"/>
          </reference>
        </references>
      </pivotArea>
    </format>
    <format dxfId="762">
      <pivotArea dataOnly="0" labelOnly="1" outline="0" fieldPosition="0">
        <references count="4">
          <reference field="1" count="1" selected="0">
            <x v="0"/>
          </reference>
          <reference field="5" count="1" selected="0">
            <x v="12"/>
          </reference>
          <reference field="11" count="1" selected="0">
            <x v="72"/>
          </reference>
          <reference field="12" count="1">
            <x v="61"/>
          </reference>
        </references>
      </pivotArea>
    </format>
    <format dxfId="761">
      <pivotArea dataOnly="0" labelOnly="1" outline="0" fieldPosition="0">
        <references count="4">
          <reference field="1" count="1" selected="0">
            <x v="0"/>
          </reference>
          <reference field="5" count="1" selected="0">
            <x v="12"/>
          </reference>
          <reference field="11" count="1" selected="0">
            <x v="79"/>
          </reference>
          <reference field="12" count="1">
            <x v="59"/>
          </reference>
        </references>
      </pivotArea>
    </format>
    <format dxfId="760">
      <pivotArea dataOnly="0" labelOnly="1" outline="0" fieldPosition="0">
        <references count="4">
          <reference field="1" count="1" selected="0">
            <x v="0"/>
          </reference>
          <reference field="5" count="1" selected="0">
            <x v="12"/>
          </reference>
          <reference field="11" count="1" selected="0">
            <x v="83"/>
          </reference>
          <reference field="12" count="1">
            <x v="60"/>
          </reference>
        </references>
      </pivotArea>
    </format>
    <format dxfId="759">
      <pivotArea dataOnly="0" labelOnly="1" outline="0" fieldPosition="0">
        <references count="4">
          <reference field="1" count="1" selected="0">
            <x v="0"/>
          </reference>
          <reference field="5" count="1" selected="0">
            <x v="12"/>
          </reference>
          <reference field="11" count="1" selected="0">
            <x v="84"/>
          </reference>
          <reference field="12" count="1">
            <x v="165"/>
          </reference>
        </references>
      </pivotArea>
    </format>
    <format dxfId="758">
      <pivotArea dataOnly="0" labelOnly="1" outline="0" fieldPosition="0">
        <references count="4">
          <reference field="1" count="1" selected="0">
            <x v="0"/>
          </reference>
          <reference field="5" count="1" selected="0">
            <x v="12"/>
          </reference>
          <reference field="11" count="1" selected="0">
            <x v="109"/>
          </reference>
          <reference field="12" count="1">
            <x v="53"/>
          </reference>
        </references>
      </pivotArea>
    </format>
    <format dxfId="757">
      <pivotArea dataOnly="0" labelOnly="1" outline="0" fieldPosition="0">
        <references count="4">
          <reference field="1" count="1" selected="0">
            <x v="0"/>
          </reference>
          <reference field="5" count="1" selected="0">
            <x v="12"/>
          </reference>
          <reference field="11" count="1" selected="0">
            <x v="120"/>
          </reference>
          <reference field="12" count="1">
            <x v="58"/>
          </reference>
        </references>
      </pivotArea>
    </format>
    <format dxfId="756">
      <pivotArea dataOnly="0" labelOnly="1" outline="0" fieldPosition="0">
        <references count="4">
          <reference field="1" count="1" selected="0">
            <x v="0"/>
          </reference>
          <reference field="5" count="1" selected="0">
            <x v="12"/>
          </reference>
          <reference field="11" count="1" selected="0">
            <x v="147"/>
          </reference>
          <reference field="12" count="1">
            <x v="120"/>
          </reference>
        </references>
      </pivotArea>
    </format>
    <format dxfId="755">
      <pivotArea dataOnly="0" labelOnly="1" outline="0" fieldPosition="0">
        <references count="4">
          <reference field="1" count="1" selected="0">
            <x v="0"/>
          </reference>
          <reference field="5" count="1" selected="0">
            <x v="12"/>
          </reference>
          <reference field="11" count="1" selected="0">
            <x v="150"/>
          </reference>
          <reference field="12" count="1">
            <x v="69"/>
          </reference>
        </references>
      </pivotArea>
    </format>
    <format dxfId="754">
      <pivotArea dataOnly="0" labelOnly="1" outline="0" fieldPosition="0">
        <references count="4">
          <reference field="1" count="1" selected="0">
            <x v="0"/>
          </reference>
          <reference field="5" count="1" selected="0">
            <x v="12"/>
          </reference>
          <reference field="11" count="1" selected="0">
            <x v="152"/>
          </reference>
          <reference field="12" count="1">
            <x v="117"/>
          </reference>
        </references>
      </pivotArea>
    </format>
    <format dxfId="753">
      <pivotArea dataOnly="0" labelOnly="1" outline="0" fieldPosition="0">
        <references count="4">
          <reference field="1" count="1" selected="0">
            <x v="0"/>
          </reference>
          <reference field="5" count="1" selected="0">
            <x v="12"/>
          </reference>
          <reference field="11" count="1" selected="0">
            <x v="156"/>
          </reference>
          <reference field="12" count="1">
            <x v="62"/>
          </reference>
        </references>
      </pivotArea>
    </format>
    <format dxfId="752">
      <pivotArea dataOnly="0" labelOnly="1" outline="0" fieldPosition="0">
        <references count="4">
          <reference field="1" count="1" selected="0">
            <x v="0"/>
          </reference>
          <reference field="5" count="1" selected="0">
            <x v="12"/>
          </reference>
          <reference field="11" count="1" selected="0">
            <x v="167"/>
          </reference>
          <reference field="12" count="1">
            <x v="70"/>
          </reference>
        </references>
      </pivotArea>
    </format>
    <format dxfId="751">
      <pivotArea dataOnly="0" labelOnly="1" outline="0" fieldPosition="0">
        <references count="4">
          <reference field="1" count="1" selected="0">
            <x v="0"/>
          </reference>
          <reference field="5" count="1" selected="0">
            <x v="12"/>
          </reference>
          <reference field="11" count="1" selected="0">
            <x v="180"/>
          </reference>
          <reference field="12" count="1">
            <x v="57"/>
          </reference>
        </references>
      </pivotArea>
    </format>
    <format dxfId="750">
      <pivotArea dataOnly="0" labelOnly="1" outline="0" fieldPosition="0">
        <references count="4">
          <reference field="1" count="1" selected="0">
            <x v="0"/>
          </reference>
          <reference field="5" count="1" selected="0">
            <x v="12"/>
          </reference>
          <reference field="11" count="1" selected="0">
            <x v="227"/>
          </reference>
          <reference field="12" count="1">
            <x v="237"/>
          </reference>
        </references>
      </pivotArea>
    </format>
    <format dxfId="749">
      <pivotArea dataOnly="0" labelOnly="1" outline="0" fieldPosition="0">
        <references count="4">
          <reference field="1" count="1" selected="0">
            <x v="0"/>
          </reference>
          <reference field="5" count="1" selected="0">
            <x v="14"/>
          </reference>
          <reference field="11" count="1" selected="0">
            <x v="42"/>
          </reference>
          <reference field="12" count="1">
            <x v="15"/>
          </reference>
        </references>
      </pivotArea>
    </format>
    <format dxfId="748">
      <pivotArea dataOnly="0" labelOnly="1" outline="0" fieldPosition="0">
        <references count="4">
          <reference field="1" count="1" selected="0">
            <x v="0"/>
          </reference>
          <reference field="5" count="1" selected="0">
            <x v="14"/>
          </reference>
          <reference field="11" count="1" selected="0">
            <x v="43"/>
          </reference>
          <reference field="12" count="1">
            <x v="16"/>
          </reference>
        </references>
      </pivotArea>
    </format>
    <format dxfId="747">
      <pivotArea dataOnly="0" labelOnly="1" outline="0" fieldPosition="0">
        <references count="4">
          <reference field="1" count="1" selected="0">
            <x v="0"/>
          </reference>
          <reference field="5" count="1" selected="0">
            <x v="14"/>
          </reference>
          <reference field="11" count="1" selected="0">
            <x v="50"/>
          </reference>
          <reference field="12" count="1">
            <x v="10"/>
          </reference>
        </references>
      </pivotArea>
    </format>
    <format dxfId="746">
      <pivotArea dataOnly="0" labelOnly="1" outline="0" fieldPosition="0">
        <references count="4">
          <reference field="1" count="1" selected="0">
            <x v="0"/>
          </reference>
          <reference field="5" count="1" selected="0">
            <x v="14"/>
          </reference>
          <reference field="11" count="1" selected="0">
            <x v="58"/>
          </reference>
          <reference field="12" count="1">
            <x v="12"/>
          </reference>
        </references>
      </pivotArea>
    </format>
    <format dxfId="745">
      <pivotArea dataOnly="0" labelOnly="1" outline="0" fieldPosition="0">
        <references count="4">
          <reference field="1" count="1" selected="0">
            <x v="0"/>
          </reference>
          <reference field="5" count="1" selected="0">
            <x v="14"/>
          </reference>
          <reference field="11" count="1" selected="0">
            <x v="59"/>
          </reference>
          <reference field="12" count="1">
            <x v="11"/>
          </reference>
        </references>
      </pivotArea>
    </format>
    <format dxfId="744">
      <pivotArea dataOnly="0" labelOnly="1" outline="0" fieldPosition="0">
        <references count="4">
          <reference field="1" count="1" selected="0">
            <x v="0"/>
          </reference>
          <reference field="5" count="1" selected="0">
            <x v="14"/>
          </reference>
          <reference field="11" count="1" selected="0">
            <x v="78"/>
          </reference>
          <reference field="12" count="1">
            <x v="13"/>
          </reference>
        </references>
      </pivotArea>
    </format>
    <format dxfId="743">
      <pivotArea dataOnly="0" labelOnly="1" outline="0" fieldPosition="0">
        <references count="4">
          <reference field="1" count="1" selected="0">
            <x v="0"/>
          </reference>
          <reference field="5" count="1" selected="0">
            <x v="14"/>
          </reference>
          <reference field="11" count="1" selected="0">
            <x v="80"/>
          </reference>
          <reference field="12" count="1">
            <x v="7"/>
          </reference>
        </references>
      </pivotArea>
    </format>
    <format dxfId="742">
      <pivotArea dataOnly="0" labelOnly="1" outline="0" fieldPosition="0">
        <references count="4">
          <reference field="1" count="1" selected="0">
            <x v="0"/>
          </reference>
          <reference field="5" count="1" selected="0">
            <x v="14"/>
          </reference>
          <reference field="11" count="1" selected="0">
            <x v="100"/>
          </reference>
          <reference field="12" count="1">
            <x v="17"/>
          </reference>
        </references>
      </pivotArea>
    </format>
    <format dxfId="741">
      <pivotArea dataOnly="0" labelOnly="1" outline="0" fieldPosition="0">
        <references count="4">
          <reference field="1" count="1" selected="0">
            <x v="0"/>
          </reference>
          <reference field="5" count="1" selected="0">
            <x v="14"/>
          </reference>
          <reference field="11" count="1" selected="0">
            <x v="101"/>
          </reference>
          <reference field="12" count="1">
            <x v="18"/>
          </reference>
        </references>
      </pivotArea>
    </format>
    <format dxfId="740">
      <pivotArea dataOnly="0" labelOnly="1" outline="0" fieldPosition="0">
        <references count="4">
          <reference field="1" count="1" selected="0">
            <x v="0"/>
          </reference>
          <reference field="5" count="1" selected="0">
            <x v="14"/>
          </reference>
          <reference field="11" count="1" selected="0">
            <x v="136"/>
          </reference>
          <reference field="12" count="1">
            <x v="21"/>
          </reference>
        </references>
      </pivotArea>
    </format>
    <format dxfId="739">
      <pivotArea dataOnly="0" labelOnly="1" outline="0" fieldPosition="0">
        <references count="4">
          <reference field="1" count="1" selected="0">
            <x v="0"/>
          </reference>
          <reference field="5" count="1" selected="0">
            <x v="14"/>
          </reference>
          <reference field="11" count="1" selected="0">
            <x v="149"/>
          </reference>
          <reference field="12" count="1">
            <x v="1"/>
          </reference>
        </references>
      </pivotArea>
    </format>
    <format dxfId="738">
      <pivotArea dataOnly="0" labelOnly="1" outline="0" fieldPosition="0">
        <references count="4">
          <reference field="1" count="1" selected="0">
            <x v="0"/>
          </reference>
          <reference field="5" count="1" selected="0">
            <x v="14"/>
          </reference>
          <reference field="11" count="1" selected="0">
            <x v="151"/>
          </reference>
          <reference field="12" count="1">
            <x v="133"/>
          </reference>
        </references>
      </pivotArea>
    </format>
    <format dxfId="737">
      <pivotArea dataOnly="0" labelOnly="1" outline="0" fieldPosition="0">
        <references count="4">
          <reference field="1" count="1" selected="0">
            <x v="0"/>
          </reference>
          <reference field="5" count="1" selected="0">
            <x v="14"/>
          </reference>
          <reference field="11" count="1" selected="0">
            <x v="168"/>
          </reference>
          <reference field="12" count="1">
            <x v="5"/>
          </reference>
        </references>
      </pivotArea>
    </format>
    <format dxfId="736">
      <pivotArea dataOnly="0" labelOnly="1" outline="0" fieldPosition="0">
        <references count="4">
          <reference field="1" count="1" selected="0">
            <x v="0"/>
          </reference>
          <reference field="5" count="1" selected="0">
            <x v="14"/>
          </reference>
          <reference field="11" count="1" selected="0">
            <x v="169"/>
          </reference>
          <reference field="12" count="1">
            <x v="6"/>
          </reference>
        </references>
      </pivotArea>
    </format>
    <format dxfId="735">
      <pivotArea dataOnly="0" labelOnly="1" outline="0" fieldPosition="0">
        <references count="4">
          <reference field="1" count="1" selected="0">
            <x v="0"/>
          </reference>
          <reference field="5" count="1" selected="0">
            <x v="14"/>
          </reference>
          <reference field="11" count="1" selected="0">
            <x v="173"/>
          </reference>
          <reference field="12" count="1">
            <x v="8"/>
          </reference>
        </references>
      </pivotArea>
    </format>
    <format dxfId="734">
      <pivotArea dataOnly="0" labelOnly="1" outline="0" fieldPosition="0">
        <references count="4">
          <reference field="1" count="1" selected="0">
            <x v="0"/>
          </reference>
          <reference field="5" count="1" selected="0">
            <x v="14"/>
          </reference>
          <reference field="11" count="1" selected="0">
            <x v="181"/>
          </reference>
          <reference field="12" count="1">
            <x v="0"/>
          </reference>
        </references>
      </pivotArea>
    </format>
    <format dxfId="733">
      <pivotArea dataOnly="0" labelOnly="1" outline="0" fieldPosition="0">
        <references count="4">
          <reference field="1" count="1" selected="0">
            <x v="0"/>
          </reference>
          <reference field="5" count="1" selected="0">
            <x v="14"/>
          </reference>
          <reference field="11" count="1" selected="0">
            <x v="182"/>
          </reference>
          <reference field="12" count="1">
            <x v="3"/>
          </reference>
        </references>
      </pivotArea>
    </format>
    <format dxfId="732">
      <pivotArea dataOnly="0" labelOnly="1" outline="0" fieldPosition="0">
        <references count="4">
          <reference field="1" count="1" selected="0">
            <x v="0"/>
          </reference>
          <reference field="5" count="1" selected="0">
            <x v="14"/>
          </reference>
          <reference field="11" count="1" selected="0">
            <x v="183"/>
          </reference>
          <reference field="12" count="1">
            <x v="2"/>
          </reference>
        </references>
      </pivotArea>
    </format>
    <format dxfId="731">
      <pivotArea dataOnly="0" labelOnly="1" outline="0" fieldPosition="0">
        <references count="4">
          <reference field="1" count="1" selected="0">
            <x v="0"/>
          </reference>
          <reference field="5" count="1" selected="0">
            <x v="14"/>
          </reference>
          <reference field="11" count="1" selected="0">
            <x v="184"/>
          </reference>
          <reference field="12" count="1">
            <x v="4"/>
          </reference>
        </references>
      </pivotArea>
    </format>
    <format dxfId="730">
      <pivotArea dataOnly="0" labelOnly="1" outline="0" fieldPosition="0">
        <references count="4">
          <reference field="1" count="1" selected="0">
            <x v="0"/>
          </reference>
          <reference field="5" count="1" selected="0">
            <x v="14"/>
          </reference>
          <reference field="11" count="1" selected="0">
            <x v="196"/>
          </reference>
          <reference field="12" count="1">
            <x v="19"/>
          </reference>
        </references>
      </pivotArea>
    </format>
    <format dxfId="729">
      <pivotArea dataOnly="0" labelOnly="1" outline="0" fieldPosition="0">
        <references count="4">
          <reference field="1" count="1" selected="0">
            <x v="0"/>
          </reference>
          <reference field="5" count="1" selected="0">
            <x v="14"/>
          </reference>
          <reference field="11" count="1" selected="0">
            <x v="218"/>
          </reference>
          <reference field="12" count="1">
            <x v="20"/>
          </reference>
        </references>
      </pivotArea>
    </format>
    <format dxfId="728">
      <pivotArea dataOnly="0" labelOnly="1" outline="0" fieldPosition="0">
        <references count="4">
          <reference field="1" count="1" selected="0">
            <x v="0"/>
          </reference>
          <reference field="5" count="1" selected="0">
            <x v="17"/>
          </reference>
          <reference field="11" count="1" selected="0">
            <x v="188"/>
          </reference>
          <reference field="12" count="1">
            <x v="72"/>
          </reference>
        </references>
      </pivotArea>
    </format>
    <format dxfId="727">
      <pivotArea dataOnly="0" labelOnly="1" outline="0" fieldPosition="0">
        <references count="4">
          <reference field="1" count="1" selected="0">
            <x v="0"/>
          </reference>
          <reference field="5" count="1" selected="0">
            <x v="17"/>
          </reference>
          <reference field="11" count="1" selected="0">
            <x v="220"/>
          </reference>
          <reference field="12" count="1">
            <x v="231"/>
          </reference>
        </references>
      </pivotArea>
    </format>
    <format dxfId="726">
      <pivotArea dataOnly="0" labelOnly="1" outline="0" fieldPosition="0">
        <references count="4">
          <reference field="1" count="1" selected="0">
            <x v="0"/>
          </reference>
          <reference field="5" count="1" selected="0">
            <x v="18"/>
          </reference>
          <reference field="11" count="1" selected="0">
            <x v="34"/>
          </reference>
          <reference field="12" count="1">
            <x v="166"/>
          </reference>
        </references>
      </pivotArea>
    </format>
    <format dxfId="725">
      <pivotArea dataOnly="0" labelOnly="1" outline="0" fieldPosition="0">
        <references count="4">
          <reference field="1" count="1" selected="0">
            <x v="0"/>
          </reference>
          <reference field="5" count="1" selected="0">
            <x v="18"/>
          </reference>
          <reference field="11" count="1" selected="0">
            <x v="56"/>
          </reference>
          <reference field="12" count="1">
            <x v="128"/>
          </reference>
        </references>
      </pivotArea>
    </format>
    <format dxfId="724">
      <pivotArea dataOnly="0" labelOnly="1" outline="0" fieldPosition="0">
        <references count="4">
          <reference field="1" count="1" selected="0">
            <x v="0"/>
          </reference>
          <reference field="5" count="1" selected="0">
            <x v="18"/>
          </reference>
          <reference field="11" count="1" selected="0">
            <x v="171"/>
          </reference>
          <reference field="12" count="1">
            <x v="64"/>
          </reference>
        </references>
      </pivotArea>
    </format>
    <format dxfId="723">
      <pivotArea dataOnly="0" labelOnly="1" outline="0" fieldPosition="0">
        <references count="4">
          <reference field="1" count="1" selected="0">
            <x v="0"/>
          </reference>
          <reference field="5" count="1" selected="0">
            <x v="18"/>
          </reference>
          <reference field="11" count="1" selected="0">
            <x v="172"/>
          </reference>
          <reference field="12" count="1">
            <x v="65"/>
          </reference>
        </references>
      </pivotArea>
    </format>
    <format dxfId="722">
      <pivotArea dataOnly="0" labelOnly="1" outline="0" fieldPosition="0">
        <references count="4">
          <reference field="1" count="1" selected="0">
            <x v="0"/>
          </reference>
          <reference field="5" count="1" selected="0">
            <x v="19"/>
          </reference>
          <reference field="11" count="1" selected="0">
            <x v="177"/>
          </reference>
          <reference field="12" count="1">
            <x v="172"/>
          </reference>
        </references>
      </pivotArea>
    </format>
    <format dxfId="721">
      <pivotArea dataOnly="0" labelOnly="1" outline="0" fieldPosition="0">
        <references count="4">
          <reference field="1" count="1" selected="0">
            <x v="0"/>
          </reference>
          <reference field="5" count="1" selected="0">
            <x v="19"/>
          </reference>
          <reference field="11" count="1" selected="0">
            <x v="225"/>
          </reference>
          <reference field="12" count="1">
            <x v="235"/>
          </reference>
        </references>
      </pivotArea>
    </format>
    <format dxfId="720">
      <pivotArea dataOnly="0" labelOnly="1" outline="0" fieldPosition="0">
        <references count="4">
          <reference field="1" count="1" selected="0">
            <x v="0"/>
          </reference>
          <reference field="5" count="1" selected="0">
            <x v="19"/>
          </reference>
          <reference field="11" count="1" selected="0">
            <x v="226"/>
          </reference>
          <reference field="12" count="1">
            <x v="236"/>
          </reference>
        </references>
      </pivotArea>
    </format>
    <format dxfId="719">
      <pivotArea dataOnly="0" labelOnly="1" outline="0" fieldPosition="0">
        <references count="4">
          <reference field="1" count="1" selected="0">
            <x v="0"/>
          </reference>
          <reference field="5" count="1" selected="0">
            <x v="20"/>
          </reference>
          <reference field="11" count="1" selected="0">
            <x v="17"/>
          </reference>
          <reference field="12" count="1">
            <x v="106"/>
          </reference>
        </references>
      </pivotArea>
    </format>
    <format dxfId="718">
      <pivotArea dataOnly="0" labelOnly="1" outline="0" fieldPosition="0">
        <references count="4">
          <reference field="1" count="1" selected="0">
            <x v="0"/>
          </reference>
          <reference field="5" count="1" selected="0">
            <x v="20"/>
          </reference>
          <reference field="11" count="1" selected="0">
            <x v="29"/>
          </reference>
          <reference field="12" count="1">
            <x v="25"/>
          </reference>
        </references>
      </pivotArea>
    </format>
    <format dxfId="717">
      <pivotArea dataOnly="0" labelOnly="1" outline="0" fieldPosition="0">
        <references count="4">
          <reference field="1" count="1" selected="0">
            <x v="0"/>
          </reference>
          <reference field="5" count="1" selected="0">
            <x v="20"/>
          </reference>
          <reference field="11" count="1" selected="0">
            <x v="30"/>
          </reference>
          <reference field="12" count="1">
            <x v="108"/>
          </reference>
        </references>
      </pivotArea>
    </format>
    <format dxfId="716">
      <pivotArea dataOnly="0" labelOnly="1" outline="0" fieldPosition="0">
        <references count="4">
          <reference field="1" count="1" selected="0">
            <x v="0"/>
          </reference>
          <reference field="5" count="1" selected="0">
            <x v="20"/>
          </reference>
          <reference field="11" count="1" selected="0">
            <x v="40"/>
          </reference>
          <reference field="12" count="1">
            <x v="173"/>
          </reference>
        </references>
      </pivotArea>
    </format>
    <format dxfId="715">
      <pivotArea dataOnly="0" labelOnly="1" outline="0" fieldPosition="0">
        <references count="4">
          <reference field="1" count="1" selected="0">
            <x v="0"/>
          </reference>
          <reference field="5" count="1" selected="0">
            <x v="20"/>
          </reference>
          <reference field="11" count="1" selected="0">
            <x v="44"/>
          </reference>
          <reference field="12" count="1">
            <x v="114"/>
          </reference>
        </references>
      </pivotArea>
    </format>
    <format dxfId="714">
      <pivotArea dataOnly="0" labelOnly="1" outline="0" fieldPosition="0">
        <references count="4">
          <reference field="1" count="1" selected="0">
            <x v="0"/>
          </reference>
          <reference field="5" count="1" selected="0">
            <x v="20"/>
          </reference>
          <reference field="11" count="1" selected="0">
            <x v="70"/>
          </reference>
          <reference field="12" count="1">
            <x v="24"/>
          </reference>
        </references>
      </pivotArea>
    </format>
    <format dxfId="713">
      <pivotArea dataOnly="0" labelOnly="1" outline="0" fieldPosition="0">
        <references count="4">
          <reference field="1" count="1" selected="0">
            <x v="0"/>
          </reference>
          <reference field="5" count="1" selected="0">
            <x v="20"/>
          </reference>
          <reference field="11" count="1" selected="0">
            <x v="71"/>
          </reference>
          <reference field="12" count="1">
            <x v="112"/>
          </reference>
        </references>
      </pivotArea>
    </format>
    <format dxfId="712">
      <pivotArea dataOnly="0" labelOnly="1" outline="0" fieldPosition="0">
        <references count="4">
          <reference field="1" count="1" selected="0">
            <x v="0"/>
          </reference>
          <reference field="5" count="1" selected="0">
            <x v="20"/>
          </reference>
          <reference field="11" count="1" selected="0">
            <x v="73"/>
          </reference>
          <reference field="12" count="1">
            <x v="28"/>
          </reference>
        </references>
      </pivotArea>
    </format>
    <format dxfId="711">
      <pivotArea dataOnly="0" labelOnly="1" outline="0" fieldPosition="0">
        <references count="4">
          <reference field="1" count="1" selected="0">
            <x v="0"/>
          </reference>
          <reference field="5" count="1" selected="0">
            <x v="20"/>
          </reference>
          <reference field="11" count="1" selected="0">
            <x v="74"/>
          </reference>
          <reference field="12" count="1">
            <x v="26"/>
          </reference>
        </references>
      </pivotArea>
    </format>
    <format dxfId="710">
      <pivotArea dataOnly="0" labelOnly="1" outline="0" fieldPosition="0">
        <references count="4">
          <reference field="1" count="1" selected="0">
            <x v="0"/>
          </reference>
          <reference field="5" count="1" selected="0">
            <x v="20"/>
          </reference>
          <reference field="11" count="1" selected="0">
            <x v="75"/>
          </reference>
          <reference field="12" count="1">
            <x v="37"/>
          </reference>
        </references>
      </pivotArea>
    </format>
    <format dxfId="709">
      <pivotArea dataOnly="0" labelOnly="1" outline="0" fieldPosition="0">
        <references count="4">
          <reference field="1" count="1" selected="0">
            <x v="0"/>
          </reference>
          <reference field="5" count="1" selected="0">
            <x v="20"/>
          </reference>
          <reference field="11" count="1" selected="0">
            <x v="76"/>
          </reference>
          <reference field="12" count="1">
            <x v="36"/>
          </reference>
        </references>
      </pivotArea>
    </format>
    <format dxfId="708">
      <pivotArea dataOnly="0" labelOnly="1" outline="0" fieldPosition="0">
        <references count="4">
          <reference field="1" count="1" selected="0">
            <x v="0"/>
          </reference>
          <reference field="5" count="1" selected="0">
            <x v="20"/>
          </reference>
          <reference field="11" count="1" selected="0">
            <x v="143"/>
          </reference>
          <reference field="12" count="1">
            <x v="30"/>
          </reference>
        </references>
      </pivotArea>
    </format>
    <format dxfId="707">
      <pivotArea dataOnly="0" labelOnly="1" outline="0" fieldPosition="0">
        <references count="4">
          <reference field="1" count="1" selected="0">
            <x v="0"/>
          </reference>
          <reference field="5" count="1" selected="0">
            <x v="20"/>
          </reference>
          <reference field="11" count="1" selected="0">
            <x v="157"/>
          </reference>
          <reference field="12" count="1">
            <x v="132"/>
          </reference>
        </references>
      </pivotArea>
    </format>
    <format dxfId="706">
      <pivotArea dataOnly="0" labelOnly="1" outline="0" fieldPosition="0">
        <references count="4">
          <reference field="1" count="1" selected="0">
            <x v="0"/>
          </reference>
          <reference field="5" count="1" selected="0">
            <x v="20"/>
          </reference>
          <reference field="11" count="1" selected="0">
            <x v="158"/>
          </reference>
          <reference field="12" count="1">
            <x v="29"/>
          </reference>
        </references>
      </pivotArea>
    </format>
    <format dxfId="705">
      <pivotArea dataOnly="0" labelOnly="1" outline="0" fieldPosition="0">
        <references count="4">
          <reference field="1" count="1" selected="0">
            <x v="0"/>
          </reference>
          <reference field="5" count="1" selected="0">
            <x v="20"/>
          </reference>
          <reference field="11" count="1" selected="0">
            <x v="159"/>
          </reference>
          <reference field="12" count="1">
            <x v="22"/>
          </reference>
        </references>
      </pivotArea>
    </format>
    <format dxfId="704">
      <pivotArea dataOnly="0" labelOnly="1" outline="0" fieldPosition="0">
        <references count="4">
          <reference field="1" count="1" selected="0">
            <x v="0"/>
          </reference>
          <reference field="5" count="1" selected="0">
            <x v="20"/>
          </reference>
          <reference field="11" count="1" selected="0">
            <x v="160"/>
          </reference>
          <reference field="12" count="1">
            <x v="27"/>
          </reference>
        </references>
      </pivotArea>
    </format>
    <format dxfId="703">
      <pivotArea dataOnly="0" labelOnly="1" outline="0" fieldPosition="0">
        <references count="4">
          <reference field="1" count="1" selected="0">
            <x v="0"/>
          </reference>
          <reference field="5" count="1" selected="0">
            <x v="20"/>
          </reference>
          <reference field="11" count="1" selected="0">
            <x v="161"/>
          </reference>
          <reference field="12" count="1">
            <x v="23"/>
          </reference>
        </references>
      </pivotArea>
    </format>
    <format dxfId="702">
      <pivotArea dataOnly="0" labelOnly="1" outline="0" fieldPosition="0">
        <references count="4">
          <reference field="1" count="1" selected="0">
            <x v="0"/>
          </reference>
          <reference field="5" count="1" selected="0">
            <x v="20"/>
          </reference>
          <reference field="11" count="1" selected="0">
            <x v="170"/>
          </reference>
          <reference field="12" count="1">
            <x v="38"/>
          </reference>
        </references>
      </pivotArea>
    </format>
    <format dxfId="701">
      <pivotArea dataOnly="0" labelOnly="1" outline="0" fieldPosition="0">
        <references count="4">
          <reference field="1" count="1" selected="0">
            <x v="0"/>
          </reference>
          <reference field="5" count="1" selected="0">
            <x v="20"/>
          </reference>
          <reference field="11" count="1" selected="0">
            <x v="185"/>
          </reference>
          <reference field="12" count="1">
            <x v="34"/>
          </reference>
        </references>
      </pivotArea>
    </format>
    <format dxfId="700">
      <pivotArea dataOnly="0" labelOnly="1" outline="0" fieldPosition="0">
        <references count="4">
          <reference field="1" count="1" selected="0">
            <x v="0"/>
          </reference>
          <reference field="5" count="1" selected="0">
            <x v="20"/>
          </reference>
          <reference field="11" count="1" selected="0">
            <x v="189"/>
          </reference>
          <reference field="12" count="1">
            <x v="35"/>
          </reference>
        </references>
      </pivotArea>
    </format>
    <format dxfId="699">
      <pivotArea dataOnly="0" labelOnly="1" outline="0" fieldPosition="0">
        <references count="4">
          <reference field="1" count="1" selected="0">
            <x v="0"/>
          </reference>
          <reference field="5" count="1" selected="0">
            <x v="20"/>
          </reference>
          <reference field="11" count="1" selected="0">
            <x v="193"/>
          </reference>
          <reference field="12" count="1">
            <x v="109"/>
          </reference>
        </references>
      </pivotArea>
    </format>
    <format dxfId="698">
      <pivotArea dataOnly="0" labelOnly="1" outline="0" fieldPosition="0">
        <references count="4">
          <reference field="1" count="1" selected="0">
            <x v="0"/>
          </reference>
          <reference field="5" count="1" selected="0">
            <x v="20"/>
          </reference>
          <reference field="11" count="1" selected="0">
            <x v="217"/>
          </reference>
          <reference field="12" count="1">
            <x v="113"/>
          </reference>
        </references>
      </pivotArea>
    </format>
    <format dxfId="697">
      <pivotArea dataOnly="0" labelOnly="1" outline="0" fieldPosition="0">
        <references count="4">
          <reference field="1" count="1" selected="0">
            <x v="0"/>
          </reference>
          <reference field="5" count="1" selected="0">
            <x v="20"/>
          </reference>
          <reference field="11" count="1" selected="0">
            <x v="219"/>
          </reference>
          <reference field="12" count="1">
            <x v="105"/>
          </reference>
        </references>
      </pivotArea>
    </format>
    <format dxfId="696">
      <pivotArea dataOnly="0" labelOnly="1" outline="0" fieldPosition="0">
        <references count="4">
          <reference field="1" count="1" selected="0">
            <x v="1"/>
          </reference>
          <reference field="5" count="1" selected="0">
            <x v="3"/>
          </reference>
          <reference field="11" count="1" selected="0">
            <x v="140"/>
          </reference>
          <reference field="12" count="1">
            <x v="209"/>
          </reference>
        </references>
      </pivotArea>
    </format>
    <format dxfId="695">
      <pivotArea dataOnly="0" labelOnly="1" outline="0" fieldPosition="0">
        <references count="4">
          <reference field="1" count="1" selected="0">
            <x v="1"/>
          </reference>
          <reference field="5" count="1" selected="0">
            <x v="3"/>
          </reference>
          <reference field="11" count="1" selected="0">
            <x v="221"/>
          </reference>
          <reference field="12" count="1">
            <x v="230"/>
          </reference>
        </references>
      </pivotArea>
    </format>
    <format dxfId="694">
      <pivotArea dataOnly="0" labelOnly="1" outline="0" fieldPosition="0">
        <references count="4">
          <reference field="1" count="1" selected="0">
            <x v="1"/>
          </reference>
          <reference field="5" count="1" selected="0">
            <x v="3"/>
          </reference>
          <reference field="11" count="1" selected="0">
            <x v="234"/>
          </reference>
          <reference field="12" count="1">
            <x v="247"/>
          </reference>
        </references>
      </pivotArea>
    </format>
    <format dxfId="693">
      <pivotArea dataOnly="0" labelOnly="1" outline="0" fieldPosition="0">
        <references count="4">
          <reference field="1" count="1" selected="0">
            <x v="1"/>
          </reference>
          <reference field="5" count="1" selected="0">
            <x v="6"/>
          </reference>
          <reference field="11" count="1" selected="0">
            <x v="47"/>
          </reference>
          <reference field="12" count="1">
            <x v="200"/>
          </reference>
        </references>
      </pivotArea>
    </format>
    <format dxfId="692">
      <pivotArea dataOnly="0" labelOnly="1" outline="0" fieldPosition="0">
        <references count="4">
          <reference field="1" count="1" selected="0">
            <x v="1"/>
          </reference>
          <reference field="5" count="1" selected="0">
            <x v="6"/>
          </reference>
          <reference field="11" count="1" selected="0">
            <x v="48"/>
          </reference>
          <reference field="12" count="1">
            <x v="201"/>
          </reference>
        </references>
      </pivotArea>
    </format>
    <format dxfId="691">
      <pivotArea dataOnly="0" labelOnly="1" outline="0" fieldPosition="0">
        <references count="4">
          <reference field="1" count="1" selected="0">
            <x v="1"/>
          </reference>
          <reference field="5" count="1" selected="0">
            <x v="6"/>
          </reference>
          <reference field="11" count="1" selected="0">
            <x v="49"/>
          </reference>
          <reference field="12" count="1">
            <x v="202"/>
          </reference>
        </references>
      </pivotArea>
    </format>
    <format dxfId="690">
      <pivotArea dataOnly="0" labelOnly="1" outline="0" fieldPosition="0">
        <references count="4">
          <reference field="1" count="1" selected="0">
            <x v="1"/>
          </reference>
          <reference field="5" count="1" selected="0">
            <x v="6"/>
          </reference>
          <reference field="11" count="1" selected="0">
            <x v="115"/>
          </reference>
          <reference field="12" count="1">
            <x v="193"/>
          </reference>
        </references>
      </pivotArea>
    </format>
    <format dxfId="689">
      <pivotArea dataOnly="0" labelOnly="1" outline="0" fieldPosition="0">
        <references count="4">
          <reference field="1" count="1" selected="0">
            <x v="1"/>
          </reference>
          <reference field="5" count="1" selected="0">
            <x v="6"/>
          </reference>
          <reference field="11" count="1" selected="0">
            <x v="129"/>
          </reference>
          <reference field="12" count="1">
            <x v="194"/>
          </reference>
        </references>
      </pivotArea>
    </format>
    <format dxfId="688">
      <pivotArea dataOnly="0" labelOnly="1" outline="0" fieldPosition="0">
        <references count="4">
          <reference field="1" count="1" selected="0">
            <x v="1"/>
          </reference>
          <reference field="5" count="1" selected="0">
            <x v="6"/>
          </reference>
          <reference field="11" count="1" selected="0">
            <x v="200"/>
          </reference>
          <reference field="12" count="1">
            <x v="205"/>
          </reference>
        </references>
      </pivotArea>
    </format>
    <format dxfId="687">
      <pivotArea dataOnly="0" labelOnly="1" outline="0" fieldPosition="0">
        <references count="4">
          <reference field="1" count="1" selected="0">
            <x v="1"/>
          </reference>
          <reference field="5" count="1" selected="0">
            <x v="6"/>
          </reference>
          <reference field="11" count="1" selected="0">
            <x v="212"/>
          </reference>
          <reference field="12" count="1">
            <x v="226"/>
          </reference>
        </references>
      </pivotArea>
    </format>
    <format dxfId="686">
      <pivotArea dataOnly="0" labelOnly="1" outline="0" fieldPosition="0">
        <references count="4">
          <reference field="1" count="1" selected="0">
            <x v="1"/>
          </reference>
          <reference field="5" count="1" selected="0">
            <x v="6"/>
          </reference>
          <reference field="11" count="1" selected="0">
            <x v="228"/>
          </reference>
          <reference field="12" count="1">
            <x v="238"/>
          </reference>
        </references>
      </pivotArea>
    </format>
    <format dxfId="685">
      <pivotArea dataOnly="0" labelOnly="1" outline="0" fieldPosition="0">
        <references count="4">
          <reference field="1" count="1" selected="0">
            <x v="1"/>
          </reference>
          <reference field="5" count="1" selected="0">
            <x v="6"/>
          </reference>
          <reference field="11" count="1" selected="0">
            <x v="235"/>
          </reference>
          <reference field="12" count="1">
            <x v="248"/>
          </reference>
        </references>
      </pivotArea>
    </format>
    <format dxfId="684">
      <pivotArea dataOnly="0" labelOnly="1" outline="0" fieldPosition="0">
        <references count="4">
          <reference field="1" count="1" selected="0">
            <x v="1"/>
          </reference>
          <reference field="5" count="1" selected="0">
            <x v="9"/>
          </reference>
          <reference field="11" count="1" selected="0">
            <x v="89"/>
          </reference>
          <reference field="12" count="1">
            <x v="195"/>
          </reference>
        </references>
      </pivotArea>
    </format>
    <format dxfId="683">
      <pivotArea dataOnly="0" labelOnly="1" outline="0" fieldPosition="0">
        <references count="4">
          <reference field="1" count="1" selected="0">
            <x v="1"/>
          </reference>
          <reference field="5" count="1" selected="0">
            <x v="9"/>
          </reference>
          <reference field="11" count="1" selected="0">
            <x v="90"/>
          </reference>
          <reference field="12" count="1">
            <x v="210"/>
          </reference>
        </references>
      </pivotArea>
    </format>
    <format dxfId="682">
      <pivotArea dataOnly="0" labelOnly="1" outline="0" fieldPosition="0">
        <references count="4">
          <reference field="1" count="1" selected="0">
            <x v="1"/>
          </reference>
          <reference field="5" count="1" selected="0">
            <x v="9"/>
          </reference>
          <reference field="11" count="1" selected="0">
            <x v="233"/>
          </reference>
          <reference field="12" count="1">
            <x v="243"/>
          </reference>
        </references>
      </pivotArea>
    </format>
    <format dxfId="681">
      <pivotArea dataOnly="0" labelOnly="1" outline="0" fieldPosition="0">
        <references count="4">
          <reference field="1" count="1" selected="0">
            <x v="1"/>
          </reference>
          <reference field="5" count="1" selected="0">
            <x v="13"/>
          </reference>
          <reference field="11" count="1" selected="0">
            <x v="35"/>
          </reference>
          <reference field="12" count="1">
            <x v="196"/>
          </reference>
        </references>
      </pivotArea>
    </format>
    <format dxfId="680">
      <pivotArea dataOnly="0" labelOnly="1" outline="0" fieldPosition="0">
        <references count="4">
          <reference field="1" count="1" selected="0">
            <x v="1"/>
          </reference>
          <reference field="5" count="1" selected="0">
            <x v="13"/>
          </reference>
          <reference field="11" count="1" selected="0">
            <x v="36"/>
          </reference>
          <reference field="12" count="1">
            <x v="206"/>
          </reference>
        </references>
      </pivotArea>
    </format>
    <format dxfId="679">
      <pivotArea dataOnly="0" labelOnly="1" outline="0" fieldPosition="0">
        <references count="4">
          <reference field="1" count="1" selected="0">
            <x v="1"/>
          </reference>
          <reference field="5" count="1" selected="0">
            <x v="13"/>
          </reference>
          <reference field="11" count="1" selected="0">
            <x v="112"/>
          </reference>
          <reference field="12" count="1">
            <x v="192"/>
          </reference>
        </references>
      </pivotArea>
    </format>
    <format dxfId="678">
      <pivotArea dataOnly="0" labelOnly="1" outline="0" fieldPosition="0">
        <references count="4">
          <reference field="1" count="1" selected="0">
            <x v="1"/>
          </reference>
          <reference field="5" count="1" selected="0">
            <x v="13"/>
          </reference>
          <reference field="11" count="1" selected="0">
            <x v="128"/>
          </reference>
          <reference field="12" count="1">
            <x v="197"/>
          </reference>
        </references>
      </pivotArea>
    </format>
    <format dxfId="677">
      <pivotArea dataOnly="0" labelOnly="1" outline="0" fieldPosition="0">
        <references count="4">
          <reference field="1" count="1" selected="0">
            <x v="1"/>
          </reference>
          <reference field="5" count="1" selected="0">
            <x v="13"/>
          </reference>
          <reference field="11" count="1" selected="0">
            <x v="205"/>
          </reference>
          <reference field="12" count="1">
            <x v="219"/>
          </reference>
        </references>
      </pivotArea>
    </format>
    <format dxfId="676">
      <pivotArea dataOnly="0" labelOnly="1" outline="0" fieldPosition="0">
        <references count="4">
          <reference field="1" count="1" selected="0">
            <x v="1"/>
          </reference>
          <reference field="5" count="1" selected="0">
            <x v="13"/>
          </reference>
          <reference field="11" count="1" selected="0">
            <x v="208"/>
          </reference>
          <reference field="12" count="1">
            <x v="223"/>
          </reference>
        </references>
      </pivotArea>
    </format>
    <format dxfId="675">
      <pivotArea dataOnly="0" labelOnly="1" outline="0" fieldPosition="0">
        <references count="4">
          <reference field="1" count="1" selected="0">
            <x v="1"/>
          </reference>
          <reference field="5" count="1" selected="0">
            <x v="15"/>
          </reference>
          <reference field="11" count="1" selected="0">
            <x v="122"/>
          </reference>
          <reference field="12" count="1">
            <x v="191"/>
          </reference>
        </references>
      </pivotArea>
    </format>
    <format dxfId="674">
      <pivotArea dataOnly="0" labelOnly="1" outline="0" fieldPosition="0">
        <references count="4">
          <reference field="1" count="1" selected="0">
            <x v="1"/>
          </reference>
          <reference field="5" count="1" selected="0">
            <x v="15"/>
          </reference>
          <reference field="11" count="1" selected="0">
            <x v="123"/>
          </reference>
          <reference field="12" count="1">
            <x v="188"/>
          </reference>
        </references>
      </pivotArea>
    </format>
    <format dxfId="673">
      <pivotArea dataOnly="0" labelOnly="1" outline="0" fieldPosition="0">
        <references count="4">
          <reference field="1" count="1" selected="0">
            <x v="1"/>
          </reference>
          <reference field="5" count="1" selected="0">
            <x v="15"/>
          </reference>
          <reference field="11" count="1" selected="0">
            <x v="124"/>
          </reference>
          <reference field="12" count="1">
            <x v="190"/>
          </reference>
        </references>
      </pivotArea>
    </format>
    <format dxfId="672">
      <pivotArea dataOnly="0" labelOnly="1" outline="0" fieldPosition="0">
        <references count="4">
          <reference field="1" count="1" selected="0">
            <x v="1"/>
          </reference>
          <reference field="5" count="1" selected="0">
            <x v="15"/>
          </reference>
          <reference field="11" count="1" selected="0">
            <x v="206"/>
          </reference>
          <reference field="12" count="1">
            <x v="220"/>
          </reference>
        </references>
      </pivotArea>
    </format>
    <format dxfId="671">
      <pivotArea dataOnly="0" labelOnly="1" outline="0" fieldPosition="0">
        <references count="4">
          <reference field="1" count="1" selected="0">
            <x v="1"/>
          </reference>
          <reference field="5" count="1" selected="0">
            <x v="15"/>
          </reference>
          <reference field="11" count="1" selected="0">
            <x v="210"/>
          </reference>
          <reference field="12" count="1">
            <x v="221"/>
          </reference>
        </references>
      </pivotArea>
    </format>
    <format dxfId="670">
      <pivotArea dataOnly="0" labelOnly="1" outline="0" fieldPosition="0">
        <references count="4">
          <reference field="1" count="1" selected="0">
            <x v="1"/>
          </reference>
          <reference field="5" count="1" selected="0">
            <x v="15"/>
          </reference>
          <reference field="11" count="1" selected="0">
            <x v="230"/>
          </reference>
          <reference field="12" count="1">
            <x v="244"/>
          </reference>
        </references>
      </pivotArea>
    </format>
    <format dxfId="669">
      <pivotArea dataOnly="0" labelOnly="1" outline="0" fieldPosition="0">
        <references count="4">
          <reference field="1" count="1" selected="0">
            <x v="1"/>
          </reference>
          <reference field="5" count="1" selected="0">
            <x v="15"/>
          </reference>
          <reference field="11" count="1" selected="0">
            <x v="231"/>
          </reference>
          <reference field="12" count="1">
            <x v="245"/>
          </reference>
        </references>
      </pivotArea>
    </format>
    <format dxfId="668">
      <pivotArea dataOnly="0" labelOnly="1" outline="0" fieldPosition="0">
        <references count="4">
          <reference field="1" count="1" selected="0">
            <x v="1"/>
          </reference>
          <reference field="5" count="1" selected="0">
            <x v="16"/>
          </reference>
          <reference field="11" count="1" selected="0">
            <x v="134"/>
          </reference>
          <reference field="12" count="1">
            <x v="199"/>
          </reference>
        </references>
      </pivotArea>
    </format>
    <format dxfId="667">
      <pivotArea dataOnly="0" labelOnly="1" outline="0" fieldPosition="0">
        <references count="4">
          <reference field="1" count="1" selected="0">
            <x v="1"/>
          </reference>
          <reference field="5" count="1" selected="0">
            <x v="16"/>
          </reference>
          <reference field="11" count="1" selected="0">
            <x v="135"/>
          </reference>
          <reference field="12" count="1">
            <x v="211"/>
          </reference>
        </references>
      </pivotArea>
    </format>
    <format dxfId="666">
      <pivotArea dataOnly="0" labelOnly="1" outline="0" fieldPosition="0">
        <references count="4">
          <reference field="1" count="1" selected="0">
            <x v="1"/>
          </reference>
          <reference field="5" count="1" selected="0">
            <x v="16"/>
          </reference>
          <reference field="11" count="1" selected="0">
            <x v="232"/>
          </reference>
          <reference field="12" count="1">
            <x v="242"/>
          </reference>
        </references>
      </pivotArea>
    </format>
    <format dxfId="665">
      <pivotArea dataOnly="0" labelOnly="1" outline="0" fieldPosition="0">
        <references count="1">
          <reference field="4294967294" count="2">
            <x v="0"/>
            <x v="1"/>
          </reference>
        </references>
      </pivotArea>
    </format>
    <format dxfId="664">
      <pivotArea field="1" type="button" dataOnly="0" labelOnly="1" outline="0" axis="axisRow" fieldPosition="0"/>
    </format>
    <format dxfId="663">
      <pivotArea field="5" type="button" dataOnly="0" labelOnly="1" outline="0" axis="axisRow" fieldPosition="1"/>
    </format>
    <format dxfId="662">
      <pivotArea field="11" type="button" dataOnly="0" labelOnly="1" outline="0" axis="axisRow" fieldPosition="2"/>
    </format>
    <format dxfId="661">
      <pivotArea field="12" type="button" dataOnly="0" labelOnly="1" outline="0" axis="axisRow" fieldPosition="3"/>
    </format>
    <format dxfId="660">
      <pivotArea field="24" type="button" dataOnly="0" labelOnly="1" outline="0" axis="axisRow" fieldPosition="4"/>
    </format>
    <format dxfId="659">
      <pivotArea field="19" type="button" dataOnly="0" labelOnly="1" outline="0" axis="axisRow" fieldPosition="5"/>
    </format>
    <format dxfId="658">
      <pivotArea dataOnly="0" labelOnly="1" outline="0" fieldPosition="0">
        <references count="1">
          <reference field="4294967294" count="2">
            <x v="0"/>
            <x v="1"/>
          </reference>
        </references>
      </pivotArea>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1" cacheId="24" applyNumberFormats="0" applyBorderFormats="0" applyFontFormats="0" applyPatternFormats="0" applyAlignmentFormats="0" applyWidthHeightFormats="1" dataCaption="Values" updatedVersion="5" minRefreshableVersion="3" showDrill="0" useAutoFormatting="1" itemPrintTitles="1" createdVersion="4" indent="0" compact="0" compactData="0" multipleFieldFilters="0">
  <location ref="A8:H11" firstHeaderRow="0" firstDataRow="1" firstDataCol="6" rowPageCount="2" colPageCount="1"/>
  <pivotFields count="31">
    <pivotField axis="axisPage" compact="0" outline="0" multipleItemSelectionAllowed="1" showAll="0" defaultSubtotal="0">
      <items count="4">
        <item h="1" x="1"/>
        <item h="1" x="0"/>
        <item x="3"/>
        <item h="1" x="2"/>
      </items>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0"/>
        <item x="21"/>
        <item x="22"/>
        <item x="12"/>
        <item x="11"/>
        <item x="17"/>
        <item x="14"/>
        <item x="5"/>
        <item x="18"/>
        <item x="8"/>
        <item x="9"/>
        <item x="4"/>
        <item x="20"/>
        <item x="0"/>
        <item x="16"/>
        <item x="19"/>
        <item x="7"/>
        <item x="6"/>
        <item x="13"/>
        <item x="15"/>
        <item x="1"/>
        <item x="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4">
        <item x="139"/>
        <item x="147"/>
        <item x="123"/>
        <item x="207"/>
        <item x="37"/>
        <item x="221"/>
        <item x="130"/>
        <item x="135"/>
        <item x="141"/>
        <item x="285"/>
        <item x="144"/>
        <item x="138"/>
        <item x="86"/>
        <item x="289"/>
        <item x="290"/>
        <item x="179"/>
        <item x="180"/>
        <item x="178"/>
        <item x="128"/>
        <item x="154"/>
        <item x="140"/>
        <item x="107"/>
        <item x="75"/>
        <item x="112"/>
        <item x="190"/>
        <item x="74"/>
        <item x="82"/>
        <item x="35"/>
        <item x="131"/>
        <item x="204"/>
        <item x="129"/>
        <item x="9"/>
        <item x="106"/>
        <item x="148"/>
        <item x="294"/>
        <item x="153"/>
        <item x="259"/>
        <item x="43"/>
        <item x="288"/>
        <item x="196"/>
        <item x="24"/>
        <item x="76"/>
        <item x="118"/>
        <item x="136"/>
        <item x="155"/>
        <item x="165"/>
        <item x="243"/>
        <item x="257"/>
        <item x="253"/>
        <item x="166"/>
        <item x="268"/>
        <item x="103"/>
        <item x="39"/>
        <item x="158"/>
        <item x="181"/>
        <item x="13"/>
        <item x="15"/>
        <item x="99"/>
        <item x="284"/>
        <item x="203"/>
        <item x="283"/>
        <item x="45"/>
        <item x="215"/>
        <item x="281"/>
        <item x="156"/>
        <item x="247"/>
        <item x="195"/>
        <item x="227"/>
        <item x="250"/>
        <item x="228"/>
        <item x="261"/>
        <item x="10"/>
        <item x="67"/>
        <item x="71"/>
        <item x="168"/>
        <item x="110"/>
        <item x="293"/>
        <item x="42"/>
        <item x="109"/>
        <item x="296"/>
        <item x="117"/>
        <item x="127"/>
        <item x="197"/>
        <item x="264"/>
        <item x="11"/>
        <item x="149"/>
        <item x="132"/>
        <item x="122"/>
        <item x="36"/>
        <item x="248"/>
        <item x="59"/>
        <item x="53"/>
        <item x="58"/>
        <item x="124"/>
        <item x="182"/>
        <item x="66"/>
        <item x="201"/>
        <item x="101"/>
        <item x="185"/>
        <item x="22"/>
        <item x="85"/>
        <item x="61"/>
        <item x="299"/>
        <item x="27"/>
        <item x="25"/>
        <item x="266"/>
        <item x="265"/>
        <item x="298"/>
        <item x="280"/>
        <item x="160"/>
        <item x="12"/>
        <item x="48"/>
        <item x="7"/>
        <item x="249"/>
        <item x="176"/>
        <item x="177"/>
        <item x="252"/>
        <item x="60"/>
        <item x="270"/>
        <item x="164"/>
        <item x="115"/>
        <item x="171"/>
        <item x="114"/>
        <item x="163"/>
        <item x="111"/>
        <item x="55"/>
        <item x="225"/>
        <item x="231"/>
        <item x="49"/>
        <item x="88"/>
        <item x="87"/>
        <item x="90"/>
        <item x="92"/>
        <item x="93"/>
        <item x="89"/>
        <item x="94"/>
        <item x="91"/>
        <item x="16"/>
        <item x="17"/>
        <item x="100"/>
        <item x="84"/>
        <item x="81"/>
        <item x="80"/>
        <item x="70"/>
        <item x="83"/>
        <item x="146"/>
        <item x="229"/>
        <item x="32"/>
        <item x="46"/>
        <item x="54"/>
        <item x="282"/>
        <item x="241"/>
        <item x="271"/>
        <item x="245"/>
        <item x="239"/>
        <item x="205"/>
        <item x="169"/>
        <item x="246"/>
        <item x="223"/>
        <item x="237"/>
        <item x="251"/>
        <item x="145"/>
        <item x="232"/>
        <item x="235"/>
        <item x="38"/>
        <item x="194"/>
        <item x="14"/>
        <item x="210"/>
        <item x="47"/>
        <item x="125"/>
        <item x="222"/>
        <item x="218"/>
        <item x="233"/>
        <item x="220"/>
        <item x="254"/>
        <item x="236"/>
        <item x="255"/>
        <item x="244"/>
        <item x="224"/>
        <item x="242"/>
        <item x="170"/>
        <item x="173"/>
        <item x="126"/>
        <item x="137"/>
        <item x="238"/>
        <item x="226"/>
        <item x="258"/>
        <item x="234"/>
        <item x="286"/>
        <item x="219"/>
        <item x="211"/>
        <item x="278"/>
        <item x="279"/>
        <item x="277"/>
        <item x="20"/>
        <item x="44"/>
        <item x="72"/>
        <item x="77"/>
        <item x="256"/>
        <item x="68"/>
        <item x="184"/>
        <item x="29"/>
        <item x="275"/>
        <item x="31"/>
        <item x="189"/>
        <item x="269"/>
        <item x="78"/>
        <item x="79"/>
        <item x="113"/>
        <item x="56"/>
        <item x="1"/>
        <item x="63"/>
        <item x="120"/>
        <item x="217"/>
        <item x="108"/>
        <item x="97"/>
        <item x="262"/>
        <item x="240"/>
        <item x="159"/>
        <item x="96"/>
        <item x="142"/>
        <item x="62"/>
        <item x="119"/>
        <item x="28"/>
        <item x="21"/>
        <item x="26"/>
        <item x="23"/>
        <item x="133"/>
        <item x="272"/>
        <item x="102"/>
        <item x="208"/>
        <item x="151"/>
        <item x="191"/>
        <item x="98"/>
        <item x="199"/>
        <item x="187"/>
        <item x="161"/>
        <item x="64"/>
        <item x="292"/>
        <item x="192"/>
        <item x="193"/>
        <item x="5"/>
        <item x="6"/>
        <item x="267"/>
        <item x="50"/>
        <item x="51"/>
        <item x="276"/>
        <item x="8"/>
        <item x="183"/>
        <item x="69"/>
        <item x="186"/>
        <item x="287"/>
        <item x="157"/>
        <item x="52"/>
        <item x="216"/>
        <item x="202"/>
        <item x="200"/>
        <item x="212"/>
        <item x="104"/>
        <item x="57"/>
        <item x="0"/>
        <item x="18"/>
        <item x="3"/>
        <item x="2"/>
        <item x="4"/>
        <item x="209"/>
        <item x="30"/>
        <item x="188"/>
        <item x="95"/>
        <item x="175"/>
        <item x="214"/>
        <item x="65"/>
        <item x="295"/>
        <item x="274"/>
        <item x="297"/>
        <item x="34"/>
        <item x="33"/>
        <item x="206"/>
        <item x="152"/>
        <item x="134"/>
        <item x="291"/>
        <item x="273"/>
        <item x="41"/>
        <item x="143"/>
        <item x="19"/>
        <item x="40"/>
        <item x="73"/>
        <item x="105"/>
        <item x="167"/>
        <item x="230"/>
        <item x="213"/>
        <item x="198"/>
        <item x="263"/>
        <item x="300"/>
        <item x="260"/>
        <item x="301"/>
        <item x="116"/>
        <item x="121"/>
        <item x="150"/>
        <item x="162"/>
        <item x="172"/>
        <item x="174"/>
        <item x="302"/>
        <item x="303"/>
      </items>
      <extLst>
        <ext xmlns:x14="http://schemas.microsoft.com/office/spreadsheetml/2009/9/main" uri="{2946ED86-A175-432a-8AC1-64E0C546D7DE}">
          <x14:pivotField fillDownLabels="1"/>
        </ext>
      </extLst>
    </pivotField>
    <pivotField axis="axisRow" compact="0" outline="0" showAll="0" defaultSubtotal="0">
      <items count="303">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161"/>
        <item x="189"/>
        <item x="162"/>
        <item x="191"/>
        <item x="163"/>
        <item x="164"/>
        <item x="167"/>
        <item x="172"/>
        <item x="196"/>
        <item x="173"/>
        <item x="175"/>
        <item x="183"/>
        <item x="200"/>
        <item x="188"/>
        <item x="202"/>
        <item x="190"/>
        <item x="192"/>
        <item x="205"/>
        <item x="206"/>
        <item x="207"/>
        <item x="208"/>
        <item x="193"/>
        <item x="210"/>
        <item x="194"/>
        <item x="195"/>
        <item x="197"/>
        <item x="293"/>
        <item x="198"/>
        <item x="199"/>
        <item x="217"/>
        <item x="201"/>
        <item x="203"/>
        <item x="220"/>
        <item x="204"/>
        <item x="222"/>
        <item x="209"/>
        <item x="211"/>
        <item x="294"/>
        <item x="212"/>
        <item x="295"/>
        <item x="296"/>
        <item x="213"/>
        <item x="214"/>
        <item x="215"/>
        <item x="297"/>
        <item x="298"/>
        <item x="216"/>
        <item x="218"/>
        <item x="299"/>
        <item x="219"/>
        <item x="237"/>
        <item x="221"/>
        <item x="223"/>
        <item x="240"/>
        <item x="224"/>
        <item x="225"/>
        <item x="226"/>
        <item x="244"/>
        <item x="245"/>
        <item x="246"/>
        <item x="227"/>
        <item x="248"/>
        <item x="228"/>
        <item x="229"/>
        <item x="230"/>
        <item x="252"/>
        <item x="231"/>
        <item x="254"/>
        <item x="255"/>
        <item x="256"/>
        <item x="257"/>
        <item x="232"/>
        <item x="259"/>
        <item x="260"/>
        <item x="261"/>
        <item x="233"/>
        <item x="234"/>
        <item x="235"/>
        <item x="236"/>
        <item x="238"/>
        <item x="239"/>
        <item x="270"/>
        <item x="300"/>
        <item x="241"/>
        <item x="271"/>
        <item x="272"/>
        <item x="242"/>
        <item x="243"/>
        <item x="275"/>
        <item x="247"/>
        <item x="277"/>
        <item x="278"/>
        <item x="279"/>
        <item x="280"/>
        <item x="249"/>
        <item x="282"/>
        <item x="283"/>
        <item x="284"/>
        <item x="285"/>
        <item x="286"/>
        <item x="287"/>
        <item x="288"/>
        <item x="289"/>
        <item x="290"/>
        <item x="291"/>
        <item x="292"/>
        <item x="250"/>
        <item x="251"/>
        <item x="253"/>
        <item x="258"/>
        <item x="262"/>
        <item x="263"/>
        <item x="264"/>
        <item x="301"/>
        <item x="30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axis="axisPage" compact="0" outline="0" showAll="0" defaultSubtotal="0">
      <items count="2">
        <item x="0"/>
        <item x="1"/>
      </items>
      <extLst>
        <ext xmlns:x14="http://schemas.microsoft.com/office/spreadsheetml/2009/9/main" uri="{2946ED86-A175-432a-8AC1-64E0C546D7DE}">
          <x14:pivotField fillDownLabels="1"/>
        </ext>
      </extLst>
    </pivotField>
    <pivotField axis="axisRow" compact="0" outline="0" showAll="0" defaultSubtotal="0">
      <items count="8">
        <item x="1"/>
        <item x="0"/>
        <item x="3"/>
        <item x="5"/>
        <item x="7"/>
        <item x="4"/>
        <item x="6"/>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1">
        <item x="5"/>
        <item x="6"/>
        <item x="10"/>
        <item x="3"/>
        <item x="1"/>
        <item x="8"/>
        <item x="4"/>
        <item x="2"/>
        <item x="0"/>
        <item x="7"/>
        <item x="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6">
    <field x="1"/>
    <field x="5"/>
    <field x="11"/>
    <field x="12"/>
    <field x="21"/>
    <field x="19"/>
  </rowFields>
  <rowItems count="3">
    <i>
      <x/>
      <x v="9"/>
      <x v="293"/>
      <x v="300"/>
      <x v="4"/>
      <x/>
    </i>
    <i r="1">
      <x v="22"/>
      <x v="107"/>
      <x v="236"/>
      <x v="4"/>
      <x/>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
    <format dxfId="657">
      <pivotArea type="all" dataOnly="0" outline="0" fieldPosition="0"/>
    </format>
    <format dxfId="656">
      <pivotArea outline="0" collapsedLevelsAreSubtotals="1" fieldPosition="0"/>
    </format>
    <format dxfId="655">
      <pivotArea field="1" type="button" dataOnly="0" labelOnly="1" outline="0" axis="axisRow" fieldPosition="0"/>
    </format>
    <format dxfId="654">
      <pivotArea field="5" type="button" dataOnly="0" labelOnly="1" outline="0" axis="axisRow" fieldPosition="1"/>
    </format>
    <format dxfId="653">
      <pivotArea field="11" type="button" dataOnly="0" labelOnly="1" outline="0" axis="axisRow" fieldPosition="2"/>
    </format>
    <format dxfId="652">
      <pivotArea field="12" type="button" dataOnly="0" labelOnly="1" outline="0" axis="axisRow" fieldPosition="3"/>
    </format>
    <format dxfId="651">
      <pivotArea field="24" type="button" dataOnly="0" labelOnly="1" outline="0"/>
    </format>
    <format dxfId="650">
      <pivotArea field="21" type="button" dataOnly="0" labelOnly="1" outline="0" axis="axisRow" fieldPosition="4"/>
    </format>
    <format dxfId="649">
      <pivotArea field="19" type="button" dataOnly="0" labelOnly="1" outline="0" axis="axisRow" fieldPosition="5"/>
    </format>
    <format dxfId="648">
      <pivotArea dataOnly="0" labelOnly="1" outline="0" fieldPosition="0">
        <references count="1">
          <reference field="1" count="1">
            <x v="0"/>
          </reference>
        </references>
      </pivotArea>
    </format>
    <format dxfId="647">
      <pivotArea dataOnly="0" labelOnly="1" grandRow="1" outline="0" fieldPosition="0"/>
    </format>
    <format dxfId="646">
      <pivotArea dataOnly="0" labelOnly="1" outline="0" fieldPosition="0">
        <references count="2">
          <reference field="1" count="1" selected="0">
            <x v="0"/>
          </reference>
          <reference field="5" count="1">
            <x v="22"/>
          </reference>
        </references>
      </pivotArea>
    </format>
    <format dxfId="645">
      <pivotArea dataOnly="0" labelOnly="1" outline="0" fieldPosition="0">
        <references count="3">
          <reference field="1" count="1" selected="0">
            <x v="0"/>
          </reference>
          <reference field="5" count="1" selected="0">
            <x v="22"/>
          </reference>
          <reference field="11" count="1">
            <x v="107"/>
          </reference>
        </references>
      </pivotArea>
    </format>
    <format dxfId="644">
      <pivotArea dataOnly="0" labelOnly="1" outline="0" fieldPosition="0">
        <references count="4">
          <reference field="1" count="1" selected="0">
            <x v="0"/>
          </reference>
          <reference field="5" count="1" selected="0">
            <x v="22"/>
          </reference>
          <reference field="11" count="1" selected="0">
            <x v="107"/>
          </reference>
          <reference field="12" count="1">
            <x v="236"/>
          </reference>
        </references>
      </pivotArea>
    </format>
    <format dxfId="643">
      <pivotArea dataOnly="0" labelOnly="1" outline="0" fieldPosition="0">
        <references count="1">
          <reference field="4294967294" count="2">
            <x v="0"/>
            <x v="1"/>
          </reference>
        </references>
      </pivotArea>
    </format>
    <format dxfId="642">
      <pivotArea field="1" type="button" dataOnly="0" labelOnly="1" outline="0" axis="axisRow" fieldPosition="0"/>
    </format>
    <format dxfId="641">
      <pivotArea field="5" type="button" dataOnly="0" labelOnly="1" outline="0" axis="axisRow" fieldPosition="1"/>
    </format>
    <format dxfId="640">
      <pivotArea field="11" type="button" dataOnly="0" labelOnly="1" outline="0" axis="axisRow" fieldPosition="2"/>
    </format>
    <format dxfId="639">
      <pivotArea field="12" type="button" dataOnly="0" labelOnly="1" outline="0" axis="axisRow" fieldPosition="3"/>
    </format>
    <format dxfId="638">
      <pivotArea field="24" type="button" dataOnly="0" labelOnly="1" outline="0"/>
    </format>
    <format dxfId="637">
      <pivotArea field="21" type="button" dataOnly="0" labelOnly="1" outline="0" axis="axisRow" fieldPosition="4"/>
    </format>
    <format dxfId="636">
      <pivotArea field="19" type="button" dataOnly="0" labelOnly="1" outline="0" axis="axisRow" fieldPosition="5"/>
    </format>
    <format dxfId="635">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3.xml><?xml version="1.0" encoding="utf-8"?>
<pivotTableDefinition xmlns="http://schemas.openxmlformats.org/spreadsheetml/2006/main" name="PivotTable2" cacheId="24"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M3:Q308" firstHeaderRow="0" firstDataRow="1" firstDataCol="3" rowPageCount="1" colPageCount="1"/>
  <pivotFields count="31">
    <pivotField axis="axisPage"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0"/>
        <item x="21"/>
        <item x="12"/>
        <item x="11"/>
        <item x="17"/>
        <item x="14"/>
        <item x="5"/>
        <item x="18"/>
        <item x="8"/>
        <item x="9"/>
        <item x="4"/>
        <item x="20"/>
        <item x="0"/>
        <item x="16"/>
        <item x="19"/>
        <item x="7"/>
        <item x="6"/>
        <item x="13"/>
        <item x="1"/>
        <item x="22"/>
        <item x="15"/>
        <item x="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4">
        <item x="139"/>
        <item x="147"/>
        <item x="123"/>
        <item x="37"/>
        <item x="130"/>
        <item x="135"/>
        <item x="141"/>
        <item x="144"/>
        <item x="138"/>
        <item x="86"/>
        <item x="179"/>
        <item x="180"/>
        <item x="178"/>
        <item x="128"/>
        <item x="154"/>
        <item x="140"/>
        <item x="107"/>
        <item x="75"/>
        <item x="112"/>
        <item x="74"/>
        <item x="82"/>
        <item x="35"/>
        <item x="131"/>
        <item x="129"/>
        <item x="106"/>
        <item x="148"/>
        <item x="153"/>
        <item x="259"/>
        <item x="43"/>
        <item x="24"/>
        <item x="76"/>
        <item x="118"/>
        <item x="136"/>
        <item x="155"/>
        <item x="165"/>
        <item x="243"/>
        <item x="253"/>
        <item x="268"/>
        <item x="103"/>
        <item x="39"/>
        <item x="158"/>
        <item x="181"/>
        <item x="13"/>
        <item x="15"/>
        <item x="99"/>
        <item x="45"/>
        <item x="156"/>
        <item x="247"/>
        <item x="227"/>
        <item x="228"/>
        <item x="10"/>
        <item x="67"/>
        <item x="71"/>
        <item x="168"/>
        <item x="42"/>
        <item x="109"/>
        <item x="117"/>
        <item x="127"/>
        <item x="264"/>
        <item x="11"/>
        <item x="149"/>
        <item x="132"/>
        <item x="122"/>
        <item x="36"/>
        <item x="59"/>
        <item x="53"/>
        <item x="58"/>
        <item x="124"/>
        <item x="101"/>
        <item x="185"/>
        <item x="22"/>
        <item x="85"/>
        <item x="61"/>
        <item x="27"/>
        <item x="25"/>
        <item x="266"/>
        <item x="265"/>
        <item x="280"/>
        <item x="12"/>
        <item x="48"/>
        <item x="7"/>
        <item x="176"/>
        <item x="177"/>
        <item x="60"/>
        <item x="164"/>
        <item x="115"/>
        <item x="114"/>
        <item x="111"/>
        <item x="55"/>
        <item x="225"/>
        <item x="231"/>
        <item x="49"/>
        <item x="88"/>
        <item x="87"/>
        <item x="90"/>
        <item x="92"/>
        <item x="93"/>
        <item x="89"/>
        <item x="94"/>
        <item x="91"/>
        <item x="16"/>
        <item x="17"/>
        <item x="100"/>
        <item x="84"/>
        <item x="81"/>
        <item x="80"/>
        <item x="70"/>
        <item x="83"/>
        <item x="146"/>
        <item x="46"/>
        <item x="54"/>
        <item x="245"/>
        <item x="239"/>
        <item x="205"/>
        <item x="169"/>
        <item x="223"/>
        <item x="251"/>
        <item x="145"/>
        <item x="38"/>
        <item x="14"/>
        <item x="47"/>
        <item x="125"/>
        <item x="222"/>
        <item x="218"/>
        <item x="220"/>
        <item x="254"/>
        <item x="236"/>
        <item x="255"/>
        <item x="244"/>
        <item x="224"/>
        <item x="170"/>
        <item x="173"/>
        <item x="126"/>
        <item x="137"/>
        <item x="226"/>
        <item x="258"/>
        <item x="20"/>
        <item x="44"/>
        <item x="72"/>
        <item x="77"/>
        <item x="256"/>
        <item x="68"/>
        <item x="184"/>
        <item x="29"/>
        <item x="275"/>
        <item x="78"/>
        <item x="79"/>
        <item x="113"/>
        <item x="56"/>
        <item x="1"/>
        <item x="63"/>
        <item x="120"/>
        <item x="108"/>
        <item x="159"/>
        <item x="96"/>
        <item x="142"/>
        <item x="62"/>
        <item x="119"/>
        <item x="28"/>
        <item x="21"/>
        <item x="26"/>
        <item x="23"/>
        <item x="133"/>
        <item x="272"/>
        <item x="102"/>
        <item x="151"/>
        <item x="98"/>
        <item x="64"/>
        <item x="5"/>
        <item x="6"/>
        <item x="267"/>
        <item x="50"/>
        <item x="51"/>
        <item x="8"/>
        <item x="183"/>
        <item x="69"/>
        <item x="186"/>
        <item x="157"/>
        <item x="52"/>
        <item x="104"/>
        <item x="57"/>
        <item x="0"/>
        <item x="3"/>
        <item x="2"/>
        <item x="4"/>
        <item x="30"/>
        <item x="95"/>
        <item x="175"/>
        <item x="65"/>
        <item x="34"/>
        <item x="33"/>
        <item x="152"/>
        <item x="134"/>
        <item x="273"/>
        <item x="41"/>
        <item x="143"/>
        <item x="19"/>
        <item x="40"/>
        <item x="73"/>
        <item x="167"/>
        <item x="230"/>
        <item x="160"/>
        <item x="161"/>
        <item x="188"/>
        <item x="190"/>
        <item x="232"/>
        <item x="233"/>
        <item x="163"/>
        <item x="235"/>
        <item x="166"/>
        <item x="234"/>
        <item x="171"/>
        <item x="237"/>
        <item x="195"/>
        <item x="32"/>
        <item x="31"/>
        <item x="110"/>
        <item x="97"/>
        <item x="18"/>
        <item x="105"/>
        <item x="182"/>
        <item x="238"/>
        <item x="199"/>
        <item x="187"/>
        <item x="201"/>
        <item x="189"/>
        <item x="191"/>
        <item x="204"/>
        <item x="269"/>
        <item x="206"/>
        <item x="271"/>
        <item x="241"/>
        <item x="240"/>
        <item x="270"/>
        <item x="274"/>
        <item x="246"/>
        <item x="207"/>
        <item x="192"/>
        <item x="209"/>
        <item x="193"/>
        <item x="194"/>
        <item x="276"/>
        <item x="277"/>
        <item x="278"/>
        <item x="279"/>
        <item x="248"/>
        <item x="281"/>
        <item x="282"/>
        <item x="283"/>
        <item x="284"/>
        <item x="285"/>
        <item x="286"/>
        <item x="287"/>
        <item x="288"/>
        <item x="289"/>
        <item x="290"/>
        <item x="291"/>
        <item x="249"/>
        <item x="250"/>
        <item x="252"/>
        <item x="257"/>
        <item x="196"/>
        <item x="292"/>
        <item x="197"/>
        <item x="261"/>
        <item x="216"/>
        <item x="202"/>
        <item x="9"/>
        <item x="203"/>
        <item x="66"/>
        <item x="219"/>
        <item x="221"/>
        <item x="262"/>
        <item x="208"/>
        <item x="242"/>
        <item x="229"/>
        <item x="299"/>
        <item x="210"/>
        <item x="293"/>
        <item x="294"/>
        <item x="212"/>
        <item x="214"/>
        <item x="296"/>
        <item x="215"/>
        <item x="217"/>
        <item x="200"/>
        <item x="211"/>
        <item x="295"/>
        <item x="298"/>
        <item x="297"/>
        <item x="213"/>
        <item x="198"/>
        <item x="263"/>
        <item x="300"/>
        <item x="260"/>
        <item x="301"/>
        <item x="116"/>
        <item x="121"/>
        <item x="150"/>
        <item x="162"/>
        <item x="172"/>
        <item x="174"/>
        <item x="302"/>
        <item x="303"/>
      </items>
      <extLst>
        <ext xmlns:x14="http://schemas.microsoft.com/office/spreadsheetml/2009/9/main" uri="{2946ED86-A175-432a-8AC1-64E0C546D7DE}">
          <x14:pivotField fillDownLabels="1"/>
        </ext>
      </extLst>
    </pivotField>
    <pivotField axis="axisRow" compact="0" outline="0" showAll="0" defaultSubtotal="0">
      <items count="303">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219"/>
        <item x="237"/>
        <item x="221"/>
        <item x="223"/>
        <item x="240"/>
        <item x="224"/>
        <item x="225"/>
        <item x="226"/>
        <item x="244"/>
        <item x="245"/>
        <item x="246"/>
        <item x="227"/>
        <item x="248"/>
        <item x="228"/>
        <item x="229"/>
        <item x="230"/>
        <item x="252"/>
        <item x="231"/>
        <item x="254"/>
        <item x="255"/>
        <item x="256"/>
        <item x="257"/>
        <item x="232"/>
        <item x="259"/>
        <item x="260"/>
        <item x="261"/>
        <item x="161"/>
        <item x="189"/>
        <item x="162"/>
        <item x="191"/>
        <item x="163"/>
        <item x="233"/>
        <item x="234"/>
        <item x="235"/>
        <item x="164"/>
        <item x="236"/>
        <item x="167"/>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 x="30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12"/>
    <field x="11"/>
    <field x="5"/>
  </rowFields>
  <rowItems count="305">
    <i>
      <x/>
      <x v="181"/>
      <x v="14"/>
    </i>
    <i>
      <x v="1"/>
      <x v="149"/>
      <x v="14"/>
    </i>
    <i>
      <x v="2"/>
      <x v="183"/>
      <x v="14"/>
    </i>
    <i>
      <x v="3"/>
      <x v="182"/>
      <x v="14"/>
    </i>
    <i>
      <x v="4"/>
      <x v="184"/>
      <x v="14"/>
    </i>
    <i>
      <x v="5"/>
      <x v="168"/>
      <x v="14"/>
    </i>
    <i>
      <x v="6"/>
      <x v="169"/>
      <x v="14"/>
    </i>
    <i>
      <x v="7"/>
      <x v="80"/>
      <x v="14"/>
    </i>
    <i>
      <x v="8"/>
      <x v="173"/>
      <x v="14"/>
    </i>
    <i>
      <x v="9"/>
      <x v="267"/>
      <x v="14"/>
    </i>
    <i>
      <x v="10"/>
      <x v="50"/>
      <x v="14"/>
    </i>
    <i>
      <x v="11"/>
      <x v="59"/>
      <x v="14"/>
    </i>
    <i>
      <x v="12"/>
      <x v="58"/>
      <x v="14"/>
    </i>
    <i>
      <x v="13"/>
      <x v="78"/>
      <x v="14"/>
    </i>
    <i>
      <x v="14"/>
      <x v="119"/>
      <x v="14"/>
    </i>
    <i>
      <x v="15"/>
      <x v="42"/>
      <x v="14"/>
    </i>
    <i>
      <x v="16"/>
      <x v="43"/>
      <x v="14"/>
    </i>
    <i>
      <x v="17"/>
      <x v="100"/>
      <x v="14"/>
    </i>
    <i>
      <x v="18"/>
      <x v="101"/>
      <x v="14"/>
    </i>
    <i>
      <x v="19"/>
      <x v="196"/>
      <x v="14"/>
    </i>
    <i>
      <x v="20"/>
      <x v="218"/>
      <x v="14"/>
    </i>
    <i>
      <x v="21"/>
      <x v="136"/>
      <x v="14"/>
    </i>
    <i>
      <x v="22"/>
      <x v="159"/>
      <x v="20"/>
    </i>
    <i>
      <x v="23"/>
      <x v="161"/>
      <x v="20"/>
    </i>
    <i>
      <x v="24"/>
      <x v="70"/>
      <x v="20"/>
    </i>
    <i>
      <x v="25"/>
      <x v="29"/>
      <x v="20"/>
    </i>
    <i>
      <x v="26"/>
      <x v="74"/>
      <x v="20"/>
    </i>
    <i>
      <x v="27"/>
      <x v="160"/>
      <x v="20"/>
    </i>
    <i>
      <x v="28"/>
      <x v="73"/>
      <x v="20"/>
    </i>
    <i>
      <x v="29"/>
      <x v="158"/>
      <x v="20"/>
    </i>
    <i>
      <x v="30"/>
      <x v="143"/>
      <x v="20"/>
    </i>
    <i>
      <x v="31"/>
      <x v="215"/>
      <x v="20"/>
    </i>
    <i>
      <x v="32"/>
      <x v="214"/>
      <x v="20"/>
    </i>
    <i>
      <x v="33"/>
      <x v="190"/>
      <x v="20"/>
    </i>
    <i>
      <x v="34"/>
      <x v="185"/>
      <x v="20"/>
    </i>
    <i>
      <x v="35"/>
      <x v="189"/>
      <x v="20"/>
    </i>
    <i>
      <x v="36"/>
      <x v="76"/>
      <x v="20"/>
    </i>
    <i>
      <x v="37"/>
      <x v="75"/>
      <x v="20"/>
    </i>
    <i>
      <x v="38"/>
      <x v="170"/>
      <x v="20"/>
    </i>
    <i>
      <x v="39"/>
      <x v="21"/>
      <x v="1"/>
    </i>
    <i>
      <x v="40"/>
      <x v="37"/>
      <x v="1"/>
    </i>
    <i>
      <x v="41"/>
      <x v="194"/>
      <x v="1"/>
    </i>
    <i>
      <x v="42"/>
      <x v="54"/>
      <x v="1"/>
    </i>
    <i>
      <x v="43"/>
      <x v="28"/>
      <x v="1"/>
    </i>
    <i>
      <x v="44"/>
      <x v="163"/>
      <x/>
    </i>
    <i>
      <x v="45"/>
      <x v="45"/>
      <x/>
    </i>
    <i>
      <x v="46"/>
      <x v="63"/>
      <x/>
    </i>
    <i>
      <x v="47"/>
      <x v="3"/>
      <x/>
    </i>
    <i>
      <x v="48"/>
      <x v="118"/>
      <x/>
    </i>
    <i>
      <x v="49"/>
      <x v="39"/>
      <x/>
    </i>
    <i>
      <x v="50"/>
      <x v="197"/>
      <x/>
    </i>
    <i>
      <x v="51"/>
      <x v="137"/>
      <x/>
    </i>
    <i>
      <x v="52"/>
      <x v="178"/>
      <x/>
    </i>
    <i>
      <x v="53"/>
      <x v="109"/>
      <x v="12"/>
    </i>
    <i>
      <x v="54"/>
      <x v="110"/>
      <x v="12"/>
    </i>
    <i>
      <x v="55"/>
      <x v="88"/>
      <x v="12"/>
    </i>
    <i>
      <x v="56"/>
      <x v="148"/>
      <x v="12"/>
    </i>
    <i>
      <x v="57"/>
      <x v="180"/>
      <x v="12"/>
    </i>
    <i>
      <x v="58"/>
      <x v="120"/>
      <x v="12"/>
    </i>
    <i>
      <x v="59"/>
      <x v="79"/>
      <x v="12"/>
    </i>
    <i>
      <x v="60"/>
      <x v="83"/>
      <x v="12"/>
    </i>
    <i>
      <x v="61"/>
      <x v="72"/>
      <x v="12"/>
    </i>
    <i>
      <x v="62"/>
      <x v="156"/>
      <x v="12"/>
    </i>
    <i>
      <x v="63"/>
      <x v="91"/>
      <x v="8"/>
    </i>
    <i>
      <x v="64"/>
      <x v="171"/>
      <x v="18"/>
    </i>
    <i>
      <x v="65"/>
      <x v="172"/>
      <x v="18"/>
    </i>
    <i>
      <x v="66"/>
      <x v="65"/>
      <x v="12"/>
    </i>
    <i>
      <x v="67"/>
      <x v="66"/>
      <x v="12"/>
    </i>
    <i>
      <x v="68"/>
      <x v="64"/>
      <x v="12"/>
    </i>
    <i>
      <x v="69"/>
      <x v="150"/>
      <x v="12"/>
    </i>
    <i>
      <x v="70"/>
      <x v="167"/>
      <x v="12"/>
    </i>
    <i>
      <x v="71"/>
      <x v="52"/>
      <x v="5"/>
    </i>
    <i>
      <x v="72"/>
      <x v="188"/>
      <x v="17"/>
    </i>
    <i>
      <x v="73"/>
      <x v="269"/>
      <x v="10"/>
    </i>
    <i>
      <x v="74"/>
      <x v="51"/>
      <x v="10"/>
    </i>
    <i>
      <x v="75"/>
      <x v="141"/>
      <x v="10"/>
    </i>
    <i>
      <x v="76"/>
      <x v="175"/>
      <x v="11"/>
    </i>
    <i>
      <x v="77"/>
      <x v="139"/>
      <x v="11"/>
    </i>
    <i>
      <x v="78"/>
      <x v="145"/>
      <x v="2"/>
    </i>
    <i>
      <x v="79"/>
      <x v="146"/>
      <x v="2"/>
    </i>
    <i>
      <x v="80"/>
      <x v="105"/>
      <x v="2"/>
    </i>
    <i>
      <x v="81"/>
      <x v="104"/>
      <x v="2"/>
    </i>
    <i>
      <x v="82"/>
      <x v="20"/>
      <x v="2"/>
    </i>
    <i>
      <x v="83"/>
      <x v="107"/>
      <x v="2"/>
    </i>
    <i>
      <x v="84"/>
      <x v="103"/>
      <x v="2"/>
    </i>
    <i>
      <x v="85"/>
      <x v="106"/>
      <x v="2"/>
    </i>
    <i>
      <x v="86"/>
      <x v="9"/>
      <x v="2"/>
    </i>
    <i>
      <x v="87"/>
      <x v="93"/>
      <x v="2"/>
    </i>
    <i>
      <x v="88"/>
      <x v="92"/>
      <x v="2"/>
    </i>
    <i>
      <x v="89"/>
      <x v="97"/>
      <x v="2"/>
    </i>
    <i>
      <x v="90"/>
      <x v="94"/>
      <x v="2"/>
    </i>
    <i>
      <x v="91"/>
      <x v="99"/>
      <x v="2"/>
    </i>
    <i>
      <x v="92"/>
      <x v="95"/>
      <x v="2"/>
    </i>
    <i>
      <x v="93"/>
      <x v="96"/>
      <x v="2"/>
    </i>
    <i>
      <x v="94"/>
      <x v="98"/>
      <x v="2"/>
    </i>
    <i>
      <x v="95"/>
      <x v="186"/>
      <x v="2"/>
    </i>
    <i>
      <x v="96"/>
      <x v="154"/>
      <x v="2"/>
    </i>
    <i>
      <x v="97"/>
      <x v="138"/>
      <x v="2"/>
    </i>
    <i>
      <x v="98"/>
      <x v="166"/>
      <x v="2"/>
    </i>
    <i>
      <x v="99"/>
      <x v="198"/>
      <x v="2"/>
    </i>
    <i>
      <x v="100"/>
      <x v="102"/>
      <x v="2"/>
    </i>
    <i>
      <x v="101"/>
      <x v="68"/>
      <x v="2"/>
    </i>
    <i>
      <x v="102"/>
      <x v="164"/>
      <x v="2"/>
    </i>
    <i>
      <x v="103"/>
      <x v="19"/>
      <x v="2"/>
    </i>
    <i>
      <x v="104"/>
      <x v="179"/>
      <x v="2"/>
    </i>
    <i>
      <x v="105"/>
      <x v="219"/>
      <x v="20"/>
    </i>
    <i>
      <x v="106"/>
      <x v="17"/>
      <x v="20"/>
    </i>
    <i>
      <x v="107"/>
      <x v="16"/>
      <x v="20"/>
    </i>
    <i>
      <x v="108"/>
      <x v="30"/>
      <x v="20"/>
    </i>
    <i>
      <x v="109"/>
      <x v="193"/>
      <x v="20"/>
    </i>
    <i>
      <x v="110"/>
      <x v="216"/>
      <x v="20"/>
    </i>
    <i>
      <x v="111"/>
      <x v="87"/>
      <x v="20"/>
    </i>
    <i>
      <x v="112"/>
      <x v="71"/>
      <x v="20"/>
    </i>
    <i>
      <x v="113"/>
      <x v="217"/>
      <x v="20"/>
    </i>
    <i>
      <x v="114"/>
      <x v="44"/>
      <x v="12"/>
    </i>
    <i>
      <x v="115"/>
      <x v="38"/>
      <x v="12"/>
    </i>
    <i>
      <x v="116"/>
      <x v="24"/>
      <x v="12"/>
    </i>
    <i>
      <x v="117"/>
      <x v="152"/>
      <x v="12"/>
    </i>
    <i>
      <x v="118"/>
      <x v="55"/>
      <x v="8"/>
    </i>
    <i>
      <x v="119"/>
      <x v="18"/>
      <x v="8"/>
    </i>
    <i>
      <x v="120"/>
      <x v="147"/>
      <x v="12"/>
    </i>
    <i>
      <x v="121"/>
      <x v="86"/>
      <x v="8"/>
    </i>
    <i>
      <x v="122"/>
      <x v="85"/>
      <x v="8"/>
    </i>
    <i>
      <x v="123"/>
      <x v="296"/>
      <x v="8"/>
    </i>
    <i>
      <x v="124"/>
      <x v="67"/>
      <x v="8"/>
    </i>
    <i>
      <x v="125"/>
      <x v="121"/>
      <x v="8"/>
    </i>
    <i>
      <x v="126"/>
      <x v="132"/>
      <x v="8"/>
    </i>
    <i>
      <x v="127"/>
      <x v="57"/>
      <x v="4"/>
    </i>
    <i>
      <x v="128"/>
      <x v="56"/>
      <x v="14"/>
    </i>
    <i>
      <x v="129"/>
      <x v="31"/>
      <x v="2"/>
    </i>
    <i>
      <x v="130"/>
      <x v="144"/>
      <x v="11"/>
    </i>
    <i>
      <x v="131"/>
      <x v="22"/>
      <x/>
    </i>
    <i>
      <x v="132"/>
      <x v="157"/>
      <x v="20"/>
    </i>
    <i>
      <x v="133"/>
      <x v="151"/>
      <x v="14"/>
    </i>
    <i>
      <x v="134"/>
      <x v="297"/>
      <x/>
    </i>
    <i>
      <x v="135"/>
      <x v="62"/>
      <x v="2"/>
    </i>
    <i>
      <x v="136"/>
      <x v="2"/>
      <x v="2"/>
    </i>
    <i>
      <x v="137"/>
      <x v="13"/>
      <x v="2"/>
    </i>
    <i>
      <x v="138"/>
      <x v="8"/>
      <x v="2"/>
    </i>
    <i>
      <x v="139"/>
      <x/>
      <x v="2"/>
    </i>
    <i>
      <x v="140"/>
      <x v="15"/>
      <x v="2"/>
    </i>
    <i>
      <x v="141"/>
      <x v="6"/>
      <x v="2"/>
    </i>
    <i>
      <x v="142"/>
      <x v="23"/>
      <x v="2"/>
    </i>
    <i>
      <x v="143"/>
      <x v="195"/>
      <x v="2"/>
    </i>
    <i>
      <x v="144"/>
      <x v="4"/>
      <x v="2"/>
    </i>
    <i>
      <x v="145"/>
      <x v="117"/>
      <x v="2"/>
    </i>
    <i>
      <x v="146"/>
      <x v="108"/>
      <x v="2"/>
    </i>
    <i>
      <x v="147"/>
      <x v="1"/>
      <x v="2"/>
    </i>
    <i>
      <x v="148"/>
      <x v="25"/>
      <x v="2"/>
    </i>
    <i>
      <x v="149"/>
      <x v="61"/>
      <x v="2"/>
    </i>
    <i>
      <x v="150"/>
      <x v="162"/>
      <x v="2"/>
    </i>
    <i>
      <x v="151"/>
      <x v="165"/>
      <x v="2"/>
    </i>
    <i>
      <x v="152"/>
      <x v="192"/>
      <x v="2"/>
    </i>
    <i>
      <x v="153"/>
      <x v="191"/>
      <x v="2"/>
    </i>
    <i>
      <x v="154"/>
      <x v="26"/>
      <x v="2"/>
    </i>
    <i>
      <x v="155"/>
      <x v="14"/>
      <x v="2"/>
    </i>
    <i>
      <x v="156"/>
      <x v="33"/>
      <x v="2"/>
    </i>
    <i>
      <x v="157"/>
      <x v="5"/>
      <x v="2"/>
    </i>
    <i>
      <x v="158"/>
      <x v="32"/>
      <x v="2"/>
    </i>
    <i>
      <x v="159"/>
      <x v="133"/>
      <x v="2"/>
    </i>
    <i>
      <x v="160"/>
      <x v="155"/>
      <x/>
    </i>
    <i>
      <x v="161"/>
      <x v="7"/>
      <x/>
    </i>
    <i>
      <x v="162"/>
      <x v="60"/>
      <x v="1"/>
    </i>
    <i>
      <x v="163"/>
      <x v="298"/>
      <x v="8"/>
    </i>
    <i>
      <x v="164"/>
      <x v="298"/>
      <x v="12"/>
    </i>
    <i>
      <x v="165"/>
      <x v="84"/>
      <x v="12"/>
    </i>
    <i>
      <x v="166"/>
      <x v="34"/>
      <x v="18"/>
    </i>
    <i>
      <x v="167"/>
      <x v="46"/>
      <x v="12"/>
    </i>
    <i>
      <x v="168"/>
      <x v="199"/>
      <x v="2"/>
    </i>
    <i>
      <x v="169"/>
      <x v="53"/>
      <x v="8"/>
    </i>
    <i>
      <x v="170"/>
      <x v="114"/>
      <x v="8"/>
    </i>
    <i>
      <x v="171"/>
      <x v="130"/>
      <x v="8"/>
    </i>
    <i>
      <x v="172"/>
      <x v="177"/>
      <x v="19"/>
    </i>
    <i>
      <x v="173"/>
      <x v="40"/>
      <x v="20"/>
    </i>
    <i>
      <x v="174"/>
      <x v="131"/>
      <x v="8"/>
    </i>
    <i>
      <x v="175"/>
      <x v="153"/>
      <x v="1"/>
    </i>
    <i>
      <x v="176"/>
      <x v="187"/>
      <x/>
    </i>
    <i>
      <x v="177"/>
      <x v="81"/>
      <x v="8"/>
    </i>
    <i>
      <x v="178"/>
      <x v="82"/>
      <x v="8"/>
    </i>
    <i>
      <x v="179"/>
      <x v="12"/>
      <x v="8"/>
    </i>
    <i>
      <x v="180"/>
      <x v="10"/>
      <x v="8"/>
    </i>
    <i>
      <x v="181"/>
      <x v="11"/>
      <x v="8"/>
    </i>
    <i>
      <x v="182"/>
      <x v="41"/>
      <x v="8"/>
    </i>
    <i>
      <x v="183"/>
      <x v="77"/>
      <x v="8"/>
    </i>
    <i>
      <x v="184"/>
      <x v="174"/>
      <x v="8"/>
    </i>
    <i>
      <x v="185"/>
      <x v="142"/>
      <x v="17"/>
    </i>
    <i>
      <x v="186"/>
      <x v="69"/>
      <x v="7"/>
    </i>
    <i>
      <x v="187"/>
      <x v="176"/>
      <x/>
    </i>
    <i>
      <x v="188"/>
      <x v="123"/>
      <x v="15"/>
    </i>
    <i>
      <x v="189"/>
      <x v="126"/>
      <x v="15"/>
    </i>
    <i>
      <x v="190"/>
      <x v="124"/>
      <x v="15"/>
    </i>
    <i>
      <x v="191"/>
      <x v="122"/>
      <x v="15"/>
    </i>
    <i>
      <x v="192"/>
      <x v="112"/>
      <x v="13"/>
    </i>
    <i>
      <x v="193"/>
      <x v="115"/>
      <x v="6"/>
    </i>
    <i>
      <x v="194"/>
      <x v="129"/>
      <x v="6"/>
    </i>
    <i>
      <x v="195"/>
      <x v="89"/>
      <x v="9"/>
    </i>
    <i>
      <x v="196"/>
      <x v="35"/>
      <x v="13"/>
    </i>
    <i>
      <x v="197"/>
      <x v="128"/>
      <x v="13"/>
    </i>
    <i>
      <x v="198"/>
      <x v="111"/>
      <x v="13"/>
    </i>
    <i>
      <x v="199"/>
      <x v="134"/>
      <x v="16"/>
    </i>
    <i>
      <x v="200"/>
      <x v="47"/>
      <x v="6"/>
    </i>
    <i>
      <x v="201"/>
      <x v="48"/>
      <x v="6"/>
    </i>
    <i>
      <x v="202"/>
      <x v="49"/>
      <x v="6"/>
    </i>
    <i>
      <x v="203"/>
      <x v="275"/>
      <x v="6"/>
    </i>
    <i>
      <x v="204"/>
      <x v="116"/>
      <x v="6"/>
    </i>
    <i>
      <x v="205"/>
      <x v="200"/>
      <x v="6"/>
    </i>
    <i>
      <x v="206"/>
      <x v="36"/>
      <x v="13"/>
    </i>
    <i>
      <x v="207"/>
      <x v="125"/>
      <x v="15"/>
    </i>
    <i>
      <x v="208"/>
      <x v="127"/>
      <x v="13"/>
    </i>
    <i>
      <x v="209"/>
      <x v="140"/>
      <x v="3"/>
    </i>
    <i>
      <x v="210"/>
      <x v="90"/>
      <x v="9"/>
    </i>
    <i>
      <x v="211"/>
      <x v="135"/>
      <x v="16"/>
    </i>
    <i>
      <x v="212"/>
      <x v="27"/>
      <x v="6"/>
    </i>
    <i>
      <x v="213"/>
      <x v="294"/>
      <x v="6"/>
    </i>
    <i>
      <x v="214"/>
      <x v="201"/>
      <x v="8"/>
    </i>
    <i>
      <x v="215"/>
      <x v="203"/>
      <x/>
    </i>
    <i>
      <x v="216"/>
      <x v="202"/>
      <x v="1"/>
    </i>
    <i>
      <x v="217"/>
      <x v="204"/>
      <x v="8"/>
    </i>
    <i>
      <x v="218"/>
      <x v="299"/>
      <x v="17"/>
    </i>
    <i>
      <x v="219"/>
      <x v="205"/>
      <x v="13"/>
    </i>
    <i>
      <x v="220"/>
      <x v="206"/>
      <x v="15"/>
    </i>
    <i>
      <x v="221"/>
      <x v="210"/>
      <x v="15"/>
    </i>
    <i>
      <x v="222"/>
      <x v="207"/>
      <x v="8"/>
    </i>
    <i>
      <x v="223"/>
      <x v="208"/>
      <x v="13"/>
    </i>
    <i>
      <x v="224"/>
      <x v="209"/>
      <x v="2"/>
    </i>
    <i>
      <x v="225"/>
      <x v="211"/>
      <x v="8"/>
    </i>
    <i>
      <x v="226"/>
      <x v="212"/>
      <x v="6"/>
    </i>
    <i>
      <x v="227"/>
      <x v="213"/>
      <x v="2"/>
    </i>
    <i>
      <x v="228"/>
      <x v="300"/>
      <x v="11"/>
    </i>
    <i>
      <x v="229"/>
      <x v="301"/>
      <x v="11"/>
    </i>
    <i>
      <x v="230"/>
      <x v="221"/>
      <x v="3"/>
    </i>
    <i>
      <x v="231"/>
      <x v="220"/>
      <x v="17"/>
    </i>
    <i>
      <x v="232"/>
      <x v="222"/>
      <x v="10"/>
    </i>
    <i>
      <x v="233"/>
      <x v="223"/>
      <x v="10"/>
    </i>
    <i>
      <x v="234"/>
      <x v="224"/>
      <x v="10"/>
    </i>
    <i>
      <x v="235"/>
      <x v="225"/>
      <x v="19"/>
    </i>
    <i>
      <x v="236"/>
      <x v="226"/>
      <x v="19"/>
    </i>
    <i>
      <x v="237"/>
      <x v="227"/>
      <x v="12"/>
    </i>
    <i>
      <x v="238"/>
      <x v="228"/>
      <x v="6"/>
    </i>
    <i>
      <x v="239"/>
      <x v="229"/>
      <x v="2"/>
    </i>
    <i>
      <x v="240"/>
      <x v="113"/>
      <x v="8"/>
    </i>
    <i>
      <x v="241"/>
      <x v="276"/>
      <x v="6"/>
    </i>
    <i>
      <x v="242"/>
      <x v="232"/>
      <x v="16"/>
    </i>
    <i>
      <x v="243"/>
      <x v="233"/>
      <x v="9"/>
    </i>
    <i>
      <x v="244"/>
      <x v="230"/>
      <x v="15"/>
    </i>
    <i>
      <x v="245"/>
      <x v="231"/>
      <x v="15"/>
    </i>
    <i>
      <x v="246"/>
      <x v="274"/>
      <x v="6"/>
    </i>
    <i>
      <x v="247"/>
      <x v="234"/>
      <x v="3"/>
    </i>
    <i>
      <x v="248"/>
      <x v="235"/>
      <x v="6"/>
    </i>
    <i>
      <x v="249"/>
      <x v="236"/>
      <x v="2"/>
    </i>
    <i>
      <x v="250"/>
      <x v="237"/>
      <x v="2"/>
    </i>
    <i>
      <x v="251"/>
      <x v="238"/>
      <x v="2"/>
    </i>
    <i>
      <x v="252"/>
      <x v="239"/>
      <x v="2"/>
    </i>
    <i>
      <x v="253"/>
      <x v="240"/>
      <x v="2"/>
    </i>
    <i>
      <x v="254"/>
      <x v="241"/>
      <x v="16"/>
    </i>
    <i>
      <x v="255"/>
      <x v="242"/>
      <x v="16"/>
    </i>
    <i>
      <x v="256"/>
      <x v="243"/>
      <x v="16"/>
    </i>
    <i>
      <x v="257"/>
      <x v="244"/>
      <x v="16"/>
    </i>
    <i>
      <x v="258"/>
      <x v="245"/>
      <x v="16"/>
    </i>
    <i>
      <x v="259"/>
      <x v="246"/>
      <x v="13"/>
    </i>
    <i>
      <x v="260"/>
      <x v="247"/>
      <x v="13"/>
    </i>
    <i>
      <x v="261"/>
      <x v="248"/>
      <x v="13"/>
    </i>
    <i>
      <x v="262"/>
      <x v="249"/>
      <x v="13"/>
    </i>
    <i>
      <x v="263"/>
      <x v="250"/>
      <x v="13"/>
    </i>
    <i>
      <x v="264"/>
      <x v="251"/>
      <x v="13"/>
    </i>
    <i>
      <x v="265"/>
      <x v="252"/>
      <x v="13"/>
    </i>
    <i>
      <x v="266"/>
      <x v="253"/>
      <x v="13"/>
    </i>
    <i>
      <x v="267"/>
      <x v="254"/>
      <x v="13"/>
    </i>
    <i>
      <x v="268"/>
      <x v="255"/>
      <x v="13"/>
    </i>
    <i>
      <x v="269"/>
      <x v="256"/>
      <x v="13"/>
    </i>
    <i>
      <x v="270"/>
      <x v="257"/>
      <x v="21"/>
    </i>
    <i>
      <x v="271"/>
      <x v="258"/>
      <x v="6"/>
    </i>
    <i>
      <x v="272"/>
      <x v="259"/>
      <x v="6"/>
    </i>
    <i>
      <x v="273"/>
      <x v="260"/>
      <x v="13"/>
    </i>
    <i>
      <x v="274"/>
      <x v="261"/>
      <x v="20"/>
    </i>
    <i>
      <x v="275"/>
      <x v="262"/>
      <x v="20"/>
    </i>
    <i>
      <x v="276"/>
      <x v="263"/>
      <x v="2"/>
    </i>
    <i>
      <x v="277"/>
      <x v="264"/>
      <x v="16"/>
    </i>
    <i>
      <x v="278"/>
      <x v="291"/>
      <x v="22"/>
    </i>
    <i>
      <x v="279"/>
      <x v="265"/>
      <x v="22"/>
    </i>
    <i>
      <x v="280"/>
      <x v="285"/>
      <x v="22"/>
    </i>
    <i>
      <x v="281"/>
      <x v="266"/>
      <x v="22"/>
    </i>
    <i>
      <x v="282"/>
      <x v="270"/>
      <x v="10"/>
    </i>
    <i>
      <x v="283"/>
      <x v="268"/>
      <x v="14"/>
    </i>
    <i>
      <x v="284"/>
      <x v="271"/>
      <x v="14"/>
    </i>
    <i>
      <x v="285"/>
      <x v="273"/>
      <x v="20"/>
    </i>
    <i>
      <x v="286"/>
      <x v="272"/>
      <x v="6"/>
    </i>
    <i>
      <x v="287"/>
      <x v="277"/>
      <x v="10"/>
    </i>
    <i>
      <x v="288"/>
      <x v="278"/>
      <x v="10"/>
    </i>
    <i>
      <x v="289"/>
      <x v="286"/>
      <x v="10"/>
    </i>
    <i>
      <x v="290"/>
      <x v="279"/>
      <x v="10"/>
    </i>
    <i>
      <x v="291"/>
      <x v="287"/>
      <x v="14"/>
    </i>
    <i>
      <x v="292"/>
      <x v="280"/>
      <x v="14"/>
    </i>
    <i>
      <x v="293"/>
      <x v="290"/>
      <x v="14"/>
    </i>
    <i>
      <x v="294"/>
      <x v="281"/>
      <x v="14"/>
    </i>
    <i>
      <x v="295"/>
      <x v="282"/>
      <x v="2"/>
    </i>
    <i>
      <x v="296"/>
      <x v="289"/>
      <x v="20"/>
    </i>
    <i>
      <x v="297"/>
      <x v="283"/>
      <x v="2"/>
    </i>
    <i>
      <x v="298"/>
      <x v="284"/>
      <x v="14"/>
    </i>
    <i>
      <x v="299"/>
      <x v="288"/>
      <x v="20"/>
    </i>
    <i r="1">
      <x v="302"/>
      <x v="19"/>
    </i>
    <i>
      <x v="300"/>
      <x v="292"/>
      <x v="23"/>
    </i>
    <i r="1">
      <x v="293"/>
      <x v="8"/>
    </i>
    <i>
      <x v="301"/>
      <x v="295"/>
      <x v="6"/>
    </i>
    <i>
      <x v="302"/>
      <x v="303"/>
      <x v="18"/>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4.xml><?xml version="1.0" encoding="utf-8"?>
<pivotTableDefinition xmlns="http://schemas.openxmlformats.org/spreadsheetml/2006/main" name="PivotTable1" cacheId="24"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K308" firstHeaderRow="1" firstDataRow="1" firstDataCol="4"/>
  <pivotFields count="31">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304">
        <item x="139"/>
        <item x="147"/>
        <item x="123"/>
        <item x="207"/>
        <item x="37"/>
        <item x="221"/>
        <item x="130"/>
        <item x="135"/>
        <item x="141"/>
        <item x="285"/>
        <item x="144"/>
        <item x="138"/>
        <item x="86"/>
        <item x="289"/>
        <item x="290"/>
        <item x="179"/>
        <item x="180"/>
        <item x="178"/>
        <item x="128"/>
        <item x="154"/>
        <item x="140"/>
        <item x="107"/>
        <item x="75"/>
        <item x="112"/>
        <item x="190"/>
        <item x="74"/>
        <item x="82"/>
        <item x="35"/>
        <item x="131"/>
        <item x="204"/>
        <item x="129"/>
        <item x="9"/>
        <item x="106"/>
        <item x="148"/>
        <item x="294"/>
        <item x="153"/>
        <item x="259"/>
        <item x="260"/>
        <item x="43"/>
        <item x="288"/>
        <item x="302"/>
        <item x="196"/>
        <item x="24"/>
        <item x="76"/>
        <item x="118"/>
        <item x="136"/>
        <item x="155"/>
        <item x="172"/>
        <item x="165"/>
        <item x="243"/>
        <item x="257"/>
        <item x="253"/>
        <item x="166"/>
        <item x="268"/>
        <item x="103"/>
        <item x="39"/>
        <item x="301"/>
        <item x="158"/>
        <item x="150"/>
        <item x="121"/>
        <item x="181"/>
        <item x="162"/>
        <item x="13"/>
        <item x="15"/>
        <item x="213"/>
        <item x="99"/>
        <item x="284"/>
        <item x="203"/>
        <item x="283"/>
        <item x="45"/>
        <item x="215"/>
        <item x="281"/>
        <item x="156"/>
        <item x="247"/>
        <item x="195"/>
        <item x="227"/>
        <item x="250"/>
        <item x="228"/>
        <item x="261"/>
        <item x="10"/>
        <item x="67"/>
        <item x="71"/>
        <item x="168"/>
        <item x="110"/>
        <item x="293"/>
        <item x="42"/>
        <item x="109"/>
        <item x="296"/>
        <item x="117"/>
        <item x="127"/>
        <item x="197"/>
        <item x="264"/>
        <item x="11"/>
        <item x="149"/>
        <item x="132"/>
        <item x="122"/>
        <item x="36"/>
        <item x="248"/>
        <item x="59"/>
        <item x="53"/>
        <item x="58"/>
        <item x="124"/>
        <item x="182"/>
        <item x="66"/>
        <item x="201"/>
        <item x="101"/>
        <item x="185"/>
        <item x="22"/>
        <item x="85"/>
        <item x="61"/>
        <item x="299"/>
        <item x="27"/>
        <item x="25"/>
        <item x="266"/>
        <item x="265"/>
        <item x="298"/>
        <item x="280"/>
        <item x="160"/>
        <item x="12"/>
        <item x="48"/>
        <item x="7"/>
        <item x="249"/>
        <item x="176"/>
        <item x="177"/>
        <item x="252"/>
        <item x="60"/>
        <item x="270"/>
        <item x="164"/>
        <item x="115"/>
        <item x="171"/>
        <item x="114"/>
        <item x="163"/>
        <item x="116"/>
        <item x="111"/>
        <item x="55"/>
        <item x="225"/>
        <item x="231"/>
        <item x="49"/>
        <item x="88"/>
        <item x="87"/>
        <item x="90"/>
        <item x="92"/>
        <item x="93"/>
        <item x="89"/>
        <item x="94"/>
        <item x="91"/>
        <item x="16"/>
        <item x="17"/>
        <item x="100"/>
        <item x="84"/>
        <item x="81"/>
        <item x="80"/>
        <item x="70"/>
        <item x="83"/>
        <item x="146"/>
        <item x="229"/>
        <item x="174"/>
        <item x="32"/>
        <item x="46"/>
        <item x="54"/>
        <item x="282"/>
        <item x="241"/>
        <item x="271"/>
        <item x="245"/>
        <item x="239"/>
        <item x="205"/>
        <item x="169"/>
        <item x="246"/>
        <item x="223"/>
        <item x="237"/>
        <item x="251"/>
        <item x="145"/>
        <item x="232"/>
        <item x="235"/>
        <item x="38"/>
        <item x="194"/>
        <item x="14"/>
        <item x="210"/>
        <item x="47"/>
        <item x="125"/>
        <item x="222"/>
        <item x="218"/>
        <item x="233"/>
        <item x="220"/>
        <item x="254"/>
        <item x="236"/>
        <item x="255"/>
        <item x="244"/>
        <item x="224"/>
        <item x="242"/>
        <item x="170"/>
        <item x="173"/>
        <item x="126"/>
        <item x="137"/>
        <item x="238"/>
        <item x="226"/>
        <item x="258"/>
        <item x="234"/>
        <item x="286"/>
        <item x="219"/>
        <item x="211"/>
        <item x="278"/>
        <item x="279"/>
        <item x="277"/>
        <item x="20"/>
        <item x="44"/>
        <item x="72"/>
        <item x="77"/>
        <item x="256"/>
        <item x="68"/>
        <item x="184"/>
        <item x="29"/>
        <item x="275"/>
        <item x="31"/>
        <item x="189"/>
        <item x="269"/>
        <item x="78"/>
        <item x="79"/>
        <item x="113"/>
        <item x="56"/>
        <item x="1"/>
        <item x="63"/>
        <item x="120"/>
        <item x="217"/>
        <item x="108"/>
        <item x="97"/>
        <item x="262"/>
        <item x="240"/>
        <item x="159"/>
        <item x="303"/>
        <item x="96"/>
        <item x="142"/>
        <item x="62"/>
        <item x="119"/>
        <item x="28"/>
        <item x="21"/>
        <item x="26"/>
        <item x="23"/>
        <item x="133"/>
        <item x="272"/>
        <item x="102"/>
        <item x="208"/>
        <item x="151"/>
        <item x="191"/>
        <item x="98"/>
        <item x="199"/>
        <item x="187"/>
        <item x="161"/>
        <item x="64"/>
        <item x="292"/>
        <item x="192"/>
        <item x="193"/>
        <item x="5"/>
        <item x="6"/>
        <item x="267"/>
        <item x="50"/>
        <item x="51"/>
        <item x="276"/>
        <item x="8"/>
        <item x="183"/>
        <item x="198"/>
        <item x="69"/>
        <item x="186"/>
        <item x="287"/>
        <item x="157"/>
        <item x="52"/>
        <item x="216"/>
        <item x="202"/>
        <item x="200"/>
        <item x="212"/>
        <item x="104"/>
        <item x="57"/>
        <item x="0"/>
        <item x="18"/>
        <item x="3"/>
        <item x="2"/>
        <item x="4"/>
        <item x="209"/>
        <item x="30"/>
        <item x="188"/>
        <item x="95"/>
        <item x="175"/>
        <item x="214"/>
        <item x="65"/>
        <item x="295"/>
        <item x="274"/>
        <item x="297"/>
        <item x="34"/>
        <item x="33"/>
        <item x="206"/>
        <item x="152"/>
        <item x="134"/>
        <item x="291"/>
        <item x="273"/>
        <item x="41"/>
        <item x="143"/>
        <item x="19"/>
        <item x="300"/>
        <item x="40"/>
        <item x="73"/>
        <item x="105"/>
        <item x="167"/>
        <item x="230"/>
        <item x="263"/>
      </items>
      <extLst>
        <ext xmlns:x14="http://schemas.microsoft.com/office/spreadsheetml/2009/9/main" uri="{2946ED86-A175-432a-8AC1-64E0C546D7DE}">
          <x14:pivotField fillDownLabels="1"/>
        </ext>
      </extLst>
    </pivotField>
    <pivotField axis="axisRow" compact="0" outline="0" showAll="0" defaultSubtotal="0">
      <items count="303">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219"/>
        <item x="237"/>
        <item x="221"/>
        <item x="223"/>
        <item x="240"/>
        <item x="224"/>
        <item x="225"/>
        <item x="226"/>
        <item x="244"/>
        <item x="245"/>
        <item x="246"/>
        <item x="227"/>
        <item x="248"/>
        <item x="228"/>
        <item x="229"/>
        <item x="230"/>
        <item x="252"/>
        <item x="231"/>
        <item x="254"/>
        <item x="255"/>
        <item x="256"/>
        <item x="257"/>
        <item x="232"/>
        <item x="259"/>
        <item x="260"/>
        <item x="261"/>
        <item x="161"/>
        <item x="189"/>
        <item x="162"/>
        <item x="191"/>
        <item x="163"/>
        <item x="233"/>
        <item x="234"/>
        <item x="235"/>
        <item x="164"/>
        <item x="236"/>
        <item x="167"/>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 x="30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60">
        <item x="54"/>
        <item x="0"/>
        <item x="1"/>
        <item x="2"/>
        <item x="22"/>
        <item x="3"/>
        <item x="10"/>
        <item x="14"/>
        <item x="4"/>
        <item x="7"/>
        <item x="17"/>
        <item x="5"/>
        <item x="6"/>
        <item x="18"/>
        <item x="23"/>
        <item x="15"/>
        <item x="13"/>
        <item x="12"/>
        <item x="21"/>
        <item x="26"/>
        <item x="8"/>
        <item x="9"/>
        <item x="19"/>
        <item x="29"/>
        <item x="24"/>
        <item x="16"/>
        <item x="45"/>
        <item x="20"/>
        <item x="46"/>
        <item x="27"/>
        <item x="49"/>
        <item x="48"/>
        <item x="25"/>
        <item x="47"/>
        <item x="33"/>
        <item x="31"/>
        <item x="30"/>
        <item x="28"/>
        <item x="37"/>
        <item x="51"/>
        <item x="50"/>
        <item x="56"/>
        <item x="32"/>
        <item n="0" x="11"/>
        <item x="52"/>
        <item x="55"/>
        <item x="34"/>
        <item x="53"/>
        <item x="35"/>
        <item x="36"/>
        <item x="43"/>
        <item x="44"/>
        <item x="38"/>
        <item x="39"/>
        <item x="41"/>
        <item x="42"/>
        <item x="40"/>
        <item x="57"/>
        <item x="58"/>
        <item x="5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11"/>
    <field x="12"/>
    <field x="0"/>
    <field x="23"/>
  </rowFields>
  <rowItems count="305">
    <i>
      <x/>
      <x v="139"/>
      <x/>
      <x v="43"/>
    </i>
    <i>
      <x v="1"/>
      <x v="147"/>
      <x/>
      <x v="18"/>
    </i>
    <i>
      <x v="2"/>
      <x v="136"/>
      <x v="1"/>
      <x v="18"/>
    </i>
    <i>
      <x v="3"/>
      <x v="249"/>
      <x/>
      <x v="42"/>
    </i>
    <i>
      <x v="4"/>
      <x v="47"/>
      <x v="1"/>
      <x v="6"/>
    </i>
    <i>
      <x v="5"/>
      <x v="284"/>
      <x/>
      <x v="51"/>
    </i>
    <i>
      <x v="6"/>
      <x v="144"/>
      <x v="1"/>
      <x v="18"/>
    </i>
    <i>
      <x v="7"/>
      <x v="157"/>
      <x v="1"/>
      <x v="18"/>
    </i>
    <i>
      <x v="8"/>
      <x v="141"/>
      <x/>
      <x v="43"/>
    </i>
    <i>
      <x v="9"/>
      <x v="263"/>
      <x/>
      <x v="43"/>
    </i>
    <i>
      <x v="10"/>
      <x v="161"/>
      <x v="1"/>
      <x v="4"/>
    </i>
    <i>
      <x v="11"/>
      <x v="138"/>
      <x/>
      <x v="43"/>
    </i>
    <i>
      <x v="12"/>
      <x v="86"/>
      <x/>
      <x v="43"/>
    </i>
    <i>
      <x v="13"/>
      <x v="267"/>
      <x/>
      <x v="43"/>
    </i>
    <i>
      <x v="14"/>
      <x v="268"/>
      <x/>
      <x v="43"/>
    </i>
    <i>
      <x v="15"/>
      <x v="180"/>
      <x/>
      <x v="43"/>
    </i>
    <i>
      <x v="16"/>
      <x v="181"/>
      <x/>
      <x v="43"/>
    </i>
    <i>
      <x v="17"/>
      <x v="179"/>
      <x/>
      <x v="43"/>
    </i>
    <i>
      <x v="18"/>
      <x v="137"/>
      <x v="1"/>
      <x v="18"/>
    </i>
    <i>
      <x v="19"/>
      <x v="155"/>
      <x/>
      <x v="43"/>
    </i>
    <i>
      <x v="20"/>
      <x v="140"/>
      <x/>
      <x v="18"/>
    </i>
    <i>
      <x v="21"/>
      <x v="107"/>
      <x/>
      <x v="43"/>
    </i>
    <i>
      <x v="22"/>
      <x v="106"/>
      <x v="1"/>
      <x v="6"/>
    </i>
    <i>
      <x v="23"/>
      <x v="119"/>
      <x v="1"/>
      <x v="5"/>
    </i>
    <i>
      <x v="24"/>
      <x v="217"/>
      <x/>
      <x v="5"/>
    </i>
    <i>
      <x v="25"/>
      <x v="103"/>
      <x v="1"/>
      <x v="22"/>
    </i>
    <i>
      <x v="26"/>
      <x v="82"/>
      <x/>
      <x v="43"/>
    </i>
    <i>
      <x v="27"/>
      <x v="39"/>
      <x v="1"/>
      <x v="17"/>
    </i>
    <i>
      <x v="28"/>
      <x v="131"/>
      <x/>
      <x v="43"/>
    </i>
    <i>
      <x v="29"/>
      <x v="237"/>
      <x/>
      <x v="43"/>
    </i>
    <i>
      <x v="30"/>
      <x v="142"/>
      <x v="1"/>
      <x v="18"/>
    </i>
    <i>
      <x v="31"/>
      <x v="9"/>
      <x v="1"/>
      <x v="3"/>
    </i>
    <i>
      <x v="32"/>
      <x v="116"/>
      <x v="1"/>
      <x v="3"/>
    </i>
    <i>
      <x v="33"/>
      <x v="148"/>
      <x/>
      <x v="43"/>
    </i>
    <i>
      <x v="34"/>
      <x v="290"/>
      <x v="1"/>
      <x v="53"/>
    </i>
    <i>
      <x v="35"/>
      <x v="154"/>
      <x/>
      <x v="43"/>
    </i>
    <i>
      <x v="36"/>
      <x v="212"/>
      <x/>
      <x v="43"/>
    </i>
    <i>
      <x v="37"/>
      <x v="213"/>
      <x v="1"/>
      <x v="43"/>
    </i>
    <i>
      <x v="38"/>
      <x v="43"/>
      <x/>
      <x v="43"/>
    </i>
    <i>
      <x v="39"/>
      <x v="266"/>
      <x/>
      <x v="43"/>
    </i>
    <i>
      <x v="40"/>
      <x v="299"/>
      <x v="1"/>
      <x v="58"/>
    </i>
    <i>
      <x v="41"/>
      <x v="274"/>
      <x v="1"/>
      <x v="43"/>
    </i>
    <i>
      <x v="42"/>
      <x v="25"/>
      <x v="1"/>
      <x v="1"/>
    </i>
    <i>
      <x v="43"/>
      <x v="108"/>
      <x v="1"/>
      <x v="7"/>
    </i>
    <i>
      <x v="44"/>
      <x v="129"/>
      <x v="1"/>
      <x v="16"/>
    </i>
    <i>
      <x v="45"/>
      <x v="158"/>
      <x v="1"/>
      <x v="15"/>
    </i>
    <i>
      <x v="46"/>
      <x v="156"/>
      <x/>
      <x v="43"/>
    </i>
    <i>
      <x v="47"/>
      <x v="228"/>
      <x v="1"/>
      <x v="18"/>
    </i>
    <i>
      <x v="48"/>
      <x v="166"/>
      <x/>
      <x v="43"/>
    </i>
    <i>
      <x v="49"/>
      <x v="196"/>
      <x/>
      <x v="43"/>
    </i>
    <i>
      <x v="50"/>
      <x v="273"/>
      <x v="1"/>
      <x v="43"/>
    </i>
    <i>
      <x v="51"/>
      <x v="206"/>
      <x/>
      <x v="43"/>
    </i>
    <i>
      <x v="52"/>
      <x v="224"/>
      <x v="1"/>
      <x v="15"/>
    </i>
    <i>
      <x v="53"/>
      <x v="40"/>
      <x v="1"/>
      <x v="12"/>
    </i>
    <i>
      <x v="54"/>
      <x v="115"/>
      <x v="1"/>
      <x v="1"/>
    </i>
    <i>
      <x v="55"/>
      <x v="49"/>
      <x v="1"/>
      <x v="7"/>
    </i>
    <i>
      <x v="56"/>
      <x v="301"/>
      <x v="1"/>
      <x v="57"/>
    </i>
    <i>
      <x v="57"/>
      <x v="173"/>
      <x v="1"/>
      <x v="43"/>
    </i>
    <i>
      <x v="58"/>
      <x v="163"/>
      <x v="1"/>
      <x v="43"/>
    </i>
    <i r="1">
      <x v="164"/>
      <x v="1"/>
      <x v="43"/>
    </i>
    <i>
      <x v="59"/>
      <x v="134"/>
      <x v="1"/>
      <x v="43"/>
    </i>
    <i>
      <x v="60"/>
      <x v="182"/>
      <x/>
      <x v="43"/>
    </i>
    <i>
      <x v="61"/>
      <x v="218"/>
      <x v="1"/>
      <x v="22"/>
    </i>
    <i>
      <x v="62"/>
      <x v="15"/>
      <x v="1"/>
      <x v="2"/>
    </i>
    <i>
      <x v="63"/>
      <x v="16"/>
      <x v="1"/>
      <x v="2"/>
    </i>
    <i>
      <x v="64"/>
      <x v="293"/>
      <x v="1"/>
      <x v="56"/>
    </i>
    <i>
      <x v="65"/>
      <x v="114"/>
      <x v="1"/>
      <x v="13"/>
    </i>
    <i>
      <x v="66"/>
      <x v="262"/>
      <x/>
      <x v="43"/>
    </i>
    <i>
      <x v="67"/>
      <x v="283"/>
      <x v="1"/>
      <x v="49"/>
    </i>
    <i>
      <x v="68"/>
      <x v="261"/>
      <x/>
      <x v="43"/>
    </i>
    <i>
      <x v="69"/>
      <x v="45"/>
      <x/>
      <x v="43"/>
    </i>
    <i>
      <x v="70"/>
      <x v="297"/>
      <x v="1"/>
      <x v="43"/>
    </i>
    <i>
      <x v="71"/>
      <x v="259"/>
      <x/>
      <x v="43"/>
    </i>
    <i>
      <x v="72"/>
      <x v="167"/>
      <x v="1"/>
      <x v="43"/>
    </i>
    <i>
      <x v="73"/>
      <x v="200"/>
      <x/>
      <x v="18"/>
    </i>
    <i>
      <x v="74"/>
      <x v="227"/>
      <x/>
      <x v="34"/>
    </i>
    <i>
      <x v="75"/>
      <x v="201"/>
      <x v="1"/>
      <x v="17"/>
    </i>
    <i>
      <x v="76"/>
      <x v="271"/>
      <x v="1"/>
      <x v="44"/>
    </i>
    <i>
      <x v="77"/>
      <x v="202"/>
      <x v="1"/>
      <x v="17"/>
    </i>
    <i>
      <x v="78"/>
      <x v="277"/>
      <x v="1"/>
      <x v="47"/>
    </i>
    <i>
      <x v="79"/>
      <x v="10"/>
      <x/>
      <x v="8"/>
    </i>
    <i>
      <x v="80"/>
      <x v="74"/>
      <x v="1"/>
      <x v="12"/>
    </i>
    <i>
      <x v="81"/>
      <x v="71"/>
      <x/>
      <x v="43"/>
    </i>
    <i>
      <x v="82"/>
      <x v="169"/>
      <x/>
      <x v="19"/>
    </i>
    <i>
      <x v="83"/>
      <x v="110"/>
      <x/>
      <x v="1"/>
    </i>
    <i>
      <x v="84"/>
      <x v="288"/>
      <x v="1"/>
      <x v="53"/>
    </i>
    <i>
      <x v="85"/>
      <x v="42"/>
      <x/>
      <x v="43"/>
    </i>
    <i>
      <x v="86"/>
      <x v="118"/>
      <x v="1"/>
      <x v="5"/>
    </i>
    <i>
      <x v="87"/>
      <x v="295"/>
      <x v="1"/>
      <x v="43"/>
    </i>
    <i>
      <x v="88"/>
      <x v="128"/>
      <x/>
      <x v="27"/>
    </i>
    <i>
      <x v="89"/>
      <x v="127"/>
      <x/>
      <x v="43"/>
    </i>
    <i>
      <x v="90"/>
      <x v="276"/>
      <x v="1"/>
      <x v="46"/>
    </i>
    <i>
      <x v="91"/>
      <x v="12"/>
      <x v="1"/>
      <x/>
    </i>
    <i>
      <x v="92"/>
      <x v="11"/>
      <x v="1"/>
      <x v="1"/>
    </i>
    <i>
      <x v="93"/>
      <x v="162"/>
      <x v="1"/>
      <x v="9"/>
    </i>
    <i>
      <x v="94"/>
      <x v="149"/>
      <x v="1"/>
      <x v="18"/>
    </i>
    <i>
      <x v="95"/>
      <x v="135"/>
      <x v="1"/>
      <x v="18"/>
    </i>
    <i>
      <x v="96"/>
      <x v="46"/>
      <x v="1"/>
      <x v="1"/>
    </i>
    <i>
      <x v="97"/>
      <x v="258"/>
      <x v="1"/>
      <x v="43"/>
    </i>
    <i>
      <x v="98"/>
      <x v="68"/>
      <x v="1"/>
      <x v="12"/>
    </i>
    <i>
      <x v="99"/>
      <x v="66"/>
      <x v="1"/>
      <x v="6"/>
    </i>
    <i>
      <x v="100"/>
      <x v="67"/>
      <x v="1"/>
      <x v="11"/>
    </i>
    <i>
      <x v="101"/>
      <x v="124"/>
      <x/>
      <x v="15"/>
    </i>
    <i>
      <x v="102"/>
      <x v="231"/>
      <x v="1"/>
      <x v="37"/>
    </i>
    <i>
      <x v="103"/>
      <x v="73"/>
      <x v="1"/>
      <x v="12"/>
    </i>
    <i>
      <x v="104"/>
      <x v="234"/>
      <x/>
      <x v="36"/>
    </i>
    <i>
      <x v="105"/>
      <x v="101"/>
      <x/>
      <x v="43"/>
    </i>
    <i>
      <x v="106"/>
      <x v="186"/>
      <x/>
      <x v="23"/>
    </i>
    <i>
      <x v="107"/>
      <x v="24"/>
      <x v="1"/>
      <x v="12"/>
    </i>
    <i>
      <x v="108"/>
      <x v="112"/>
      <x v="1"/>
      <x v="1"/>
    </i>
    <i>
      <x v="109"/>
      <x v="61"/>
      <x/>
      <x v="43"/>
    </i>
    <i>
      <x v="110"/>
      <x v="241"/>
      <x v="1"/>
      <x v="41"/>
    </i>
    <i>
      <x v="111"/>
      <x v="28"/>
      <x v="1"/>
      <x v="21"/>
    </i>
    <i>
      <x v="112"/>
      <x v="26"/>
      <x v="1"/>
      <x v="20"/>
    </i>
    <i>
      <x v="113"/>
      <x v="37"/>
      <x v="1"/>
      <x v="13"/>
    </i>
    <i>
      <x v="114"/>
      <x v="36"/>
      <x v="1"/>
      <x v="7"/>
    </i>
    <i>
      <x v="115"/>
      <x v="299"/>
      <x v="2"/>
      <x v="55"/>
    </i>
    <i>
      <x v="116"/>
      <x v="183"/>
      <x v="1"/>
      <x v="24"/>
    </i>
    <i>
      <x v="117"/>
      <x v="214"/>
      <x v="1"/>
      <x v="24"/>
    </i>
    <i>
      <x v="118"/>
      <x v="13"/>
      <x v="1"/>
      <x v="3"/>
    </i>
    <i>
      <x v="119"/>
      <x v="59"/>
      <x v="1"/>
      <x v="12"/>
    </i>
    <i>
      <x v="120"/>
      <x v="7"/>
      <x v="1"/>
      <x v="2"/>
    </i>
    <i>
      <x v="121"/>
      <x v="270"/>
      <x v="1"/>
      <x v="43"/>
    </i>
    <i>
      <x v="122"/>
      <x v="177"/>
      <x/>
      <x v="43"/>
    </i>
    <i>
      <x v="123"/>
      <x v="178"/>
      <x/>
      <x v="43"/>
    </i>
    <i>
      <x v="124"/>
      <x v="272"/>
      <x v="1"/>
      <x v="43"/>
    </i>
    <i>
      <x v="125"/>
      <x v="60"/>
      <x/>
      <x v="43"/>
    </i>
    <i>
      <x v="126"/>
      <x v="243"/>
      <x/>
      <x v="38"/>
    </i>
    <i>
      <x v="127"/>
      <x v="165"/>
      <x/>
      <x v="43"/>
    </i>
    <i>
      <x v="128"/>
      <x v="122"/>
      <x v="1"/>
      <x v="9"/>
    </i>
    <i>
      <x v="129"/>
      <x v="225"/>
      <x v="1"/>
      <x v="29"/>
    </i>
    <i>
      <x v="130"/>
      <x v="121"/>
      <x v="1"/>
      <x v="6"/>
    </i>
    <i>
      <x v="131"/>
      <x v="222"/>
      <x v="1"/>
      <x v="32"/>
    </i>
    <i>
      <x v="132"/>
      <x v="123"/>
      <x v="1"/>
      <x v="43"/>
    </i>
    <i>
      <x v="133"/>
      <x v="111"/>
      <x/>
      <x v="43"/>
    </i>
    <i>
      <x v="134"/>
      <x v="55"/>
      <x/>
      <x v="5"/>
    </i>
    <i>
      <x v="135"/>
      <x v="195"/>
      <x v="1"/>
      <x v="11"/>
    </i>
    <i>
      <x v="136"/>
      <x v="210"/>
      <x v="1"/>
      <x v="12"/>
    </i>
    <i>
      <x v="137"/>
      <x v="63"/>
      <x v="1"/>
      <x v="25"/>
    </i>
    <i>
      <x v="138"/>
      <x v="88"/>
      <x/>
      <x v="43"/>
    </i>
    <i>
      <x v="139"/>
      <x v="87"/>
      <x/>
      <x v="43"/>
    </i>
    <i>
      <x v="140"/>
      <x v="90"/>
      <x/>
      <x v="43"/>
    </i>
    <i>
      <x v="141"/>
      <x v="92"/>
      <x/>
      <x v="43"/>
    </i>
    <i>
      <x v="142"/>
      <x v="93"/>
      <x/>
      <x v="43"/>
    </i>
    <i>
      <x v="143"/>
      <x v="89"/>
      <x/>
      <x v="43"/>
    </i>
    <i>
      <x v="144"/>
      <x v="94"/>
      <x/>
      <x v="43"/>
    </i>
    <i>
      <x v="145"/>
      <x v="91"/>
      <x/>
      <x v="43"/>
    </i>
    <i>
      <x v="146"/>
      <x v="17"/>
      <x v="1"/>
      <x v="5"/>
    </i>
    <i>
      <x v="147"/>
      <x v="18"/>
      <x v="1"/>
      <x v="5"/>
    </i>
    <i>
      <x v="148"/>
      <x v="100"/>
      <x/>
      <x v="43"/>
    </i>
    <i>
      <x v="149"/>
      <x v="84"/>
      <x/>
      <x v="43"/>
    </i>
    <i>
      <x v="150"/>
      <x v="81"/>
      <x/>
      <x v="43"/>
    </i>
    <i>
      <x v="151"/>
      <x v="80"/>
      <x/>
      <x v="43"/>
    </i>
    <i>
      <x v="152"/>
      <x v="85"/>
      <x v="1"/>
      <x v="15"/>
    </i>
    <i>
      <x v="153"/>
      <x v="83"/>
      <x/>
      <x v="43"/>
    </i>
    <i>
      <x v="154"/>
      <x v="146"/>
      <x/>
      <x v="43"/>
    </i>
    <i>
      <x v="155"/>
      <x v="203"/>
      <x v="1"/>
      <x v="18"/>
    </i>
    <i>
      <x v="156"/>
      <x v="229"/>
      <x v="1"/>
      <x v="18"/>
    </i>
    <i>
      <x v="157"/>
      <x v="32"/>
      <x/>
      <x v="43"/>
    </i>
    <i>
      <x v="158"/>
      <x v="53"/>
      <x v="1"/>
      <x v="1"/>
    </i>
    <i>
      <x v="159"/>
      <x v="54"/>
      <x/>
      <x v="3"/>
    </i>
    <i>
      <x v="160"/>
      <x v="260"/>
      <x/>
      <x v="43"/>
    </i>
    <i>
      <x v="161"/>
      <x v="245"/>
      <x v="1"/>
      <x v="40"/>
    </i>
    <i>
      <x v="162"/>
      <x v="244"/>
      <x/>
      <x v="39"/>
    </i>
    <i>
      <x v="163"/>
      <x v="198"/>
      <x/>
      <x v="14"/>
    </i>
    <i>
      <x v="164"/>
      <x v="192"/>
      <x/>
      <x v="43"/>
    </i>
    <i>
      <x v="165"/>
      <x v="240"/>
      <x/>
      <x v="43"/>
    </i>
    <i>
      <x v="166"/>
      <x v="170"/>
      <x/>
      <x v="14"/>
    </i>
    <i>
      <x v="167"/>
      <x v="248"/>
      <x v="1"/>
      <x v="39"/>
    </i>
    <i>
      <x v="168"/>
      <x v="193"/>
      <x v="1"/>
      <x v="4"/>
    </i>
    <i>
      <x v="169"/>
      <x v="226"/>
      <x v="1"/>
      <x v="4"/>
    </i>
    <i>
      <x v="170"/>
      <x v="204"/>
      <x/>
      <x v="4"/>
    </i>
    <i>
      <x v="171"/>
      <x v="145"/>
      <x/>
      <x v="18"/>
    </i>
    <i>
      <x v="172"/>
      <x v="219"/>
      <x v="1"/>
      <x v="28"/>
    </i>
    <i>
      <x v="173"/>
      <x v="223"/>
      <x v="1"/>
      <x v="30"/>
    </i>
    <i>
      <x v="174"/>
      <x v="48"/>
      <x v="1"/>
      <x v="16"/>
    </i>
    <i>
      <x v="175"/>
      <x v="253"/>
      <x v="1"/>
      <x v="42"/>
    </i>
    <i>
      <x v="176"/>
      <x v="14"/>
      <x/>
      <x v="5"/>
    </i>
    <i>
      <x v="177"/>
      <x v="287"/>
      <x v="1"/>
      <x v="53"/>
    </i>
    <i>
      <x v="178"/>
      <x v="58"/>
      <x v="1"/>
      <x v="43"/>
    </i>
    <i>
      <x v="179"/>
      <x v="125"/>
      <x/>
      <x v="43"/>
    </i>
    <i>
      <x v="180"/>
      <x v="191"/>
      <x v="1"/>
      <x v="26"/>
    </i>
    <i>
      <x v="181"/>
      <x v="188"/>
      <x v="1"/>
      <x v="7"/>
    </i>
    <i>
      <x v="182"/>
      <x v="220"/>
      <x v="1"/>
      <x v="33"/>
    </i>
    <i>
      <x v="183"/>
      <x v="190"/>
      <x v="1"/>
      <x v="7"/>
    </i>
    <i>
      <x v="184"/>
      <x v="207"/>
      <x/>
      <x v="43"/>
    </i>
    <i>
      <x v="185"/>
      <x v="189"/>
      <x/>
      <x v="43"/>
    </i>
    <i>
      <x v="186"/>
      <x v="208"/>
      <x/>
      <x v="4"/>
    </i>
    <i>
      <x v="187"/>
      <x v="197"/>
      <x/>
      <x v="43"/>
    </i>
    <i>
      <x v="188"/>
      <x v="194"/>
      <x v="1"/>
      <x v="7"/>
    </i>
    <i>
      <x v="189"/>
      <x v="246"/>
      <x v="1"/>
      <x v="39"/>
    </i>
    <i>
      <x v="190"/>
      <x v="171"/>
      <x/>
      <x v="14"/>
    </i>
    <i>
      <x v="191"/>
      <x v="174"/>
      <x/>
      <x v="43"/>
    </i>
    <i>
      <x v="192"/>
      <x v="126"/>
      <x/>
      <x v="43"/>
    </i>
    <i>
      <x v="193"/>
      <x v="159"/>
      <x v="1"/>
      <x v="18"/>
    </i>
    <i>
      <x v="194"/>
      <x v="230"/>
      <x v="1"/>
      <x v="35"/>
    </i>
    <i>
      <x v="195"/>
      <x v="199"/>
      <x v="1"/>
      <x v="11"/>
    </i>
    <i>
      <x v="196"/>
      <x v="211"/>
      <x/>
      <x v="43"/>
    </i>
    <i>
      <x v="197"/>
      <x v="221"/>
      <x v="1"/>
      <x v="31"/>
    </i>
    <i>
      <x v="198"/>
      <x v="264"/>
      <x/>
      <x v="43"/>
    </i>
    <i>
      <x v="199"/>
      <x v="282"/>
      <x/>
      <x v="50"/>
    </i>
    <i>
      <x v="200"/>
      <x v="289"/>
      <x v="1"/>
      <x v="53"/>
    </i>
    <i>
      <x v="201"/>
      <x v="256"/>
      <x/>
      <x v="43"/>
    </i>
    <i>
      <x v="202"/>
      <x v="257"/>
      <x/>
      <x v="43"/>
    </i>
    <i>
      <x v="203"/>
      <x v="255"/>
      <x/>
      <x v="43"/>
    </i>
    <i>
      <x v="204"/>
      <x v="21"/>
      <x v="1"/>
      <x v="8"/>
    </i>
    <i>
      <x v="205"/>
      <x v="51"/>
      <x/>
      <x v="6"/>
    </i>
    <i>
      <x v="206"/>
      <x v="97"/>
      <x v="1"/>
      <x v="22"/>
    </i>
    <i>
      <x v="207"/>
      <x v="77"/>
      <x/>
      <x v="10"/>
    </i>
    <i>
      <x v="208"/>
      <x v="209"/>
      <x/>
      <x v="19"/>
    </i>
    <i>
      <x v="209"/>
      <x v="75"/>
      <x v="1"/>
      <x v="10"/>
    </i>
    <i>
      <x v="210"/>
      <x v="185"/>
      <x/>
      <x v="22"/>
    </i>
    <i>
      <x v="211"/>
      <x v="30"/>
      <x v="1"/>
      <x v="12"/>
    </i>
    <i>
      <x v="212"/>
      <x v="130"/>
      <x v="1"/>
      <x v="9"/>
    </i>
    <i>
      <x v="213"/>
      <x v="31"/>
      <x/>
      <x v="43"/>
    </i>
    <i>
      <x v="214"/>
      <x v="235"/>
      <x v="1"/>
      <x v="35"/>
    </i>
    <i>
      <x v="215"/>
      <x v="238"/>
      <x v="1"/>
      <x v="35"/>
    </i>
    <i>
      <x v="216"/>
      <x v="78"/>
      <x/>
      <x v="15"/>
    </i>
    <i>
      <x v="217"/>
      <x v="79"/>
      <x/>
      <x v="43"/>
    </i>
    <i>
      <x v="218"/>
      <x v="120"/>
      <x v="1"/>
      <x v="11"/>
    </i>
    <i>
      <x v="219"/>
      <x v="56"/>
      <x/>
      <x v="5"/>
    </i>
    <i>
      <x v="220"/>
      <x v="1"/>
      <x v="1"/>
      <x v="1"/>
    </i>
    <i>
      <x v="221"/>
      <x v="69"/>
      <x v="1"/>
      <x v="15"/>
    </i>
    <i>
      <x v="222"/>
      <x v="133"/>
      <x v="1"/>
      <x v="17"/>
    </i>
    <i>
      <x v="223"/>
      <x v="298"/>
      <x v="1"/>
      <x v="55"/>
    </i>
    <i>
      <x v="224"/>
      <x v="117"/>
      <x v="1"/>
      <x v="11"/>
    </i>
    <i>
      <x v="225"/>
      <x v="113"/>
      <x v="1"/>
      <x v="2"/>
    </i>
    <i>
      <x v="226"/>
      <x v="286"/>
      <x v="1"/>
      <x v="38"/>
    </i>
    <i>
      <x v="227"/>
      <x v="242"/>
      <x v="1"/>
      <x v="38"/>
    </i>
    <i>
      <x v="228"/>
      <x v="175"/>
      <x v="1"/>
      <x v="14"/>
    </i>
    <i>
      <x v="229"/>
      <x v="302"/>
      <x v="1"/>
      <x v="59"/>
    </i>
    <i>
      <x v="230"/>
      <x v="96"/>
      <x/>
      <x v="43"/>
    </i>
    <i>
      <x v="231"/>
      <x v="160"/>
      <x v="1"/>
      <x v="18"/>
    </i>
    <i>
      <x v="232"/>
      <x v="62"/>
      <x/>
      <x v="43"/>
    </i>
    <i>
      <x v="233"/>
      <x v="132"/>
      <x v="1"/>
      <x v="6"/>
    </i>
    <i>
      <x v="234"/>
      <x v="29"/>
      <x v="1"/>
      <x v="2"/>
    </i>
    <i>
      <x v="235"/>
      <x v="22"/>
      <x v="1"/>
      <x v="1"/>
    </i>
    <i>
      <x v="236"/>
      <x v="27"/>
      <x v="1"/>
      <x v="1"/>
    </i>
    <i>
      <x v="237"/>
      <x v="23"/>
      <x/>
      <x v="9"/>
    </i>
    <i>
      <x v="238"/>
      <x v="150"/>
      <x v="1"/>
      <x v="18"/>
    </i>
    <i>
      <x v="239"/>
      <x v="44"/>
      <x v="1"/>
      <x v="2"/>
    </i>
    <i>
      <x v="240"/>
      <x v="102"/>
      <x/>
      <x v="43"/>
    </i>
    <i>
      <x v="241"/>
      <x v="285"/>
      <x v="1"/>
      <x v="52"/>
    </i>
    <i>
      <x v="242"/>
      <x v="151"/>
      <x/>
      <x v="18"/>
    </i>
    <i>
      <x v="243"/>
      <x v="236"/>
      <x v="1"/>
      <x v="35"/>
    </i>
    <i>
      <x v="244"/>
      <x v="98"/>
      <x/>
      <x v="43"/>
    </i>
    <i>
      <x v="245"/>
      <x v="232"/>
      <x/>
      <x v="36"/>
    </i>
    <i>
      <x v="246"/>
      <x v="233"/>
      <x v="1"/>
      <x v="36"/>
    </i>
    <i>
      <x v="247"/>
      <x v="216"/>
      <x v="1"/>
      <x v="14"/>
    </i>
    <i>
      <x v="248"/>
      <x v="70"/>
      <x v="1"/>
      <x v="15"/>
    </i>
    <i>
      <x v="249"/>
      <x v="275"/>
      <x v="1"/>
      <x v="45"/>
    </i>
    <i>
      <x v="250"/>
      <x v="250"/>
      <x v="1"/>
      <x v="42"/>
    </i>
    <i>
      <x v="251"/>
      <x v="252"/>
      <x v="1"/>
      <x v="42"/>
    </i>
    <i>
      <x v="252"/>
      <x v="5"/>
      <x v="1"/>
      <x v="3"/>
    </i>
    <i>
      <x v="253"/>
      <x v="6"/>
      <x v="1"/>
      <x v="8"/>
    </i>
    <i>
      <x v="254"/>
      <x v="38"/>
      <x v="1"/>
      <x v="6"/>
    </i>
    <i>
      <x v="255"/>
      <x v="64"/>
      <x v="1"/>
      <x v="2"/>
    </i>
    <i>
      <x v="256"/>
      <x v="65"/>
      <x v="1"/>
      <x v="2"/>
    </i>
    <i>
      <x v="257"/>
      <x v="254"/>
      <x/>
      <x v="43"/>
    </i>
    <i>
      <x v="258"/>
      <x v="8"/>
      <x v="1"/>
      <x v="2"/>
    </i>
    <i>
      <x v="259"/>
      <x v="184"/>
      <x/>
      <x v="43"/>
    </i>
    <i>
      <x v="260"/>
      <x v="278"/>
      <x v="1"/>
      <x v="48"/>
    </i>
    <i>
      <x v="261"/>
      <x v="76"/>
      <x v="1"/>
      <x v="13"/>
    </i>
    <i>
      <x v="262"/>
      <x v="187"/>
      <x/>
      <x v="43"/>
    </i>
    <i>
      <x v="263"/>
      <x v="265"/>
      <x/>
      <x v="43"/>
    </i>
    <i>
      <x v="264"/>
      <x v="172"/>
      <x v="1"/>
      <x v="43"/>
    </i>
    <i>
      <x v="265"/>
      <x v="52"/>
      <x/>
      <x v="12"/>
    </i>
    <i>
      <x v="266"/>
      <x v="279"/>
      <x/>
      <x v="48"/>
    </i>
    <i>
      <x v="267"/>
      <x v="281"/>
      <x v="1"/>
      <x v="48"/>
    </i>
    <i>
      <x v="268"/>
      <x v="280"/>
      <x v="1"/>
      <x v="48"/>
    </i>
    <i>
      <x v="269"/>
      <x v="292"/>
      <x/>
      <x v="53"/>
    </i>
    <i>
      <x v="270"/>
      <x v="104"/>
      <x/>
      <x v="43"/>
    </i>
    <i>
      <x v="271"/>
      <x v="57"/>
      <x/>
      <x v="43"/>
    </i>
    <i>
      <x v="272"/>
      <x/>
      <x v="1"/>
      <x v="1"/>
    </i>
    <i>
      <x v="273"/>
      <x v="20"/>
      <x v="1"/>
      <x v="11"/>
    </i>
    <i>
      <x v="274"/>
      <x v="3"/>
      <x v="1"/>
      <x v="3"/>
    </i>
    <i>
      <x v="275"/>
      <x v="2"/>
      <x v="1"/>
      <x v="2"/>
    </i>
    <i>
      <x v="276"/>
      <x v="4"/>
      <x v="1"/>
      <x v="5"/>
    </i>
    <i>
      <x v="277"/>
      <x v="251"/>
      <x/>
      <x v="42"/>
    </i>
    <i>
      <x v="278"/>
      <x v="34"/>
      <x v="1"/>
      <x v="6"/>
    </i>
    <i>
      <x v="279"/>
      <x v="215"/>
      <x/>
      <x v="43"/>
    </i>
    <i>
      <x v="280"/>
      <x v="95"/>
      <x/>
      <x v="43"/>
    </i>
    <i>
      <x v="281"/>
      <x v="176"/>
      <x/>
      <x v="43"/>
    </i>
    <i>
      <x v="282"/>
      <x v="294"/>
      <x v="1"/>
      <x v="54"/>
    </i>
    <i>
      <x v="283"/>
      <x v="72"/>
      <x v="1"/>
      <x v="43"/>
    </i>
    <i>
      <x v="284"/>
      <x v="291"/>
      <x v="1"/>
      <x v="53"/>
    </i>
    <i>
      <x v="285"/>
      <x v="247"/>
      <x/>
      <x v="40"/>
    </i>
    <i>
      <x v="286"/>
      <x v="296"/>
      <x v="1"/>
      <x v="54"/>
    </i>
    <i>
      <x v="287"/>
      <x v="35"/>
      <x v="1"/>
      <x v="6"/>
    </i>
    <i>
      <x v="288"/>
      <x v="33"/>
      <x/>
      <x v="6"/>
    </i>
    <i>
      <x v="289"/>
      <x v="239"/>
      <x/>
      <x v="38"/>
    </i>
    <i>
      <x v="290"/>
      <x v="153"/>
      <x/>
      <x v="18"/>
    </i>
    <i>
      <x v="291"/>
      <x v="152"/>
      <x v="1"/>
      <x v="18"/>
    </i>
    <i>
      <x v="292"/>
      <x v="269"/>
      <x/>
      <x v="43"/>
    </i>
    <i>
      <x v="293"/>
      <x v="109"/>
      <x v="1"/>
      <x v="1"/>
    </i>
    <i>
      <x v="294"/>
      <x v="41"/>
      <x/>
      <x v="43"/>
    </i>
    <i>
      <x v="295"/>
      <x v="143"/>
      <x/>
      <x v="43"/>
    </i>
    <i>
      <x v="296"/>
      <x v="19"/>
      <x/>
      <x v="11"/>
    </i>
    <i>
      <x v="297"/>
      <x v="300"/>
      <x v="2"/>
      <x v="43"/>
    </i>
    <i>
      <x v="298"/>
      <x v="50"/>
      <x/>
      <x v="15"/>
    </i>
    <i>
      <x v="299"/>
      <x v="99"/>
      <x v="1"/>
      <x v="15"/>
    </i>
    <i>
      <x v="300"/>
      <x v="105"/>
      <x/>
      <x v="6"/>
    </i>
    <i>
      <x v="301"/>
      <x v="168"/>
      <x/>
      <x v="43"/>
    </i>
    <i>
      <x v="302"/>
      <x v="205"/>
      <x v="1"/>
      <x v="17"/>
    </i>
    <i>
      <x v="303"/>
      <x v="300"/>
      <x v="3"/>
      <x v="43"/>
    </i>
  </rowItems>
  <colItems count="1">
    <i/>
  </colItems>
  <dataFields count="1">
    <dataField name="Sum of HH" fld="16" baseField="23" baseItem="4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5.xml><?xml version="1.0" encoding="utf-8"?>
<pivotTableDefinition xmlns="http://schemas.openxmlformats.org/spreadsheetml/2006/main" name="TCL" cacheId="24"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B308" firstHeaderRow="1" firstDataRow="1" firstDataCol="2" rowPageCount="1" colPageCount="1"/>
  <pivotFields count="31">
    <pivotField axis="axisPage" compact="0" outline="0" multipleItemSelectionAllowed="1"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0"/>
        <item x="21"/>
        <item x="12"/>
        <item x="11"/>
        <item x="17"/>
        <item x="14"/>
        <item x="5"/>
        <item x="18"/>
        <item x="8"/>
        <item x="9"/>
        <item x="4"/>
        <item x="20"/>
        <item x="0"/>
        <item x="16"/>
        <item x="19"/>
        <item x="7"/>
        <item x="6"/>
        <item x="13"/>
        <item x="1"/>
        <item x="22"/>
        <item x="15"/>
        <item x="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4">
        <item x="139"/>
        <item x="147"/>
        <item x="123"/>
        <item x="37"/>
        <item x="130"/>
        <item x="135"/>
        <item x="141"/>
        <item x="144"/>
        <item x="138"/>
        <item x="86"/>
        <item x="179"/>
        <item x="180"/>
        <item x="178"/>
        <item x="128"/>
        <item x="154"/>
        <item x="140"/>
        <item x="107"/>
        <item x="75"/>
        <item x="112"/>
        <item x="74"/>
        <item x="82"/>
        <item x="35"/>
        <item x="131"/>
        <item x="129"/>
        <item x="106"/>
        <item x="148"/>
        <item x="153"/>
        <item x="259"/>
        <item x="43"/>
        <item x="24"/>
        <item x="76"/>
        <item x="118"/>
        <item x="136"/>
        <item x="155"/>
        <item x="165"/>
        <item x="243"/>
        <item x="253"/>
        <item x="268"/>
        <item x="103"/>
        <item x="39"/>
        <item x="158"/>
        <item x="181"/>
        <item x="13"/>
        <item x="15"/>
        <item x="99"/>
        <item x="45"/>
        <item x="156"/>
        <item x="247"/>
        <item x="227"/>
        <item x="228"/>
        <item x="10"/>
        <item x="67"/>
        <item x="71"/>
        <item x="168"/>
        <item x="42"/>
        <item x="109"/>
        <item x="117"/>
        <item x="127"/>
        <item x="264"/>
        <item x="11"/>
        <item x="149"/>
        <item x="132"/>
        <item x="122"/>
        <item x="36"/>
        <item x="59"/>
        <item x="53"/>
        <item x="58"/>
        <item x="124"/>
        <item x="101"/>
        <item x="185"/>
        <item x="22"/>
        <item x="85"/>
        <item x="61"/>
        <item x="27"/>
        <item x="25"/>
        <item x="266"/>
        <item x="265"/>
        <item x="280"/>
        <item x="12"/>
        <item x="48"/>
        <item x="7"/>
        <item x="176"/>
        <item x="177"/>
        <item x="60"/>
        <item x="164"/>
        <item x="115"/>
        <item x="114"/>
        <item x="111"/>
        <item x="55"/>
        <item x="225"/>
        <item x="231"/>
        <item x="49"/>
        <item x="88"/>
        <item x="87"/>
        <item x="90"/>
        <item x="92"/>
        <item x="93"/>
        <item x="89"/>
        <item x="94"/>
        <item x="91"/>
        <item x="16"/>
        <item x="17"/>
        <item x="100"/>
        <item x="84"/>
        <item x="81"/>
        <item x="80"/>
        <item x="70"/>
        <item x="83"/>
        <item x="146"/>
        <item x="46"/>
        <item x="54"/>
        <item x="245"/>
        <item x="239"/>
        <item x="205"/>
        <item x="169"/>
        <item x="223"/>
        <item x="251"/>
        <item x="145"/>
        <item x="38"/>
        <item x="14"/>
        <item x="47"/>
        <item x="125"/>
        <item x="222"/>
        <item x="218"/>
        <item x="220"/>
        <item x="254"/>
        <item x="236"/>
        <item x="255"/>
        <item x="244"/>
        <item x="224"/>
        <item x="170"/>
        <item x="173"/>
        <item x="126"/>
        <item x="137"/>
        <item x="226"/>
        <item x="258"/>
        <item x="20"/>
        <item x="44"/>
        <item x="72"/>
        <item x="77"/>
        <item x="256"/>
        <item x="68"/>
        <item x="184"/>
        <item x="29"/>
        <item x="275"/>
        <item x="78"/>
        <item x="79"/>
        <item x="113"/>
        <item x="56"/>
        <item x="1"/>
        <item x="63"/>
        <item x="120"/>
        <item x="108"/>
        <item x="159"/>
        <item x="96"/>
        <item x="142"/>
        <item x="62"/>
        <item x="119"/>
        <item x="28"/>
        <item x="21"/>
        <item x="26"/>
        <item x="23"/>
        <item x="133"/>
        <item x="272"/>
        <item x="102"/>
        <item x="151"/>
        <item x="98"/>
        <item x="64"/>
        <item x="5"/>
        <item x="6"/>
        <item x="267"/>
        <item x="50"/>
        <item x="51"/>
        <item x="8"/>
        <item x="183"/>
        <item x="69"/>
        <item x="186"/>
        <item x="157"/>
        <item x="52"/>
        <item x="104"/>
        <item x="57"/>
        <item x="0"/>
        <item x="3"/>
        <item x="2"/>
        <item x="4"/>
        <item x="30"/>
        <item x="95"/>
        <item x="175"/>
        <item x="65"/>
        <item x="34"/>
        <item x="33"/>
        <item x="152"/>
        <item x="134"/>
        <item x="273"/>
        <item x="41"/>
        <item x="143"/>
        <item x="19"/>
        <item x="40"/>
        <item x="73"/>
        <item x="167"/>
        <item x="230"/>
        <item x="160"/>
        <item x="161"/>
        <item x="188"/>
        <item x="190"/>
        <item x="232"/>
        <item x="233"/>
        <item x="163"/>
        <item x="235"/>
        <item x="166"/>
        <item x="234"/>
        <item x="171"/>
        <item x="237"/>
        <item x="195"/>
        <item x="32"/>
        <item x="31"/>
        <item x="110"/>
        <item x="97"/>
        <item x="18"/>
        <item x="105"/>
        <item x="182"/>
        <item x="238"/>
        <item x="199"/>
        <item x="187"/>
        <item x="201"/>
        <item x="189"/>
        <item x="191"/>
        <item x="204"/>
        <item x="269"/>
        <item x="206"/>
        <item x="271"/>
        <item x="241"/>
        <item x="240"/>
        <item x="270"/>
        <item x="274"/>
        <item x="246"/>
        <item x="207"/>
        <item x="192"/>
        <item x="209"/>
        <item x="193"/>
        <item x="194"/>
        <item x="276"/>
        <item x="277"/>
        <item x="278"/>
        <item x="279"/>
        <item x="248"/>
        <item x="281"/>
        <item x="282"/>
        <item x="283"/>
        <item x="284"/>
        <item x="285"/>
        <item x="286"/>
        <item x="287"/>
        <item x="288"/>
        <item x="289"/>
        <item x="290"/>
        <item x="291"/>
        <item x="249"/>
        <item x="250"/>
        <item x="252"/>
        <item x="257"/>
        <item x="196"/>
        <item x="292"/>
        <item x="197"/>
        <item x="261"/>
        <item x="216"/>
        <item x="202"/>
        <item x="9"/>
        <item x="203"/>
        <item x="66"/>
        <item x="219"/>
        <item x="221"/>
        <item x="262"/>
        <item x="208"/>
        <item x="242"/>
        <item x="229"/>
        <item x="299"/>
        <item x="210"/>
        <item x="293"/>
        <item x="294"/>
        <item x="212"/>
        <item x="214"/>
        <item x="296"/>
        <item x="215"/>
        <item x="217"/>
        <item x="200"/>
        <item x="211"/>
        <item x="295"/>
        <item x="298"/>
        <item x="297"/>
        <item x="213"/>
        <item x="198"/>
        <item x="263"/>
        <item x="300"/>
        <item x="260"/>
        <item x="301"/>
        <item x="116"/>
        <item x="121"/>
        <item x="150"/>
        <item x="162"/>
        <item x="172"/>
        <item x="174"/>
        <item x="302"/>
        <item x="30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5"/>
    <field x="11"/>
  </rowFields>
  <rowItems count="305">
    <i>
      <x/>
      <x v="3"/>
    </i>
    <i r="1">
      <x v="7"/>
    </i>
    <i r="1">
      <x v="22"/>
    </i>
    <i r="1">
      <x v="39"/>
    </i>
    <i r="1">
      <x v="45"/>
    </i>
    <i r="1">
      <x v="63"/>
    </i>
    <i r="1">
      <x v="118"/>
    </i>
    <i r="1">
      <x v="137"/>
    </i>
    <i r="1">
      <x v="155"/>
    </i>
    <i r="1">
      <x v="163"/>
    </i>
    <i r="1">
      <x v="176"/>
    </i>
    <i r="1">
      <x v="178"/>
    </i>
    <i r="1">
      <x v="187"/>
    </i>
    <i r="1">
      <x v="197"/>
    </i>
    <i r="1">
      <x v="203"/>
    </i>
    <i r="1">
      <x v="297"/>
    </i>
    <i>
      <x v="1"/>
      <x v="21"/>
    </i>
    <i r="1">
      <x v="28"/>
    </i>
    <i r="1">
      <x v="37"/>
    </i>
    <i r="1">
      <x v="54"/>
    </i>
    <i r="1">
      <x v="60"/>
    </i>
    <i r="1">
      <x v="153"/>
    </i>
    <i r="1">
      <x v="194"/>
    </i>
    <i r="1">
      <x v="202"/>
    </i>
    <i>
      <x v="2"/>
      <x/>
    </i>
    <i r="1">
      <x v="1"/>
    </i>
    <i r="1">
      <x v="2"/>
    </i>
    <i r="1">
      <x v="4"/>
    </i>
    <i r="1">
      <x v="5"/>
    </i>
    <i r="1">
      <x v="6"/>
    </i>
    <i r="1">
      <x v="8"/>
    </i>
    <i r="1">
      <x v="9"/>
    </i>
    <i r="1">
      <x v="13"/>
    </i>
    <i r="1">
      <x v="14"/>
    </i>
    <i r="1">
      <x v="15"/>
    </i>
    <i r="1">
      <x v="19"/>
    </i>
    <i r="1">
      <x v="20"/>
    </i>
    <i r="1">
      <x v="23"/>
    </i>
    <i r="1">
      <x v="25"/>
    </i>
    <i r="1">
      <x v="26"/>
    </i>
    <i r="1">
      <x v="31"/>
    </i>
    <i r="1">
      <x v="32"/>
    </i>
    <i r="1">
      <x v="33"/>
    </i>
    <i r="1">
      <x v="61"/>
    </i>
    <i r="1">
      <x v="62"/>
    </i>
    <i r="1">
      <x v="68"/>
    </i>
    <i r="1">
      <x v="92"/>
    </i>
    <i r="1">
      <x v="93"/>
    </i>
    <i r="1">
      <x v="94"/>
    </i>
    <i r="1">
      <x v="95"/>
    </i>
    <i r="1">
      <x v="96"/>
    </i>
    <i r="1">
      <x v="97"/>
    </i>
    <i r="1">
      <x v="98"/>
    </i>
    <i r="1">
      <x v="99"/>
    </i>
    <i r="1">
      <x v="102"/>
    </i>
    <i r="1">
      <x v="103"/>
    </i>
    <i r="1">
      <x v="104"/>
    </i>
    <i r="1">
      <x v="105"/>
    </i>
    <i r="1">
      <x v="106"/>
    </i>
    <i r="1">
      <x v="107"/>
    </i>
    <i r="1">
      <x v="108"/>
    </i>
    <i r="1">
      <x v="117"/>
    </i>
    <i r="1">
      <x v="133"/>
    </i>
    <i r="1">
      <x v="138"/>
    </i>
    <i r="1">
      <x v="145"/>
    </i>
    <i r="1">
      <x v="146"/>
    </i>
    <i r="1">
      <x v="154"/>
    </i>
    <i r="1">
      <x v="162"/>
    </i>
    <i r="1">
      <x v="164"/>
    </i>
    <i r="1">
      <x v="165"/>
    </i>
    <i r="1">
      <x v="166"/>
    </i>
    <i r="1">
      <x v="179"/>
    </i>
    <i r="1">
      <x v="186"/>
    </i>
    <i r="1">
      <x v="191"/>
    </i>
    <i r="1">
      <x v="192"/>
    </i>
    <i r="1">
      <x v="195"/>
    </i>
    <i r="1">
      <x v="198"/>
    </i>
    <i r="1">
      <x v="199"/>
    </i>
    <i r="1">
      <x v="209"/>
    </i>
    <i r="1">
      <x v="213"/>
    </i>
    <i r="1">
      <x v="229"/>
    </i>
    <i r="1">
      <x v="236"/>
    </i>
    <i r="1">
      <x v="237"/>
    </i>
    <i r="1">
      <x v="238"/>
    </i>
    <i r="1">
      <x v="239"/>
    </i>
    <i r="1">
      <x v="240"/>
    </i>
    <i r="1">
      <x v="263"/>
    </i>
    <i r="1">
      <x v="282"/>
    </i>
    <i r="1">
      <x v="283"/>
    </i>
    <i>
      <x v="3"/>
      <x v="140"/>
    </i>
    <i r="1">
      <x v="221"/>
    </i>
    <i r="1">
      <x v="234"/>
    </i>
    <i>
      <x v="4"/>
      <x v="57"/>
    </i>
    <i>
      <x v="5"/>
      <x v="52"/>
    </i>
    <i>
      <x v="6"/>
      <x v="27"/>
    </i>
    <i r="1">
      <x v="47"/>
    </i>
    <i r="1">
      <x v="48"/>
    </i>
    <i r="1">
      <x v="49"/>
    </i>
    <i r="1">
      <x v="115"/>
    </i>
    <i r="1">
      <x v="116"/>
    </i>
    <i r="1">
      <x v="129"/>
    </i>
    <i r="1">
      <x v="200"/>
    </i>
    <i r="1">
      <x v="212"/>
    </i>
    <i r="1">
      <x v="228"/>
    </i>
    <i r="1">
      <x v="235"/>
    </i>
    <i r="1">
      <x v="258"/>
    </i>
    <i r="1">
      <x v="259"/>
    </i>
    <i r="1">
      <x v="272"/>
    </i>
    <i r="1">
      <x v="274"/>
    </i>
    <i r="1">
      <x v="275"/>
    </i>
    <i r="1">
      <x v="276"/>
    </i>
    <i r="1">
      <x v="294"/>
    </i>
    <i r="1">
      <x v="295"/>
    </i>
    <i>
      <x v="7"/>
      <x v="69"/>
    </i>
    <i>
      <x v="8"/>
      <x v="10"/>
    </i>
    <i r="1">
      <x v="11"/>
    </i>
    <i r="1">
      <x v="12"/>
    </i>
    <i r="1">
      <x v="18"/>
    </i>
    <i r="1">
      <x v="41"/>
    </i>
    <i r="1">
      <x v="53"/>
    </i>
    <i r="1">
      <x v="55"/>
    </i>
    <i r="1">
      <x v="67"/>
    </i>
    <i r="1">
      <x v="77"/>
    </i>
    <i r="1">
      <x v="81"/>
    </i>
    <i r="1">
      <x v="82"/>
    </i>
    <i r="1">
      <x v="85"/>
    </i>
    <i r="1">
      <x v="86"/>
    </i>
    <i r="1">
      <x v="91"/>
    </i>
    <i r="1">
      <x v="113"/>
    </i>
    <i r="1">
      <x v="114"/>
    </i>
    <i r="1">
      <x v="121"/>
    </i>
    <i r="1">
      <x v="130"/>
    </i>
    <i r="1">
      <x v="131"/>
    </i>
    <i r="1">
      <x v="132"/>
    </i>
    <i r="1">
      <x v="174"/>
    </i>
    <i r="1">
      <x v="201"/>
    </i>
    <i r="1">
      <x v="204"/>
    </i>
    <i r="1">
      <x v="207"/>
    </i>
    <i r="1">
      <x v="211"/>
    </i>
    <i r="1">
      <x v="293"/>
    </i>
    <i r="1">
      <x v="296"/>
    </i>
    <i r="1">
      <x v="298"/>
    </i>
    <i>
      <x v="9"/>
      <x v="89"/>
    </i>
    <i r="1">
      <x v="90"/>
    </i>
    <i r="1">
      <x v="233"/>
    </i>
    <i>
      <x v="10"/>
      <x v="51"/>
    </i>
    <i r="1">
      <x v="141"/>
    </i>
    <i r="1">
      <x v="222"/>
    </i>
    <i r="1">
      <x v="223"/>
    </i>
    <i r="1">
      <x v="224"/>
    </i>
    <i r="1">
      <x v="269"/>
    </i>
    <i r="1">
      <x v="270"/>
    </i>
    <i r="1">
      <x v="277"/>
    </i>
    <i r="1">
      <x v="278"/>
    </i>
    <i r="1">
      <x v="279"/>
    </i>
    <i r="1">
      <x v="286"/>
    </i>
    <i>
      <x v="11"/>
      <x v="139"/>
    </i>
    <i r="1">
      <x v="144"/>
    </i>
    <i r="1">
      <x v="175"/>
    </i>
    <i r="1">
      <x v="300"/>
    </i>
    <i r="1">
      <x v="301"/>
    </i>
    <i>
      <x v="12"/>
      <x v="24"/>
    </i>
    <i r="1">
      <x v="38"/>
    </i>
    <i r="1">
      <x v="44"/>
    </i>
    <i r="1">
      <x v="46"/>
    </i>
    <i r="1">
      <x v="64"/>
    </i>
    <i r="1">
      <x v="65"/>
    </i>
    <i r="1">
      <x v="66"/>
    </i>
    <i r="1">
      <x v="72"/>
    </i>
    <i r="1">
      <x v="79"/>
    </i>
    <i r="1">
      <x v="83"/>
    </i>
    <i r="1">
      <x v="84"/>
    </i>
    <i r="1">
      <x v="88"/>
    </i>
    <i r="1">
      <x v="109"/>
    </i>
    <i r="1">
      <x v="110"/>
    </i>
    <i r="1">
      <x v="120"/>
    </i>
    <i r="1">
      <x v="147"/>
    </i>
    <i r="1">
      <x v="148"/>
    </i>
    <i r="1">
      <x v="150"/>
    </i>
    <i r="1">
      <x v="152"/>
    </i>
    <i r="1">
      <x v="156"/>
    </i>
    <i r="1">
      <x v="167"/>
    </i>
    <i r="1">
      <x v="180"/>
    </i>
    <i r="1">
      <x v="227"/>
    </i>
    <i r="1">
      <x v="298"/>
    </i>
    <i>
      <x v="13"/>
      <x v="35"/>
    </i>
    <i r="1">
      <x v="36"/>
    </i>
    <i r="1">
      <x v="111"/>
    </i>
    <i r="1">
      <x v="112"/>
    </i>
    <i r="1">
      <x v="127"/>
    </i>
    <i r="1">
      <x v="128"/>
    </i>
    <i r="1">
      <x v="205"/>
    </i>
    <i r="1">
      <x v="208"/>
    </i>
    <i r="1">
      <x v="246"/>
    </i>
    <i r="1">
      <x v="247"/>
    </i>
    <i r="1">
      <x v="248"/>
    </i>
    <i r="1">
      <x v="249"/>
    </i>
    <i r="1">
      <x v="250"/>
    </i>
    <i r="1">
      <x v="251"/>
    </i>
    <i r="1">
      <x v="252"/>
    </i>
    <i r="1">
      <x v="253"/>
    </i>
    <i r="1">
      <x v="254"/>
    </i>
    <i r="1">
      <x v="255"/>
    </i>
    <i r="1">
      <x v="256"/>
    </i>
    <i r="1">
      <x v="260"/>
    </i>
    <i>
      <x v="14"/>
      <x v="42"/>
    </i>
    <i r="1">
      <x v="43"/>
    </i>
    <i r="1">
      <x v="50"/>
    </i>
    <i r="1">
      <x v="56"/>
    </i>
    <i r="1">
      <x v="58"/>
    </i>
    <i r="1">
      <x v="59"/>
    </i>
    <i r="1">
      <x v="78"/>
    </i>
    <i r="1">
      <x v="80"/>
    </i>
    <i r="1">
      <x v="100"/>
    </i>
    <i r="1">
      <x v="101"/>
    </i>
    <i r="1">
      <x v="119"/>
    </i>
    <i r="1">
      <x v="136"/>
    </i>
    <i r="1">
      <x v="149"/>
    </i>
    <i r="1">
      <x v="151"/>
    </i>
    <i r="1">
      <x v="168"/>
    </i>
    <i r="1">
      <x v="169"/>
    </i>
    <i r="1">
      <x v="173"/>
    </i>
    <i r="1">
      <x v="181"/>
    </i>
    <i r="1">
      <x v="182"/>
    </i>
    <i r="1">
      <x v="183"/>
    </i>
    <i r="1">
      <x v="184"/>
    </i>
    <i r="1">
      <x v="196"/>
    </i>
    <i r="1">
      <x v="218"/>
    </i>
    <i r="1">
      <x v="267"/>
    </i>
    <i r="1">
      <x v="268"/>
    </i>
    <i r="1">
      <x v="271"/>
    </i>
    <i r="1">
      <x v="280"/>
    </i>
    <i r="1">
      <x v="281"/>
    </i>
    <i r="1">
      <x v="284"/>
    </i>
    <i r="1">
      <x v="287"/>
    </i>
    <i r="1">
      <x v="290"/>
    </i>
    <i>
      <x v="15"/>
      <x v="122"/>
    </i>
    <i r="1">
      <x v="123"/>
    </i>
    <i r="1">
      <x v="124"/>
    </i>
    <i r="1">
      <x v="125"/>
    </i>
    <i r="1">
      <x v="126"/>
    </i>
    <i r="1">
      <x v="206"/>
    </i>
    <i r="1">
      <x v="210"/>
    </i>
    <i r="1">
      <x v="230"/>
    </i>
    <i r="1">
      <x v="231"/>
    </i>
    <i>
      <x v="16"/>
      <x v="134"/>
    </i>
    <i r="1">
      <x v="135"/>
    </i>
    <i r="1">
      <x v="232"/>
    </i>
    <i r="1">
      <x v="241"/>
    </i>
    <i r="1">
      <x v="242"/>
    </i>
    <i r="1">
      <x v="243"/>
    </i>
    <i r="1">
      <x v="244"/>
    </i>
    <i r="1">
      <x v="245"/>
    </i>
    <i r="1">
      <x v="264"/>
    </i>
    <i>
      <x v="17"/>
      <x v="142"/>
    </i>
    <i r="1">
      <x v="188"/>
    </i>
    <i r="1">
      <x v="220"/>
    </i>
    <i r="1">
      <x v="299"/>
    </i>
    <i>
      <x v="18"/>
      <x v="34"/>
    </i>
    <i r="1">
      <x v="171"/>
    </i>
    <i r="1">
      <x v="172"/>
    </i>
    <i r="1">
      <x v="303"/>
    </i>
    <i>
      <x v="19"/>
      <x v="177"/>
    </i>
    <i r="1">
      <x v="225"/>
    </i>
    <i r="1">
      <x v="226"/>
    </i>
    <i r="1">
      <x v="302"/>
    </i>
    <i>
      <x v="20"/>
      <x v="16"/>
    </i>
    <i r="1">
      <x v="17"/>
    </i>
    <i r="1">
      <x v="29"/>
    </i>
    <i r="1">
      <x v="30"/>
    </i>
    <i r="1">
      <x v="40"/>
    </i>
    <i r="1">
      <x v="70"/>
    </i>
    <i r="1">
      <x v="71"/>
    </i>
    <i r="1">
      <x v="73"/>
    </i>
    <i r="1">
      <x v="74"/>
    </i>
    <i r="1">
      <x v="75"/>
    </i>
    <i r="1">
      <x v="76"/>
    </i>
    <i r="1">
      <x v="87"/>
    </i>
    <i r="1">
      <x v="143"/>
    </i>
    <i r="1">
      <x v="157"/>
    </i>
    <i r="1">
      <x v="158"/>
    </i>
    <i r="1">
      <x v="159"/>
    </i>
    <i r="1">
      <x v="160"/>
    </i>
    <i r="1">
      <x v="161"/>
    </i>
    <i r="1">
      <x v="170"/>
    </i>
    <i r="1">
      <x v="185"/>
    </i>
    <i r="1">
      <x v="189"/>
    </i>
    <i r="1">
      <x v="190"/>
    </i>
    <i r="1">
      <x v="193"/>
    </i>
    <i r="1">
      <x v="214"/>
    </i>
    <i r="1">
      <x v="215"/>
    </i>
    <i r="1">
      <x v="216"/>
    </i>
    <i r="1">
      <x v="217"/>
    </i>
    <i r="1">
      <x v="219"/>
    </i>
    <i r="1">
      <x v="261"/>
    </i>
    <i r="1">
      <x v="262"/>
    </i>
    <i r="1">
      <x v="273"/>
    </i>
    <i r="1">
      <x v="288"/>
    </i>
    <i r="1">
      <x v="289"/>
    </i>
    <i>
      <x v="21"/>
      <x v="257"/>
    </i>
    <i>
      <x v="22"/>
      <x v="265"/>
    </i>
    <i r="1">
      <x v="266"/>
    </i>
    <i r="1">
      <x v="285"/>
    </i>
    <i r="1">
      <x v="291"/>
    </i>
    <i>
      <x v="23"/>
      <x v="292"/>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6.xml><?xml version="1.0" encoding="utf-8"?>
<pivotTableDefinition xmlns="http://schemas.openxmlformats.org/spreadsheetml/2006/main" name="PivotTable3" cacheId="24"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U4:U307" firstHeaderRow="1" firstDataRow="1" firstDataCol="1" rowPageCount="1" colPageCount="1"/>
  <pivotFields count="31">
    <pivotField axis="axisPage"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3">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161"/>
        <item x="189"/>
        <item x="162"/>
        <item x="191"/>
        <item x="163"/>
        <item x="164"/>
        <item x="167"/>
        <item x="219"/>
        <item x="237"/>
        <item x="221"/>
        <item x="223"/>
        <item x="240"/>
        <item x="224"/>
        <item x="225"/>
        <item x="226"/>
        <item x="244"/>
        <item x="245"/>
        <item x="246"/>
        <item x="227"/>
        <item x="248"/>
        <item x="228"/>
        <item x="229"/>
        <item x="230"/>
        <item x="252"/>
        <item x="231"/>
        <item x="254"/>
        <item x="255"/>
        <item x="256"/>
        <item x="257"/>
        <item x="232"/>
        <item x="259"/>
        <item x="260"/>
        <item x="261"/>
        <item x="233"/>
        <item x="234"/>
        <item x="235"/>
        <item x="236"/>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 x="30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12"/>
  </rowFields>
  <rowItems count="30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7.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2" firstHeaderRow="1" firstDataRow="1" firstDataCol="3" rowPageCount="1" colPageCount="1"/>
  <pivotFields count="24">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84"/>
        <item x="20"/>
        <item x="23"/>
        <item x="27"/>
        <item x="24"/>
        <item x="6"/>
        <item x="112"/>
        <item x="42"/>
        <item x="75"/>
        <item x="37"/>
        <item x="85"/>
        <item x="100"/>
        <item x="56"/>
        <item x="113"/>
        <item x="43"/>
        <item x="115"/>
        <item x="53"/>
        <item x="118"/>
        <item x="119"/>
        <item x="101"/>
        <item x="102"/>
        <item x="86"/>
        <item x="32"/>
        <item x="103"/>
        <item x="55"/>
        <item x="26"/>
        <item x="28"/>
        <item x="29"/>
        <item x="104"/>
        <item x="74"/>
        <item x="34"/>
        <item x="124"/>
        <item x="1"/>
        <item x="125"/>
        <item x="87"/>
        <item x="0"/>
        <item x="3"/>
        <item x="45"/>
        <item x="105"/>
        <item x="76"/>
        <item x="106"/>
        <item x="107"/>
        <item x="30"/>
        <item x="128"/>
        <item x="5"/>
        <item x="108"/>
        <item x="77"/>
        <item x="129"/>
        <item x="31"/>
        <item x="21"/>
        <item x="89"/>
        <item x="80"/>
        <item x="131"/>
        <item x="109"/>
        <item x="132"/>
        <item x="110"/>
        <item x="114"/>
        <item x="117"/>
        <item x="134"/>
        <item x="71"/>
        <item x="120"/>
        <item x="18"/>
        <item x="135"/>
        <item x="121"/>
        <item x="122"/>
        <item x="123"/>
        <item x="90"/>
        <item x="51"/>
        <item x="91"/>
        <item x="7"/>
        <item x="33"/>
        <item x="2"/>
        <item x="16"/>
        <item x="81"/>
        <item x="52"/>
        <item x="25"/>
        <item x="46"/>
        <item x="79"/>
        <item x="12"/>
        <item x="92"/>
        <item x="9"/>
        <item x="136"/>
        <item x="98"/>
        <item x="35"/>
        <item x="58"/>
        <item x="40"/>
        <item x="137"/>
        <item x="138"/>
        <item x="59"/>
        <item x="139"/>
        <item x="93"/>
        <item x="47"/>
        <item x="141"/>
        <item x="48"/>
        <item x="49"/>
        <item x="73"/>
        <item x="94"/>
        <item x="140"/>
        <item x="99"/>
        <item x="144"/>
        <item x="95"/>
        <item x="145"/>
        <item x="96"/>
        <item x="146"/>
        <item x="50"/>
        <item x="142"/>
        <item x="66"/>
        <item x="72"/>
        <item x="78"/>
        <item x="126"/>
        <item x="68"/>
        <item x="111"/>
        <item x="143"/>
        <item x="147"/>
        <item x="17"/>
        <item x="127"/>
        <item x="116"/>
        <item x="67"/>
        <item x="10"/>
        <item x="69"/>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140"/>
        <item x="73"/>
        <item x="94"/>
        <item x="45"/>
        <item x="3"/>
        <item x="40"/>
        <item x="27"/>
        <item x="9"/>
        <item x="29"/>
        <item x="15"/>
        <item x="113"/>
        <item x="96"/>
        <item x="135"/>
        <item x="93"/>
        <item x="80"/>
        <item x="131"/>
        <item x="128"/>
        <item x="91"/>
        <item x="76"/>
        <item x="77"/>
        <item x="137"/>
        <item x="138"/>
        <item x="74"/>
        <item x="34"/>
        <item x="104"/>
        <item x="33"/>
        <item x="35"/>
        <item x="108"/>
        <item x="102"/>
        <item x="122"/>
        <item x="139"/>
        <item x="90"/>
        <item x="89"/>
        <item x="129"/>
        <item x="121"/>
        <item x="145"/>
        <item x="23"/>
        <item x="20"/>
        <item x="37"/>
        <item x="95"/>
        <item x="125"/>
        <item x="53"/>
        <item x="56"/>
        <item x="42"/>
        <item x="16"/>
        <item x="32"/>
        <item x="51"/>
        <item x="30"/>
        <item x="107"/>
        <item x="124"/>
        <item x="123"/>
        <item x="52"/>
        <item x="2"/>
        <item x="84"/>
        <item x="24"/>
        <item x="22"/>
        <item x="83"/>
        <item x="28"/>
        <item x="92"/>
        <item x="98"/>
        <item x="99"/>
        <item x="85"/>
        <item x="71"/>
        <item x="81"/>
        <item x="26"/>
        <item x="86"/>
        <item x="132"/>
        <item x="134"/>
        <item x="114"/>
        <item x="110"/>
        <item x="109"/>
        <item x="117"/>
        <item x="5"/>
        <item x="100"/>
        <item x="120"/>
        <item x="118"/>
        <item x="119"/>
        <item x="50"/>
        <item x="142"/>
        <item x="66"/>
        <item x="72"/>
        <item x="78"/>
        <item x="126"/>
        <item x="68"/>
        <item x="111"/>
        <item x="143"/>
        <item x="17"/>
        <item x="127"/>
        <item x="116"/>
        <item x="67"/>
        <item x="10"/>
        <item x="6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9"/>
    <field x="5"/>
  </rowFields>
  <rowItems count="129">
    <i>
      <x/>
      <x v="36"/>
      <x v="83"/>
    </i>
    <i r="1">
      <x v="37"/>
      <x v="30"/>
    </i>
    <i r="1">
      <x v="38"/>
      <x v="1"/>
    </i>
    <i r="1">
      <x v="39"/>
      <x v="16"/>
    </i>
    <i r="1">
      <x v="40"/>
      <x v="105"/>
    </i>
    <i r="1">
      <x v="41"/>
      <x v="65"/>
    </i>
    <i r="1">
      <x v="42"/>
      <x v="93"/>
    </i>
    <i r="1">
      <x v="92"/>
      <x v="76"/>
    </i>
    <i r="1">
      <x v="110"/>
      <x v="111"/>
    </i>
    <i r="1">
      <x v="113"/>
      <x v="114"/>
    </i>
    <i>
      <x v="1"/>
      <x v="35"/>
      <x v="6"/>
    </i>
    <i r="1">
      <x v="93"/>
      <x v="28"/>
    </i>
    <i r="1">
      <x v="115"/>
      <x v="117"/>
    </i>
    <i r="1">
      <x v="139"/>
      <x v="141"/>
    </i>
    <i r="1">
      <x v="142"/>
      <x v="144"/>
    </i>
    <i>
      <x v="2"/>
      <x/>
      <x v="102"/>
    </i>
    <i r="2">
      <x v="116"/>
    </i>
    <i r="1">
      <x v="61"/>
      <x v="53"/>
    </i>
    <i r="1">
      <x v="63"/>
      <x v="66"/>
    </i>
    <i r="1">
      <x v="64"/>
      <x v="106"/>
    </i>
    <i r="1">
      <x v="65"/>
      <x v="5"/>
    </i>
    <i r="1">
      <x v="82"/>
      <x v="3"/>
    </i>
    <i r="1">
      <x v="83"/>
      <x v="7"/>
    </i>
    <i r="1">
      <x v="84"/>
      <x v="2"/>
    </i>
    <i r="1">
      <x v="86"/>
      <x v="29"/>
    </i>
    <i r="1">
      <x v="87"/>
      <x v="82"/>
    </i>
    <i r="1">
      <x v="88"/>
      <x v="85"/>
    </i>
    <i r="1">
      <x v="89"/>
      <x v="101"/>
    </i>
    <i r="1">
      <x v="90"/>
      <x v="13"/>
    </i>
    <i r="1">
      <x v="91"/>
      <x v="62"/>
    </i>
    <i r="1">
      <x v="119"/>
      <x v="121"/>
    </i>
    <i r="1">
      <x v="120"/>
      <x v="122"/>
    </i>
    <i r="1">
      <x v="135"/>
      <x v="137"/>
    </i>
    <i r="1">
      <x v="143"/>
      <x v="145"/>
    </i>
    <i r="1">
      <x v="145"/>
      <x v="147"/>
    </i>
    <i>
      <x v="3"/>
      <x v="100"/>
      <x v="60"/>
    </i>
    <i r="1">
      <x v="104"/>
      <x v="20"/>
    </i>
    <i r="1">
      <x v="105"/>
      <x v="21"/>
    </i>
    <i r="1">
      <x v="122"/>
      <x v="124"/>
    </i>
    <i r="1">
      <x v="127"/>
      <x v="129"/>
    </i>
    <i r="1">
      <x v="128"/>
      <x v="133"/>
    </i>
    <i r="1">
      <x v="140"/>
      <x v="142"/>
    </i>
    <i>
      <x v="4"/>
      <x v="48"/>
      <x v="49"/>
    </i>
    <i r="1">
      <x v="74"/>
      <x v="25"/>
    </i>
    <i r="1">
      <x v="76"/>
      <x v="45"/>
    </i>
    <i r="1">
      <x v="77"/>
      <x v="44"/>
    </i>
    <i r="1">
      <x v="106"/>
      <x v="107"/>
    </i>
    <i r="1">
      <x v="108"/>
      <x v="109"/>
    </i>
    <i r="1">
      <x v="116"/>
      <x v="118"/>
    </i>
    <i r="1">
      <x v="144"/>
      <x v="146"/>
    </i>
    <i>
      <x v="5"/>
      <x v="101"/>
      <x v="47"/>
    </i>
    <i r="1">
      <x v="132"/>
      <x v="134"/>
    </i>
    <i>
      <x v="6"/>
      <x v="56"/>
      <x v="48"/>
    </i>
    <i r="1">
      <x v="57"/>
      <x v="23"/>
    </i>
    <i r="1">
      <x v="58"/>
      <x v="67"/>
    </i>
    <i r="1">
      <x v="138"/>
      <x v="140"/>
    </i>
    <i>
      <x v="7"/>
      <x v="59"/>
      <x v="92"/>
    </i>
    <i r="1">
      <x v="79"/>
      <x v="68"/>
    </i>
    <i>
      <x v="8"/>
      <x v="43"/>
      <x v="54"/>
    </i>
    <i r="1">
      <x v="47"/>
      <x v="42"/>
    </i>
    <i r="1">
      <x v="51"/>
      <x v="32"/>
    </i>
    <i r="1">
      <x v="52"/>
      <x v="33"/>
    </i>
    <i r="1">
      <x v="53"/>
      <x v="31"/>
    </i>
    <i r="1">
      <x v="54"/>
      <x v="73"/>
    </i>
    <i r="1">
      <x v="55"/>
      <x v="86"/>
    </i>
    <i r="1">
      <x v="70"/>
      <x v="19"/>
    </i>
    <i r="1">
      <x v="71"/>
      <x v="15"/>
    </i>
    <i r="1">
      <x v="72"/>
      <x v="10"/>
    </i>
    <i r="1">
      <x v="73"/>
      <x v="75"/>
    </i>
    <i r="1">
      <x v="75"/>
      <x v="70"/>
    </i>
    <i>
      <x v="9"/>
      <x v="123"/>
      <x v="125"/>
    </i>
    <i r="1">
      <x v="124"/>
      <x v="126"/>
    </i>
    <i r="1">
      <x v="137"/>
      <x v="139"/>
    </i>
    <i>
      <x v="10"/>
      <x/>
      <x v="84"/>
    </i>
    <i r="2">
      <x v="116"/>
    </i>
    <i r="1">
      <x v="1"/>
      <x v="94"/>
    </i>
    <i r="1">
      <x v="2"/>
      <x v="72"/>
    </i>
    <i r="1">
      <x v="3"/>
      <x v="96"/>
    </i>
    <i r="1">
      <x v="4"/>
      <x v="95"/>
    </i>
    <i r="1">
      <x v="5"/>
      <x v="97"/>
    </i>
    <i r="1">
      <x v="6"/>
      <x v="87"/>
    </i>
    <i r="1">
      <x v="7"/>
      <x v="43"/>
    </i>
    <i r="1">
      <x v="8"/>
      <x v="91"/>
    </i>
    <i r="1">
      <x v="9"/>
      <x v="9"/>
    </i>
    <i r="1">
      <x v="10"/>
      <x v="8"/>
    </i>
    <i r="1">
      <x v="11"/>
      <x v="22"/>
    </i>
    <i r="1">
      <x v="12"/>
      <x v="27"/>
    </i>
    <i r="1">
      <x v="13"/>
      <x v="26"/>
    </i>
    <i r="1">
      <x v="14"/>
      <x v="41"/>
    </i>
    <i r="1">
      <x v="15"/>
      <x v="17"/>
    </i>
    <i r="1">
      <x v="16"/>
      <x v="18"/>
    </i>
    <i r="1">
      <x v="17"/>
      <x v="51"/>
    </i>
    <i r="1">
      <x v="18"/>
      <x v="52"/>
    </i>
    <i r="1">
      <x v="19"/>
      <x v="104"/>
    </i>
    <i r="1">
      <x v="20"/>
      <x v="64"/>
    </i>
    <i r="1">
      <x v="81"/>
      <x v="74"/>
    </i>
    <i r="1">
      <x v="130"/>
      <x v="131"/>
    </i>
    <i>
      <x v="11"/>
      <x v="97"/>
      <x v="59"/>
    </i>
    <i r="1">
      <x v="98"/>
      <x v="58"/>
    </i>
    <i r="1">
      <x v="125"/>
      <x v="127"/>
    </i>
    <i r="1">
      <x v="126"/>
      <x v="128"/>
    </i>
    <i r="1">
      <x v="141"/>
      <x v="143"/>
    </i>
    <i>
      <x v="12"/>
      <x v="103"/>
      <x v="63"/>
    </i>
    <i>
      <x v="13"/>
      <x v="49"/>
      <x v="89"/>
    </i>
    <i r="1">
      <x v="50"/>
      <x v="90"/>
    </i>
    <i>
      <x v="14"/>
      <x v="21"/>
      <x v="79"/>
    </i>
    <i r="1">
      <x v="22"/>
      <x v="81"/>
    </i>
    <i r="1">
      <x v="23"/>
      <x v="35"/>
    </i>
    <i r="1">
      <x v="24"/>
      <x v="11"/>
    </i>
    <i r="1">
      <x v="25"/>
      <x v="38"/>
    </i>
    <i r="1">
      <x v="26"/>
      <x v="80"/>
    </i>
    <i r="1">
      <x v="27"/>
      <x v="37"/>
    </i>
    <i r="1">
      <x v="28"/>
      <x v="78"/>
    </i>
    <i r="1">
      <x v="30"/>
      <x v="98"/>
    </i>
    <i r="1">
      <x v="31"/>
      <x v="99"/>
    </i>
    <i r="1">
      <x v="32"/>
      <x v="40"/>
    </i>
    <i r="1">
      <x v="33"/>
      <x v="39"/>
    </i>
    <i r="1">
      <x v="34"/>
      <x v="88"/>
    </i>
    <i r="1">
      <x v="66"/>
      <x v="4"/>
    </i>
    <i r="1">
      <x v="67"/>
      <x v="12"/>
    </i>
    <i r="1">
      <x v="68"/>
      <x v="103"/>
    </i>
    <i r="1">
      <x v="69"/>
      <x v="36"/>
    </i>
    <i r="1">
      <x v="80"/>
      <x v="77"/>
    </i>
    <i r="1">
      <x v="109"/>
      <x v="110"/>
    </i>
    <i r="1">
      <x v="129"/>
      <x v="130"/>
    </i>
    <i>
      <x v="15"/>
      <x/>
      <x v="116"/>
    </i>
    <i r="1">
      <x v="136"/>
      <x v="138"/>
    </i>
    <i>
      <x v="16"/>
      <x v="133"/>
      <x v="135"/>
    </i>
    <i t="grand">
      <x/>
    </i>
  </rowItems>
  <colItems count="1">
    <i/>
  </colItems>
  <pageFields count="1">
    <pageField fld="20" hier="-1"/>
  </pageFields>
  <dataFields count="1">
    <dataField name="Sum of Coverage" fld="21" baseField="0" baseItem="2420248" numFmtId="9"/>
  </dataFields>
  <formats count="311">
    <format dxfId="618">
      <pivotArea outline="0" collapsedLevelsAreSubtotals="1" fieldPosition="0"/>
    </format>
    <format dxfId="617">
      <pivotArea dataOnly="0" labelOnly="1" outline="0" axis="axisValues" fieldPosition="0"/>
    </format>
    <format dxfId="616">
      <pivotArea field="20" type="button" dataOnly="0" labelOnly="1" outline="0" axis="axisPage" fieldPosition="0"/>
    </format>
    <format dxfId="615">
      <pivotArea dataOnly="0" labelOnly="1" outline="0" fieldPosition="0">
        <references count="1">
          <reference field="20" count="0"/>
        </references>
      </pivotArea>
    </format>
    <format dxfId="614">
      <pivotArea outline="0" collapsedLevelsAreSubtotals="1" fieldPosition="0">
        <references count="3">
          <reference field="4" count="1" selected="0">
            <x v="0"/>
          </reference>
          <reference field="5" count="10" selected="0">
            <x v="1"/>
            <x v="16"/>
            <x v="30"/>
            <x v="65"/>
            <x v="76"/>
            <x v="83"/>
            <x v="93"/>
            <x v="105"/>
            <x v="111"/>
            <x v="114"/>
          </reference>
          <reference field="19" count="10" selected="0">
            <x v="36"/>
            <x v="37"/>
            <x v="38"/>
            <x v="39"/>
            <x v="40"/>
            <x v="41"/>
            <x v="42"/>
            <x v="92"/>
            <x v="110"/>
            <x v="113"/>
          </reference>
        </references>
      </pivotArea>
    </format>
    <format dxfId="613">
      <pivotArea dataOnly="0" labelOnly="1" outline="0" fieldPosition="0">
        <references count="1">
          <reference field="4" count="1">
            <x v="0"/>
          </reference>
        </references>
      </pivotArea>
    </format>
    <format dxfId="612">
      <pivotArea dataOnly="0" labelOnly="1" outline="0" fieldPosition="0">
        <references count="2">
          <reference field="4" count="1" selected="0">
            <x v="0"/>
          </reference>
          <reference field="19" count="10">
            <x v="36"/>
            <x v="37"/>
            <x v="38"/>
            <x v="39"/>
            <x v="40"/>
            <x v="41"/>
            <x v="42"/>
            <x v="92"/>
            <x v="110"/>
            <x v="113"/>
          </reference>
        </references>
      </pivotArea>
    </format>
    <format dxfId="611">
      <pivotArea dataOnly="0" labelOnly="1" outline="0" fieldPosition="0">
        <references count="3">
          <reference field="4" count="1" selected="0">
            <x v="0"/>
          </reference>
          <reference field="5" count="1">
            <x v="83"/>
          </reference>
          <reference field="19" count="1" selected="0">
            <x v="36"/>
          </reference>
        </references>
      </pivotArea>
    </format>
    <format dxfId="610">
      <pivotArea dataOnly="0" labelOnly="1" outline="0" fieldPosition="0">
        <references count="3">
          <reference field="4" count="1" selected="0">
            <x v="0"/>
          </reference>
          <reference field="5" count="1">
            <x v="30"/>
          </reference>
          <reference field="19" count="1" selected="0">
            <x v="37"/>
          </reference>
        </references>
      </pivotArea>
    </format>
    <format dxfId="609">
      <pivotArea dataOnly="0" labelOnly="1" outline="0" fieldPosition="0">
        <references count="3">
          <reference field="4" count="1" selected="0">
            <x v="0"/>
          </reference>
          <reference field="5" count="1">
            <x v="1"/>
          </reference>
          <reference field="19" count="1" selected="0">
            <x v="38"/>
          </reference>
        </references>
      </pivotArea>
    </format>
    <format dxfId="608">
      <pivotArea dataOnly="0" labelOnly="1" outline="0" fieldPosition="0">
        <references count="3">
          <reference field="4" count="1" selected="0">
            <x v="0"/>
          </reference>
          <reference field="5" count="1">
            <x v="16"/>
          </reference>
          <reference field="19" count="1" selected="0">
            <x v="39"/>
          </reference>
        </references>
      </pivotArea>
    </format>
    <format dxfId="607">
      <pivotArea dataOnly="0" labelOnly="1" outline="0" fieldPosition="0">
        <references count="3">
          <reference field="4" count="1" selected="0">
            <x v="0"/>
          </reference>
          <reference field="5" count="1">
            <x v="105"/>
          </reference>
          <reference field="19" count="1" selected="0">
            <x v="40"/>
          </reference>
        </references>
      </pivotArea>
    </format>
    <format dxfId="606">
      <pivotArea dataOnly="0" labelOnly="1" outline="0" fieldPosition="0">
        <references count="3">
          <reference field="4" count="1" selected="0">
            <x v="0"/>
          </reference>
          <reference field="5" count="1">
            <x v="65"/>
          </reference>
          <reference field="19" count="1" selected="0">
            <x v="41"/>
          </reference>
        </references>
      </pivotArea>
    </format>
    <format dxfId="605">
      <pivotArea dataOnly="0" labelOnly="1" outline="0" fieldPosition="0">
        <references count="3">
          <reference field="4" count="1" selected="0">
            <x v="0"/>
          </reference>
          <reference field="5" count="1">
            <x v="93"/>
          </reference>
          <reference field="19" count="1" selected="0">
            <x v="42"/>
          </reference>
        </references>
      </pivotArea>
    </format>
    <format dxfId="604">
      <pivotArea dataOnly="0" labelOnly="1" outline="0" fieldPosition="0">
        <references count="3">
          <reference field="4" count="1" selected="0">
            <x v="0"/>
          </reference>
          <reference field="5" count="1">
            <x v="76"/>
          </reference>
          <reference field="19" count="1" selected="0">
            <x v="92"/>
          </reference>
        </references>
      </pivotArea>
    </format>
    <format dxfId="603">
      <pivotArea dataOnly="0" labelOnly="1" outline="0" fieldPosition="0">
        <references count="3">
          <reference field="4" count="1" selected="0">
            <x v="0"/>
          </reference>
          <reference field="5" count="1">
            <x v="111"/>
          </reference>
          <reference field="19" count="1" selected="0">
            <x v="110"/>
          </reference>
        </references>
      </pivotArea>
    </format>
    <format dxfId="602">
      <pivotArea dataOnly="0" labelOnly="1" outline="0" fieldPosition="0">
        <references count="3">
          <reference field="4" count="1" selected="0">
            <x v="0"/>
          </reference>
          <reference field="5" count="1">
            <x v="114"/>
          </reference>
          <reference field="19" count="1" selected="0">
            <x v="113"/>
          </reference>
        </references>
      </pivotArea>
    </format>
    <format dxfId="601">
      <pivotArea outline="0" collapsedLevelsAreSubtotals="1" fieldPosition="0">
        <references count="3">
          <reference field="4" count="1" selected="0">
            <x v="1"/>
          </reference>
          <reference field="5" count="3" selected="0">
            <x v="6"/>
            <x v="28"/>
            <x v="117"/>
          </reference>
          <reference field="19" count="3" selected="0">
            <x v="35"/>
            <x v="93"/>
            <x v="115"/>
          </reference>
        </references>
      </pivotArea>
    </format>
    <format dxfId="600">
      <pivotArea dataOnly="0" labelOnly="1" outline="0" fieldPosition="0">
        <references count="1">
          <reference field="4" count="1">
            <x v="1"/>
          </reference>
        </references>
      </pivotArea>
    </format>
    <format dxfId="599">
      <pivotArea dataOnly="0" labelOnly="1" outline="0" fieldPosition="0">
        <references count="2">
          <reference field="4" count="1" selected="0">
            <x v="1"/>
          </reference>
          <reference field="19" count="3">
            <x v="35"/>
            <x v="93"/>
            <x v="115"/>
          </reference>
        </references>
      </pivotArea>
    </format>
    <format dxfId="598">
      <pivotArea dataOnly="0" labelOnly="1" outline="0" fieldPosition="0">
        <references count="3">
          <reference field="4" count="1" selected="0">
            <x v="1"/>
          </reference>
          <reference field="5" count="1">
            <x v="6"/>
          </reference>
          <reference field="19" count="1" selected="0">
            <x v="35"/>
          </reference>
        </references>
      </pivotArea>
    </format>
    <format dxfId="597">
      <pivotArea dataOnly="0" labelOnly="1" outline="0" fieldPosition="0">
        <references count="3">
          <reference field="4" count="1" selected="0">
            <x v="1"/>
          </reference>
          <reference field="5" count="1">
            <x v="28"/>
          </reference>
          <reference field="19" count="1" selected="0">
            <x v="93"/>
          </reference>
        </references>
      </pivotArea>
    </format>
    <format dxfId="596">
      <pivotArea dataOnly="0" labelOnly="1" outline="0" fieldPosition="0">
        <references count="3">
          <reference field="4" count="1" selected="0">
            <x v="1"/>
          </reference>
          <reference field="5" count="1">
            <x v="117"/>
          </reference>
          <reference field="19" count="1" selected="0">
            <x v="115"/>
          </reference>
        </references>
      </pivotArea>
    </format>
    <format dxfId="595">
      <pivotArea outline="0" collapsedLevelsAreSubtotals="1" fieldPosition="0">
        <references count="3">
          <reference field="4" count="1" selected="0">
            <x v="2"/>
          </reference>
          <reference field="5" count="19" selected="0">
            <x v="0"/>
            <x v="2"/>
            <x v="3"/>
            <x v="5"/>
            <x v="7"/>
            <x v="13"/>
            <x v="29"/>
            <x v="53"/>
            <x v="62"/>
            <x v="66"/>
            <x v="82"/>
            <x v="85"/>
            <x v="101"/>
            <x v="102"/>
            <x v="106"/>
            <x v="113"/>
            <x v="116"/>
            <x v="121"/>
            <x v="122"/>
          </reference>
          <reference field="19" count="18" selected="0">
            <x v="0"/>
            <x v="61"/>
            <x v="63"/>
            <x v="64"/>
            <x v="65"/>
            <x v="82"/>
            <x v="83"/>
            <x v="84"/>
            <x v="85"/>
            <x v="86"/>
            <x v="87"/>
            <x v="88"/>
            <x v="89"/>
            <x v="90"/>
            <x v="91"/>
            <x v="112"/>
            <x v="119"/>
            <x v="120"/>
          </reference>
        </references>
      </pivotArea>
    </format>
    <format dxfId="594">
      <pivotArea dataOnly="0" labelOnly="1" outline="0" fieldPosition="0">
        <references count="1">
          <reference field="4" count="1">
            <x v="2"/>
          </reference>
        </references>
      </pivotArea>
    </format>
    <format dxfId="593">
      <pivotArea dataOnly="0" labelOnly="1" outline="0" fieldPosition="0">
        <references count="2">
          <reference field="4" count="1" selected="0">
            <x v="2"/>
          </reference>
          <reference field="19" count="18">
            <x v="0"/>
            <x v="61"/>
            <x v="63"/>
            <x v="64"/>
            <x v="65"/>
            <x v="82"/>
            <x v="83"/>
            <x v="84"/>
            <x v="85"/>
            <x v="86"/>
            <x v="87"/>
            <x v="88"/>
            <x v="89"/>
            <x v="90"/>
            <x v="91"/>
            <x v="112"/>
            <x v="119"/>
            <x v="120"/>
          </reference>
        </references>
      </pivotArea>
    </format>
    <format dxfId="592">
      <pivotArea dataOnly="0" labelOnly="1" outline="0" fieldPosition="0">
        <references count="3">
          <reference field="4" count="1" selected="0">
            <x v="2"/>
          </reference>
          <reference field="5" count="2">
            <x v="102"/>
            <x v="116"/>
          </reference>
          <reference field="19" count="1" selected="0">
            <x v="0"/>
          </reference>
        </references>
      </pivotArea>
    </format>
    <format dxfId="591">
      <pivotArea dataOnly="0" labelOnly="1" outline="0" fieldPosition="0">
        <references count="3">
          <reference field="4" count="1" selected="0">
            <x v="2"/>
          </reference>
          <reference field="5" count="1">
            <x v="53"/>
          </reference>
          <reference field="19" count="1" selected="0">
            <x v="61"/>
          </reference>
        </references>
      </pivotArea>
    </format>
    <format dxfId="590">
      <pivotArea dataOnly="0" labelOnly="1" outline="0" fieldPosition="0">
        <references count="3">
          <reference field="4" count="1" selected="0">
            <x v="2"/>
          </reference>
          <reference field="5" count="1">
            <x v="66"/>
          </reference>
          <reference field="19" count="1" selected="0">
            <x v="63"/>
          </reference>
        </references>
      </pivotArea>
    </format>
    <format dxfId="589">
      <pivotArea dataOnly="0" labelOnly="1" outline="0" fieldPosition="0">
        <references count="3">
          <reference field="4" count="1" selected="0">
            <x v="2"/>
          </reference>
          <reference field="5" count="1">
            <x v="106"/>
          </reference>
          <reference field="19" count="1" selected="0">
            <x v="64"/>
          </reference>
        </references>
      </pivotArea>
    </format>
    <format dxfId="588">
      <pivotArea dataOnly="0" labelOnly="1" outline="0" fieldPosition="0">
        <references count="3">
          <reference field="4" count="1" selected="0">
            <x v="2"/>
          </reference>
          <reference field="5" count="1">
            <x v="5"/>
          </reference>
          <reference field="19" count="1" selected="0">
            <x v="65"/>
          </reference>
        </references>
      </pivotArea>
    </format>
    <format dxfId="587">
      <pivotArea dataOnly="0" labelOnly="1" outline="0" fieldPosition="0">
        <references count="3">
          <reference field="4" count="1" selected="0">
            <x v="2"/>
          </reference>
          <reference field="5" count="1">
            <x v="3"/>
          </reference>
          <reference field="19" count="1" selected="0">
            <x v="82"/>
          </reference>
        </references>
      </pivotArea>
    </format>
    <format dxfId="586">
      <pivotArea dataOnly="0" labelOnly="1" outline="0" fieldPosition="0">
        <references count="3">
          <reference field="4" count="1" selected="0">
            <x v="2"/>
          </reference>
          <reference field="5" count="1">
            <x v="7"/>
          </reference>
          <reference field="19" count="1" selected="0">
            <x v="83"/>
          </reference>
        </references>
      </pivotArea>
    </format>
    <format dxfId="585">
      <pivotArea dataOnly="0" labelOnly="1" outline="0" fieldPosition="0">
        <references count="3">
          <reference field="4" count="1" selected="0">
            <x v="2"/>
          </reference>
          <reference field="5" count="1">
            <x v="2"/>
          </reference>
          <reference field="19" count="1" selected="0">
            <x v="84"/>
          </reference>
        </references>
      </pivotArea>
    </format>
    <format dxfId="584">
      <pivotArea dataOnly="0" labelOnly="1" outline="0" fieldPosition="0">
        <references count="3">
          <reference field="4" count="1" selected="0">
            <x v="2"/>
          </reference>
          <reference field="5" count="1">
            <x v="0"/>
          </reference>
          <reference field="19" count="1" selected="0">
            <x v="85"/>
          </reference>
        </references>
      </pivotArea>
    </format>
    <format dxfId="583">
      <pivotArea dataOnly="0" labelOnly="1" outline="0" fieldPosition="0">
        <references count="3">
          <reference field="4" count="1" selected="0">
            <x v="2"/>
          </reference>
          <reference field="5" count="1">
            <x v="29"/>
          </reference>
          <reference field="19" count="1" selected="0">
            <x v="86"/>
          </reference>
        </references>
      </pivotArea>
    </format>
    <format dxfId="582">
      <pivotArea dataOnly="0" labelOnly="1" outline="0" fieldPosition="0">
        <references count="3">
          <reference field="4" count="1" selected="0">
            <x v="2"/>
          </reference>
          <reference field="5" count="1">
            <x v="82"/>
          </reference>
          <reference field="19" count="1" selected="0">
            <x v="87"/>
          </reference>
        </references>
      </pivotArea>
    </format>
    <format dxfId="581">
      <pivotArea dataOnly="0" labelOnly="1" outline="0" fieldPosition="0">
        <references count="3">
          <reference field="4" count="1" selected="0">
            <x v="2"/>
          </reference>
          <reference field="5" count="1">
            <x v="85"/>
          </reference>
          <reference field="19" count="1" selected="0">
            <x v="88"/>
          </reference>
        </references>
      </pivotArea>
    </format>
    <format dxfId="580">
      <pivotArea dataOnly="0" labelOnly="1" outline="0" fieldPosition="0">
        <references count="3">
          <reference field="4" count="1" selected="0">
            <x v="2"/>
          </reference>
          <reference field="5" count="1">
            <x v="101"/>
          </reference>
          <reference field="19" count="1" selected="0">
            <x v="89"/>
          </reference>
        </references>
      </pivotArea>
    </format>
    <format dxfId="579">
      <pivotArea dataOnly="0" labelOnly="1" outline="0" fieldPosition="0">
        <references count="3">
          <reference field="4" count="1" selected="0">
            <x v="2"/>
          </reference>
          <reference field="5" count="1">
            <x v="13"/>
          </reference>
          <reference field="19" count="1" selected="0">
            <x v="90"/>
          </reference>
        </references>
      </pivotArea>
    </format>
    <format dxfId="578">
      <pivotArea dataOnly="0" labelOnly="1" outline="0" fieldPosition="0">
        <references count="3">
          <reference field="4" count="1" selected="0">
            <x v="2"/>
          </reference>
          <reference field="5" count="1">
            <x v="62"/>
          </reference>
          <reference field="19" count="1" selected="0">
            <x v="91"/>
          </reference>
        </references>
      </pivotArea>
    </format>
    <format dxfId="577">
      <pivotArea dataOnly="0" labelOnly="1" outline="0" fieldPosition="0">
        <references count="3">
          <reference field="4" count="1" selected="0">
            <x v="2"/>
          </reference>
          <reference field="5" count="1">
            <x v="113"/>
          </reference>
          <reference field="19" count="1" selected="0">
            <x v="112"/>
          </reference>
        </references>
      </pivotArea>
    </format>
    <format dxfId="576">
      <pivotArea dataOnly="0" labelOnly="1" outline="0" fieldPosition="0">
        <references count="3">
          <reference field="4" count="1" selected="0">
            <x v="2"/>
          </reference>
          <reference field="5" count="1">
            <x v="121"/>
          </reference>
          <reference field="19" count="1" selected="0">
            <x v="119"/>
          </reference>
        </references>
      </pivotArea>
    </format>
    <format dxfId="575">
      <pivotArea dataOnly="0" labelOnly="1" outline="0" fieldPosition="0">
        <references count="3">
          <reference field="4" count="1" selected="0">
            <x v="2"/>
          </reference>
          <reference field="5" count="1">
            <x v="122"/>
          </reference>
          <reference field="19" count="1" selected="0">
            <x v="120"/>
          </reference>
        </references>
      </pivotArea>
    </format>
    <format dxfId="574">
      <pivotArea outline="0" collapsedLevelsAreSubtotals="1" fieldPosition="0">
        <references count="3">
          <reference field="4" count="1" selected="0">
            <x v="3"/>
          </reference>
          <reference field="5" count="7" selected="0">
            <x v="20"/>
            <x v="21"/>
            <x v="60"/>
            <x v="119"/>
            <x v="124"/>
            <x v="129"/>
            <x v="133"/>
          </reference>
          <reference field="19" count="7" selected="0">
            <x v="100"/>
            <x v="104"/>
            <x v="105"/>
            <x v="117"/>
            <x v="122"/>
            <x v="127"/>
            <x v="128"/>
          </reference>
        </references>
      </pivotArea>
    </format>
    <format dxfId="573">
      <pivotArea dataOnly="0" labelOnly="1" outline="0" fieldPosition="0">
        <references count="1">
          <reference field="4" count="1">
            <x v="3"/>
          </reference>
        </references>
      </pivotArea>
    </format>
    <format dxfId="572">
      <pivotArea dataOnly="0" labelOnly="1" outline="0" fieldPosition="0">
        <references count="2">
          <reference field="4" count="1" selected="0">
            <x v="3"/>
          </reference>
          <reference field="19" count="7">
            <x v="100"/>
            <x v="104"/>
            <x v="105"/>
            <x v="117"/>
            <x v="122"/>
            <x v="127"/>
            <x v="128"/>
          </reference>
        </references>
      </pivotArea>
    </format>
    <format dxfId="571">
      <pivotArea dataOnly="0" labelOnly="1" outline="0" fieldPosition="0">
        <references count="3">
          <reference field="4" count="1" selected="0">
            <x v="3"/>
          </reference>
          <reference field="5" count="1">
            <x v="60"/>
          </reference>
          <reference field="19" count="1" selected="0">
            <x v="100"/>
          </reference>
        </references>
      </pivotArea>
    </format>
    <format dxfId="570">
      <pivotArea dataOnly="0" labelOnly="1" outline="0" fieldPosition="0">
        <references count="3">
          <reference field="4" count="1" selected="0">
            <x v="3"/>
          </reference>
          <reference field="5" count="1">
            <x v="20"/>
          </reference>
          <reference field="19" count="1" selected="0">
            <x v="104"/>
          </reference>
        </references>
      </pivotArea>
    </format>
    <format dxfId="569">
      <pivotArea dataOnly="0" labelOnly="1" outline="0" fieldPosition="0">
        <references count="3">
          <reference field="4" count="1" selected="0">
            <x v="3"/>
          </reference>
          <reference field="5" count="1">
            <x v="21"/>
          </reference>
          <reference field="19" count="1" selected="0">
            <x v="105"/>
          </reference>
        </references>
      </pivotArea>
    </format>
    <format dxfId="568">
      <pivotArea dataOnly="0" labelOnly="1" outline="0" fieldPosition="0">
        <references count="3">
          <reference field="4" count="1" selected="0">
            <x v="3"/>
          </reference>
          <reference field="5" count="1">
            <x v="119"/>
          </reference>
          <reference field="19" count="1" selected="0">
            <x v="117"/>
          </reference>
        </references>
      </pivotArea>
    </format>
    <format dxfId="567">
      <pivotArea dataOnly="0" labelOnly="1" outline="0" fieldPosition="0">
        <references count="3">
          <reference field="4" count="1" selected="0">
            <x v="3"/>
          </reference>
          <reference field="5" count="1">
            <x v="124"/>
          </reference>
          <reference field="19" count="1" selected="0">
            <x v="122"/>
          </reference>
        </references>
      </pivotArea>
    </format>
    <format dxfId="566">
      <pivotArea dataOnly="0" labelOnly="1" outline="0" fieldPosition="0">
        <references count="3">
          <reference field="4" count="1" selected="0">
            <x v="3"/>
          </reference>
          <reference field="5" count="1">
            <x v="129"/>
          </reference>
          <reference field="19" count="1" selected="0">
            <x v="127"/>
          </reference>
        </references>
      </pivotArea>
    </format>
    <format dxfId="565">
      <pivotArea dataOnly="0" labelOnly="1" outline="0" fieldPosition="0">
        <references count="3">
          <reference field="4" count="1" selected="0">
            <x v="3"/>
          </reference>
          <reference field="5" count="1">
            <x v="133"/>
          </reference>
          <reference field="19" count="1" selected="0">
            <x v="128"/>
          </reference>
        </references>
      </pivotArea>
    </format>
    <format dxfId="564">
      <pivotArea outline="0" collapsedLevelsAreSubtotals="1" fieldPosition="0">
        <references count="3">
          <reference field="4" count="1" selected="0">
            <x v="4"/>
          </reference>
          <reference field="5" count="9" selected="0">
            <x v="25"/>
            <x v="34"/>
            <x v="44"/>
            <x v="45"/>
            <x v="49"/>
            <x v="107"/>
            <x v="109"/>
            <x v="118"/>
            <x v="120"/>
          </reference>
          <reference field="19" count="9" selected="0">
            <x v="48"/>
            <x v="74"/>
            <x v="76"/>
            <x v="77"/>
            <x v="78"/>
            <x v="106"/>
            <x v="108"/>
            <x v="116"/>
            <x v="118"/>
          </reference>
        </references>
      </pivotArea>
    </format>
    <format dxfId="563">
      <pivotArea dataOnly="0" labelOnly="1" outline="0" fieldPosition="0">
        <references count="1">
          <reference field="4" count="1">
            <x v="4"/>
          </reference>
        </references>
      </pivotArea>
    </format>
    <format dxfId="562">
      <pivotArea dataOnly="0" labelOnly="1" outline="0" fieldPosition="0">
        <references count="2">
          <reference field="4" count="1" selected="0">
            <x v="4"/>
          </reference>
          <reference field="19" count="9">
            <x v="48"/>
            <x v="74"/>
            <x v="76"/>
            <x v="77"/>
            <x v="78"/>
            <x v="106"/>
            <x v="108"/>
            <x v="116"/>
            <x v="118"/>
          </reference>
        </references>
      </pivotArea>
    </format>
    <format dxfId="561">
      <pivotArea dataOnly="0" labelOnly="1" outline="0" fieldPosition="0">
        <references count="3">
          <reference field="4" count="1" selected="0">
            <x v="4"/>
          </reference>
          <reference field="5" count="1">
            <x v="49"/>
          </reference>
          <reference field="19" count="1" selected="0">
            <x v="48"/>
          </reference>
        </references>
      </pivotArea>
    </format>
    <format dxfId="560">
      <pivotArea dataOnly="0" labelOnly="1" outline="0" fieldPosition="0">
        <references count="3">
          <reference field="4" count="1" selected="0">
            <x v="4"/>
          </reference>
          <reference field="5" count="1">
            <x v="25"/>
          </reference>
          <reference field="19" count="1" selected="0">
            <x v="74"/>
          </reference>
        </references>
      </pivotArea>
    </format>
    <format dxfId="559">
      <pivotArea dataOnly="0" labelOnly="1" outline="0" fieldPosition="0">
        <references count="3">
          <reference field="4" count="1" selected="0">
            <x v="4"/>
          </reference>
          <reference field="5" count="1">
            <x v="45"/>
          </reference>
          <reference field="19" count="1" selected="0">
            <x v="76"/>
          </reference>
        </references>
      </pivotArea>
    </format>
    <format dxfId="558">
      <pivotArea dataOnly="0" labelOnly="1" outline="0" fieldPosition="0">
        <references count="3">
          <reference field="4" count="1" selected="0">
            <x v="4"/>
          </reference>
          <reference field="5" count="1">
            <x v="44"/>
          </reference>
          <reference field="19" count="1" selected="0">
            <x v="77"/>
          </reference>
        </references>
      </pivotArea>
    </format>
    <format dxfId="557">
      <pivotArea dataOnly="0" labelOnly="1" outline="0" fieldPosition="0">
        <references count="3">
          <reference field="4" count="1" selected="0">
            <x v="4"/>
          </reference>
          <reference field="5" count="1">
            <x v="34"/>
          </reference>
          <reference field="19" count="1" selected="0">
            <x v="78"/>
          </reference>
        </references>
      </pivotArea>
    </format>
    <format dxfId="556">
      <pivotArea dataOnly="0" labelOnly="1" outline="0" fieldPosition="0">
        <references count="3">
          <reference field="4" count="1" selected="0">
            <x v="4"/>
          </reference>
          <reference field="5" count="1">
            <x v="107"/>
          </reference>
          <reference field="19" count="1" selected="0">
            <x v="106"/>
          </reference>
        </references>
      </pivotArea>
    </format>
    <format dxfId="555">
      <pivotArea dataOnly="0" labelOnly="1" outline="0" fieldPosition="0">
        <references count="3">
          <reference field="4" count="1" selected="0">
            <x v="4"/>
          </reference>
          <reference field="5" count="1">
            <x v="109"/>
          </reference>
          <reference field="19" count="1" selected="0">
            <x v="108"/>
          </reference>
        </references>
      </pivotArea>
    </format>
    <format dxfId="554">
      <pivotArea dataOnly="0" labelOnly="1" outline="0" fieldPosition="0">
        <references count="3">
          <reference field="4" count="1" selected="0">
            <x v="4"/>
          </reference>
          <reference field="5" count="1">
            <x v="118"/>
          </reference>
          <reference field="19" count="1" selected="0">
            <x v="116"/>
          </reference>
        </references>
      </pivotArea>
    </format>
    <format dxfId="553">
      <pivotArea dataOnly="0" labelOnly="1" outline="0" fieldPosition="0">
        <references count="3">
          <reference field="4" count="1" selected="0">
            <x v="4"/>
          </reference>
          <reference field="5" count="1">
            <x v="120"/>
          </reference>
          <reference field="19" count="1" selected="0">
            <x v="118"/>
          </reference>
        </references>
      </pivotArea>
    </format>
    <format dxfId="552">
      <pivotArea outline="0" collapsedLevelsAreSubtotals="1" fieldPosition="0">
        <references count="3">
          <reference field="4" count="1" selected="0">
            <x v="5"/>
          </reference>
          <reference field="5" count="3" selected="0">
            <x v="14"/>
            <x v="47"/>
            <x v="134"/>
          </reference>
          <reference field="19" count="3" selected="0">
            <x v="101"/>
            <x v="102"/>
            <x v="132"/>
          </reference>
        </references>
      </pivotArea>
    </format>
    <format dxfId="551">
      <pivotArea dataOnly="0" labelOnly="1" outline="0" fieldPosition="0">
        <references count="1">
          <reference field="4" count="1">
            <x v="5"/>
          </reference>
        </references>
      </pivotArea>
    </format>
    <format dxfId="550">
      <pivotArea dataOnly="0" labelOnly="1" outline="0" fieldPosition="0">
        <references count="2">
          <reference field="4" count="1" selected="0">
            <x v="5"/>
          </reference>
          <reference field="19" count="3">
            <x v="101"/>
            <x v="102"/>
            <x v="132"/>
          </reference>
        </references>
      </pivotArea>
    </format>
    <format dxfId="549">
      <pivotArea dataOnly="0" labelOnly="1" outline="0" fieldPosition="0">
        <references count="3">
          <reference field="4" count="1" selected="0">
            <x v="5"/>
          </reference>
          <reference field="5" count="1">
            <x v="47"/>
          </reference>
          <reference field="19" count="1" selected="0">
            <x v="101"/>
          </reference>
        </references>
      </pivotArea>
    </format>
    <format dxfId="548">
      <pivotArea dataOnly="0" labelOnly="1" outline="0" fieldPosition="0">
        <references count="3">
          <reference field="4" count="1" selected="0">
            <x v="5"/>
          </reference>
          <reference field="5" count="1">
            <x v="14"/>
          </reference>
          <reference field="19" count="1" selected="0">
            <x v="102"/>
          </reference>
        </references>
      </pivotArea>
    </format>
    <format dxfId="547">
      <pivotArea dataOnly="0" labelOnly="1" outline="0" fieldPosition="0">
        <references count="3">
          <reference field="4" count="1" selected="0">
            <x v="5"/>
          </reference>
          <reference field="5" count="1">
            <x v="134"/>
          </reference>
          <reference field="19" count="1" selected="0">
            <x v="132"/>
          </reference>
        </references>
      </pivotArea>
    </format>
    <format dxfId="546">
      <pivotArea outline="0" collapsedLevelsAreSubtotals="1" fieldPosition="0">
        <references count="3">
          <reference field="4" count="1" selected="0">
            <x v="6"/>
          </reference>
          <reference field="5" count="3" selected="0">
            <x v="23"/>
            <x v="48"/>
            <x v="67"/>
          </reference>
          <reference field="19" count="3" selected="0">
            <x v="56"/>
            <x v="57"/>
            <x v="58"/>
          </reference>
        </references>
      </pivotArea>
    </format>
    <format dxfId="545">
      <pivotArea dataOnly="0" labelOnly="1" outline="0" fieldPosition="0">
        <references count="1">
          <reference field="4" count="1">
            <x v="6"/>
          </reference>
        </references>
      </pivotArea>
    </format>
    <format dxfId="544">
      <pivotArea dataOnly="0" labelOnly="1" outline="0" fieldPosition="0">
        <references count="2">
          <reference field="4" count="1" selected="0">
            <x v="6"/>
          </reference>
          <reference field="19" count="3">
            <x v="56"/>
            <x v="57"/>
            <x v="58"/>
          </reference>
        </references>
      </pivotArea>
    </format>
    <format dxfId="543">
      <pivotArea dataOnly="0" labelOnly="1" outline="0" fieldPosition="0">
        <references count="3">
          <reference field="4" count="1" selected="0">
            <x v="6"/>
          </reference>
          <reference field="5" count="1">
            <x v="48"/>
          </reference>
          <reference field="19" count="1" selected="0">
            <x v="56"/>
          </reference>
        </references>
      </pivotArea>
    </format>
    <format dxfId="542">
      <pivotArea dataOnly="0" labelOnly="1" outline="0" fieldPosition="0">
        <references count="3">
          <reference field="4" count="1" selected="0">
            <x v="6"/>
          </reference>
          <reference field="5" count="1">
            <x v="23"/>
          </reference>
          <reference field="19" count="1" selected="0">
            <x v="57"/>
          </reference>
        </references>
      </pivotArea>
    </format>
    <format dxfId="541">
      <pivotArea dataOnly="0" labelOnly="1" outline="0" fieldPosition="0">
        <references count="3">
          <reference field="4" count="1" selected="0">
            <x v="6"/>
          </reference>
          <reference field="5" count="1">
            <x v="67"/>
          </reference>
          <reference field="19" count="1" selected="0">
            <x v="58"/>
          </reference>
        </references>
      </pivotArea>
    </format>
    <format dxfId="540">
      <pivotArea outline="0" collapsedLevelsAreSubtotals="1" fieldPosition="0">
        <references count="3">
          <reference field="4" count="1" selected="0">
            <x v="7"/>
          </reference>
          <reference field="5" count="2" selected="0">
            <x v="68"/>
            <x v="92"/>
          </reference>
          <reference field="19" count="2" selected="0">
            <x v="59"/>
            <x v="79"/>
          </reference>
        </references>
      </pivotArea>
    </format>
    <format dxfId="539">
      <pivotArea dataOnly="0" labelOnly="1" outline="0" fieldPosition="0">
        <references count="1">
          <reference field="4" count="1">
            <x v="7"/>
          </reference>
        </references>
      </pivotArea>
    </format>
    <format dxfId="538">
      <pivotArea dataOnly="0" labelOnly="1" outline="0" fieldPosition="0">
        <references count="2">
          <reference field="4" count="1" selected="0">
            <x v="7"/>
          </reference>
          <reference field="19" count="2">
            <x v="59"/>
            <x v="79"/>
          </reference>
        </references>
      </pivotArea>
    </format>
    <format dxfId="537">
      <pivotArea dataOnly="0" labelOnly="1" outline="0" fieldPosition="0">
        <references count="3">
          <reference field="4" count="1" selected="0">
            <x v="7"/>
          </reference>
          <reference field="5" count="1">
            <x v="92"/>
          </reference>
          <reference field="19" count="1" selected="0">
            <x v="59"/>
          </reference>
        </references>
      </pivotArea>
    </format>
    <format dxfId="536">
      <pivotArea dataOnly="0" labelOnly="1" outline="0" fieldPosition="0">
        <references count="3">
          <reference field="4" count="1" selected="0">
            <x v="7"/>
          </reference>
          <reference field="5" count="1">
            <x v="68"/>
          </reference>
          <reference field="19" count="1" selected="0">
            <x v="79"/>
          </reference>
        </references>
      </pivotArea>
    </format>
    <format dxfId="535">
      <pivotArea outline="0" collapsedLevelsAreSubtotals="1" fieldPosition="0">
        <references count="3">
          <reference field="4" count="1" selected="0">
            <x v="8"/>
          </reference>
          <reference field="5" count="15" selected="0">
            <x v="10"/>
            <x v="15"/>
            <x v="19"/>
            <x v="31"/>
            <x v="32"/>
            <x v="33"/>
            <x v="42"/>
            <x v="46"/>
            <x v="54"/>
            <x v="70"/>
            <x v="71"/>
            <x v="73"/>
            <x v="75"/>
            <x v="86"/>
            <x v="112"/>
          </reference>
          <reference field="19" count="15" selected="0">
            <x v="43"/>
            <x v="45"/>
            <x v="46"/>
            <x v="47"/>
            <x v="51"/>
            <x v="52"/>
            <x v="53"/>
            <x v="54"/>
            <x v="55"/>
            <x v="70"/>
            <x v="71"/>
            <x v="72"/>
            <x v="73"/>
            <x v="75"/>
            <x v="111"/>
          </reference>
        </references>
      </pivotArea>
    </format>
    <format dxfId="534">
      <pivotArea dataOnly="0" labelOnly="1" outline="0" fieldPosition="0">
        <references count="1">
          <reference field="4" count="1">
            <x v="8"/>
          </reference>
        </references>
      </pivotArea>
    </format>
    <format dxfId="533">
      <pivotArea dataOnly="0" labelOnly="1" outline="0" fieldPosition="0">
        <references count="2">
          <reference field="4" count="1" selected="0">
            <x v="8"/>
          </reference>
          <reference field="19" count="15">
            <x v="43"/>
            <x v="45"/>
            <x v="46"/>
            <x v="47"/>
            <x v="51"/>
            <x v="52"/>
            <x v="53"/>
            <x v="54"/>
            <x v="55"/>
            <x v="70"/>
            <x v="71"/>
            <x v="72"/>
            <x v="73"/>
            <x v="75"/>
            <x v="111"/>
          </reference>
        </references>
      </pivotArea>
    </format>
    <format dxfId="532">
      <pivotArea dataOnly="0" labelOnly="1" outline="0" fieldPosition="0">
        <references count="3">
          <reference field="4" count="1" selected="0">
            <x v="8"/>
          </reference>
          <reference field="5" count="1">
            <x v="54"/>
          </reference>
          <reference field="19" count="1" selected="0">
            <x v="43"/>
          </reference>
        </references>
      </pivotArea>
    </format>
    <format dxfId="531">
      <pivotArea dataOnly="0" labelOnly="1" outline="0" fieldPosition="0">
        <references count="3">
          <reference field="4" count="1" selected="0">
            <x v="8"/>
          </reference>
          <reference field="5" count="1">
            <x v="46"/>
          </reference>
          <reference field="19" count="1" selected="0">
            <x v="45"/>
          </reference>
        </references>
      </pivotArea>
    </format>
    <format dxfId="530">
      <pivotArea dataOnly="0" labelOnly="1" outline="0" fieldPosition="0">
        <references count="3">
          <reference field="4" count="1" selected="0">
            <x v="8"/>
          </reference>
          <reference field="5" count="1">
            <x v="71"/>
          </reference>
          <reference field="19" count="1" selected="0">
            <x v="46"/>
          </reference>
        </references>
      </pivotArea>
    </format>
    <format dxfId="529">
      <pivotArea dataOnly="0" labelOnly="1" outline="0" fieldPosition="0">
        <references count="3">
          <reference field="4" count="1" selected="0">
            <x v="8"/>
          </reference>
          <reference field="5" count="1">
            <x v="42"/>
          </reference>
          <reference field="19" count="1" selected="0">
            <x v="47"/>
          </reference>
        </references>
      </pivotArea>
    </format>
    <format dxfId="528">
      <pivotArea dataOnly="0" labelOnly="1" outline="0" fieldPosition="0">
        <references count="3">
          <reference field="4" count="1" selected="0">
            <x v="8"/>
          </reference>
          <reference field="5" count="1">
            <x v="32"/>
          </reference>
          <reference field="19" count="1" selected="0">
            <x v="51"/>
          </reference>
        </references>
      </pivotArea>
    </format>
    <format dxfId="527">
      <pivotArea dataOnly="0" labelOnly="1" outline="0" fieldPosition="0">
        <references count="3">
          <reference field="4" count="1" selected="0">
            <x v="8"/>
          </reference>
          <reference field="5" count="1">
            <x v="33"/>
          </reference>
          <reference field="19" count="1" selected="0">
            <x v="52"/>
          </reference>
        </references>
      </pivotArea>
    </format>
    <format dxfId="526">
      <pivotArea dataOnly="0" labelOnly="1" outline="0" fieldPosition="0">
        <references count="3">
          <reference field="4" count="1" selected="0">
            <x v="8"/>
          </reference>
          <reference field="5" count="1">
            <x v="31"/>
          </reference>
          <reference field="19" count="1" selected="0">
            <x v="53"/>
          </reference>
        </references>
      </pivotArea>
    </format>
    <format dxfId="525">
      <pivotArea dataOnly="0" labelOnly="1" outline="0" fieldPosition="0">
        <references count="3">
          <reference field="4" count="1" selected="0">
            <x v="8"/>
          </reference>
          <reference field="5" count="1">
            <x v="73"/>
          </reference>
          <reference field="19" count="1" selected="0">
            <x v="54"/>
          </reference>
        </references>
      </pivotArea>
    </format>
    <format dxfId="524">
      <pivotArea dataOnly="0" labelOnly="1" outline="0" fieldPosition="0">
        <references count="3">
          <reference field="4" count="1" selected="0">
            <x v="8"/>
          </reference>
          <reference field="5" count="1">
            <x v="86"/>
          </reference>
          <reference field="19" count="1" selected="0">
            <x v="55"/>
          </reference>
        </references>
      </pivotArea>
    </format>
    <format dxfId="523">
      <pivotArea dataOnly="0" labelOnly="1" outline="0" fieldPosition="0">
        <references count="3">
          <reference field="4" count="1" selected="0">
            <x v="8"/>
          </reference>
          <reference field="5" count="1">
            <x v="19"/>
          </reference>
          <reference field="19" count="1" selected="0">
            <x v="70"/>
          </reference>
        </references>
      </pivotArea>
    </format>
    <format dxfId="522">
      <pivotArea dataOnly="0" labelOnly="1" outline="0" fieldPosition="0">
        <references count="3">
          <reference field="4" count="1" selected="0">
            <x v="8"/>
          </reference>
          <reference field="5" count="1">
            <x v="15"/>
          </reference>
          <reference field="19" count="1" selected="0">
            <x v="71"/>
          </reference>
        </references>
      </pivotArea>
    </format>
    <format dxfId="521">
      <pivotArea dataOnly="0" labelOnly="1" outline="0" fieldPosition="0">
        <references count="3">
          <reference field="4" count="1" selected="0">
            <x v="8"/>
          </reference>
          <reference field="5" count="1">
            <x v="10"/>
          </reference>
          <reference field="19" count="1" selected="0">
            <x v="72"/>
          </reference>
        </references>
      </pivotArea>
    </format>
    <format dxfId="520">
      <pivotArea dataOnly="0" labelOnly="1" outline="0" fieldPosition="0">
        <references count="3">
          <reference field="4" count="1" selected="0">
            <x v="8"/>
          </reference>
          <reference field="5" count="1">
            <x v="75"/>
          </reference>
          <reference field="19" count="1" selected="0">
            <x v="73"/>
          </reference>
        </references>
      </pivotArea>
    </format>
    <format dxfId="519">
      <pivotArea dataOnly="0" labelOnly="1" outline="0" fieldPosition="0">
        <references count="3">
          <reference field="4" count="1" selected="0">
            <x v="8"/>
          </reference>
          <reference field="5" count="1">
            <x v="70"/>
          </reference>
          <reference field="19" count="1" selected="0">
            <x v="75"/>
          </reference>
        </references>
      </pivotArea>
    </format>
    <format dxfId="518">
      <pivotArea dataOnly="0" labelOnly="1" outline="0" fieldPosition="0">
        <references count="3">
          <reference field="4" count="1" selected="0">
            <x v="8"/>
          </reference>
          <reference field="5" count="1">
            <x v="112"/>
          </reference>
          <reference field="19" count="1" selected="0">
            <x v="111"/>
          </reference>
        </references>
      </pivotArea>
    </format>
    <format dxfId="517">
      <pivotArea outline="0" collapsedLevelsAreSubtotals="1" fieldPosition="0">
        <references count="3">
          <reference field="4" count="1" selected="0">
            <x v="9"/>
          </reference>
          <reference field="5" count="3" selected="0">
            <x v="56"/>
            <x v="125"/>
            <x v="126"/>
          </reference>
          <reference field="19" count="3" selected="0">
            <x v="99"/>
            <x v="123"/>
            <x v="124"/>
          </reference>
        </references>
      </pivotArea>
    </format>
    <format dxfId="516">
      <pivotArea dataOnly="0" labelOnly="1" outline="0" fieldPosition="0">
        <references count="1">
          <reference field="4" count="1">
            <x v="9"/>
          </reference>
        </references>
      </pivotArea>
    </format>
    <format dxfId="515">
      <pivotArea dataOnly="0" labelOnly="1" outline="0" fieldPosition="0">
        <references count="2">
          <reference field="4" count="1" selected="0">
            <x v="9"/>
          </reference>
          <reference field="19" count="3">
            <x v="99"/>
            <x v="123"/>
            <x v="124"/>
          </reference>
        </references>
      </pivotArea>
    </format>
    <format dxfId="514">
      <pivotArea dataOnly="0" labelOnly="1" outline="0" fieldPosition="0">
        <references count="3">
          <reference field="4" count="1" selected="0">
            <x v="9"/>
          </reference>
          <reference field="5" count="1">
            <x v="56"/>
          </reference>
          <reference field="19" count="1" selected="0">
            <x v="99"/>
          </reference>
        </references>
      </pivotArea>
    </format>
    <format dxfId="513">
      <pivotArea dataOnly="0" labelOnly="1" outline="0" fieldPosition="0">
        <references count="3">
          <reference field="4" count="1" selected="0">
            <x v="9"/>
          </reference>
          <reference field="5" count="1">
            <x v="125"/>
          </reference>
          <reference field="19" count="1" selected="0">
            <x v="123"/>
          </reference>
        </references>
      </pivotArea>
    </format>
    <format dxfId="512">
      <pivotArea dataOnly="0" labelOnly="1" outline="0" fieldPosition="0">
        <references count="3">
          <reference field="4" count="1" selected="0">
            <x v="9"/>
          </reference>
          <reference field="5" count="1">
            <x v="126"/>
          </reference>
          <reference field="19" count="1" selected="0">
            <x v="124"/>
          </reference>
        </references>
      </pivotArea>
    </format>
    <format dxfId="511">
      <pivotArea outline="0" collapsedLevelsAreSubtotals="1" fieldPosition="0">
        <references count="3">
          <reference field="4" count="1" selected="0">
            <x v="10"/>
          </reference>
          <reference field="5" count="24" selected="0">
            <x v="8"/>
            <x v="9"/>
            <x v="17"/>
            <x v="18"/>
            <x v="22"/>
            <x v="26"/>
            <x v="27"/>
            <x v="41"/>
            <x v="43"/>
            <x v="51"/>
            <x v="52"/>
            <x v="64"/>
            <x v="72"/>
            <x v="74"/>
            <x v="84"/>
            <x v="87"/>
            <x v="91"/>
            <x v="94"/>
            <x v="95"/>
            <x v="96"/>
            <x v="97"/>
            <x v="104"/>
            <x v="116"/>
            <x v="131"/>
          </reference>
          <reference field="19" count="23" selected="0">
            <x v="0"/>
            <x v="1"/>
            <x v="2"/>
            <x v="3"/>
            <x v="4"/>
            <x v="5"/>
            <x v="6"/>
            <x v="7"/>
            <x v="8"/>
            <x v="9"/>
            <x v="10"/>
            <x v="11"/>
            <x v="12"/>
            <x v="13"/>
            <x v="14"/>
            <x v="15"/>
            <x v="16"/>
            <x v="17"/>
            <x v="18"/>
            <x v="19"/>
            <x v="20"/>
            <x v="81"/>
            <x v="130"/>
          </reference>
        </references>
      </pivotArea>
    </format>
    <format dxfId="510">
      <pivotArea dataOnly="0" labelOnly="1" outline="0" fieldPosition="0">
        <references count="1">
          <reference field="4" count="1">
            <x v="10"/>
          </reference>
        </references>
      </pivotArea>
    </format>
    <format dxfId="509">
      <pivotArea dataOnly="0" labelOnly="1" outline="0" fieldPosition="0">
        <references count="2">
          <reference field="4" count="1" selected="0">
            <x v="10"/>
          </reference>
          <reference field="19" count="23">
            <x v="0"/>
            <x v="1"/>
            <x v="2"/>
            <x v="3"/>
            <x v="4"/>
            <x v="5"/>
            <x v="6"/>
            <x v="7"/>
            <x v="8"/>
            <x v="9"/>
            <x v="10"/>
            <x v="11"/>
            <x v="12"/>
            <x v="13"/>
            <x v="14"/>
            <x v="15"/>
            <x v="16"/>
            <x v="17"/>
            <x v="18"/>
            <x v="19"/>
            <x v="20"/>
            <x v="81"/>
            <x v="130"/>
          </reference>
        </references>
      </pivotArea>
    </format>
    <format dxfId="508">
      <pivotArea dataOnly="0" labelOnly="1" outline="0" fieldPosition="0">
        <references count="3">
          <reference field="4" count="1" selected="0">
            <x v="10"/>
          </reference>
          <reference field="5" count="2">
            <x v="84"/>
            <x v="116"/>
          </reference>
          <reference field="19" count="1" selected="0">
            <x v="0"/>
          </reference>
        </references>
      </pivotArea>
    </format>
    <format dxfId="507">
      <pivotArea dataOnly="0" labelOnly="1" outline="0" fieldPosition="0">
        <references count="3">
          <reference field="4" count="1" selected="0">
            <x v="10"/>
          </reference>
          <reference field="5" count="1">
            <x v="94"/>
          </reference>
          <reference field="19" count="1" selected="0">
            <x v="1"/>
          </reference>
        </references>
      </pivotArea>
    </format>
    <format dxfId="506">
      <pivotArea dataOnly="0" labelOnly="1" outline="0" fieldPosition="0">
        <references count="3">
          <reference field="4" count="1" selected="0">
            <x v="10"/>
          </reference>
          <reference field="5" count="1">
            <x v="72"/>
          </reference>
          <reference field="19" count="1" selected="0">
            <x v="2"/>
          </reference>
        </references>
      </pivotArea>
    </format>
    <format dxfId="505">
      <pivotArea dataOnly="0" labelOnly="1" outline="0" fieldPosition="0">
        <references count="3">
          <reference field="4" count="1" selected="0">
            <x v="10"/>
          </reference>
          <reference field="5" count="1">
            <x v="96"/>
          </reference>
          <reference field="19" count="1" selected="0">
            <x v="3"/>
          </reference>
        </references>
      </pivotArea>
    </format>
    <format dxfId="504">
      <pivotArea dataOnly="0" labelOnly="1" outline="0" fieldPosition="0">
        <references count="3">
          <reference field="4" count="1" selected="0">
            <x v="10"/>
          </reference>
          <reference field="5" count="1">
            <x v="95"/>
          </reference>
          <reference field="19" count="1" selected="0">
            <x v="4"/>
          </reference>
        </references>
      </pivotArea>
    </format>
    <format dxfId="503">
      <pivotArea dataOnly="0" labelOnly="1" outline="0" fieldPosition="0">
        <references count="3">
          <reference field="4" count="1" selected="0">
            <x v="10"/>
          </reference>
          <reference field="5" count="1">
            <x v="97"/>
          </reference>
          <reference field="19" count="1" selected="0">
            <x v="5"/>
          </reference>
        </references>
      </pivotArea>
    </format>
    <format dxfId="502">
      <pivotArea dataOnly="0" labelOnly="1" outline="0" fieldPosition="0">
        <references count="3">
          <reference field="4" count="1" selected="0">
            <x v="10"/>
          </reference>
          <reference field="5" count="1">
            <x v="87"/>
          </reference>
          <reference field="19" count="1" selected="0">
            <x v="6"/>
          </reference>
        </references>
      </pivotArea>
    </format>
    <format dxfId="501">
      <pivotArea dataOnly="0" labelOnly="1" outline="0" fieldPosition="0">
        <references count="3">
          <reference field="4" count="1" selected="0">
            <x v="10"/>
          </reference>
          <reference field="5" count="1">
            <x v="43"/>
          </reference>
          <reference field="19" count="1" selected="0">
            <x v="7"/>
          </reference>
        </references>
      </pivotArea>
    </format>
    <format dxfId="500">
      <pivotArea dataOnly="0" labelOnly="1" outline="0" fieldPosition="0">
        <references count="3">
          <reference field="4" count="1" selected="0">
            <x v="10"/>
          </reference>
          <reference field="5" count="1">
            <x v="91"/>
          </reference>
          <reference field="19" count="1" selected="0">
            <x v="8"/>
          </reference>
        </references>
      </pivotArea>
    </format>
    <format dxfId="499">
      <pivotArea dataOnly="0" labelOnly="1" outline="0" fieldPosition="0">
        <references count="3">
          <reference field="4" count="1" selected="0">
            <x v="10"/>
          </reference>
          <reference field="5" count="1">
            <x v="9"/>
          </reference>
          <reference field="19" count="1" selected="0">
            <x v="9"/>
          </reference>
        </references>
      </pivotArea>
    </format>
    <format dxfId="498">
      <pivotArea dataOnly="0" labelOnly="1" outline="0" fieldPosition="0">
        <references count="3">
          <reference field="4" count="1" selected="0">
            <x v="10"/>
          </reference>
          <reference field="5" count="1">
            <x v="8"/>
          </reference>
          <reference field="19" count="1" selected="0">
            <x v="10"/>
          </reference>
        </references>
      </pivotArea>
    </format>
    <format dxfId="497">
      <pivotArea dataOnly="0" labelOnly="1" outline="0" fieldPosition="0">
        <references count="3">
          <reference field="4" count="1" selected="0">
            <x v="10"/>
          </reference>
          <reference field="5" count="1">
            <x v="22"/>
          </reference>
          <reference field="19" count="1" selected="0">
            <x v="11"/>
          </reference>
        </references>
      </pivotArea>
    </format>
    <format dxfId="496">
      <pivotArea dataOnly="0" labelOnly="1" outline="0" fieldPosition="0">
        <references count="3">
          <reference field="4" count="1" selected="0">
            <x v="10"/>
          </reference>
          <reference field="5" count="1">
            <x v="27"/>
          </reference>
          <reference field="19" count="1" selected="0">
            <x v="12"/>
          </reference>
        </references>
      </pivotArea>
    </format>
    <format dxfId="495">
      <pivotArea dataOnly="0" labelOnly="1" outline="0" fieldPosition="0">
        <references count="3">
          <reference field="4" count="1" selected="0">
            <x v="10"/>
          </reference>
          <reference field="5" count="1">
            <x v="26"/>
          </reference>
          <reference field="19" count="1" selected="0">
            <x v="13"/>
          </reference>
        </references>
      </pivotArea>
    </format>
    <format dxfId="494">
      <pivotArea dataOnly="0" labelOnly="1" outline="0" fieldPosition="0">
        <references count="3">
          <reference field="4" count="1" selected="0">
            <x v="10"/>
          </reference>
          <reference field="5" count="1">
            <x v="41"/>
          </reference>
          <reference field="19" count="1" selected="0">
            <x v="14"/>
          </reference>
        </references>
      </pivotArea>
    </format>
    <format dxfId="493">
      <pivotArea dataOnly="0" labelOnly="1" outline="0" fieldPosition="0">
        <references count="3">
          <reference field="4" count="1" selected="0">
            <x v="10"/>
          </reference>
          <reference field="5" count="1">
            <x v="17"/>
          </reference>
          <reference field="19" count="1" selected="0">
            <x v="15"/>
          </reference>
        </references>
      </pivotArea>
    </format>
    <format dxfId="492">
      <pivotArea dataOnly="0" labelOnly="1" outline="0" fieldPosition="0">
        <references count="3">
          <reference field="4" count="1" selected="0">
            <x v="10"/>
          </reference>
          <reference field="5" count="1">
            <x v="18"/>
          </reference>
          <reference field="19" count="1" selected="0">
            <x v="16"/>
          </reference>
        </references>
      </pivotArea>
    </format>
    <format dxfId="491">
      <pivotArea dataOnly="0" labelOnly="1" outline="0" fieldPosition="0">
        <references count="3">
          <reference field="4" count="1" selected="0">
            <x v="10"/>
          </reference>
          <reference field="5" count="1">
            <x v="51"/>
          </reference>
          <reference field="19" count="1" selected="0">
            <x v="17"/>
          </reference>
        </references>
      </pivotArea>
    </format>
    <format dxfId="490">
      <pivotArea dataOnly="0" labelOnly="1" outline="0" fieldPosition="0">
        <references count="3">
          <reference field="4" count="1" selected="0">
            <x v="10"/>
          </reference>
          <reference field="5" count="1">
            <x v="52"/>
          </reference>
          <reference field="19" count="1" selected="0">
            <x v="18"/>
          </reference>
        </references>
      </pivotArea>
    </format>
    <format dxfId="489">
      <pivotArea dataOnly="0" labelOnly="1" outline="0" fieldPosition="0">
        <references count="3">
          <reference field="4" count="1" selected="0">
            <x v="10"/>
          </reference>
          <reference field="5" count="1">
            <x v="104"/>
          </reference>
          <reference field="19" count="1" selected="0">
            <x v="19"/>
          </reference>
        </references>
      </pivotArea>
    </format>
    <format dxfId="488">
      <pivotArea dataOnly="0" labelOnly="1" outline="0" fieldPosition="0">
        <references count="3">
          <reference field="4" count="1" selected="0">
            <x v="10"/>
          </reference>
          <reference field="5" count="1">
            <x v="64"/>
          </reference>
          <reference field="19" count="1" selected="0">
            <x v="20"/>
          </reference>
        </references>
      </pivotArea>
    </format>
    <format dxfId="487">
      <pivotArea dataOnly="0" labelOnly="1" outline="0" fieldPosition="0">
        <references count="3">
          <reference field="4" count="1" selected="0">
            <x v="10"/>
          </reference>
          <reference field="5" count="1">
            <x v="74"/>
          </reference>
          <reference field="19" count="1" selected="0">
            <x v="81"/>
          </reference>
        </references>
      </pivotArea>
    </format>
    <format dxfId="486">
      <pivotArea dataOnly="0" labelOnly="1" outline="0" fieldPosition="0">
        <references count="3">
          <reference field="4" count="1" selected="0">
            <x v="10"/>
          </reference>
          <reference field="5" count="1">
            <x v="131"/>
          </reference>
          <reference field="19" count="1" selected="0">
            <x v="130"/>
          </reference>
        </references>
      </pivotArea>
    </format>
    <format dxfId="485">
      <pivotArea outline="0" collapsedLevelsAreSubtotals="1" fieldPosition="0">
        <references count="3">
          <reference field="4" count="1" selected="0">
            <x v="11"/>
          </reference>
          <reference field="5" count="4" selected="0">
            <x v="58"/>
            <x v="59"/>
            <x v="127"/>
            <x v="128"/>
          </reference>
          <reference field="19" count="4" selected="0">
            <x v="97"/>
            <x v="98"/>
            <x v="125"/>
            <x v="126"/>
          </reference>
        </references>
      </pivotArea>
    </format>
    <format dxfId="484">
      <pivotArea dataOnly="0" labelOnly="1" outline="0" fieldPosition="0">
        <references count="1">
          <reference field="4" count="1">
            <x v="11"/>
          </reference>
        </references>
      </pivotArea>
    </format>
    <format dxfId="483">
      <pivotArea dataOnly="0" labelOnly="1" outline="0" fieldPosition="0">
        <references count="2">
          <reference field="4" count="1" selected="0">
            <x v="11"/>
          </reference>
          <reference field="19" count="4">
            <x v="97"/>
            <x v="98"/>
            <x v="125"/>
            <x v="126"/>
          </reference>
        </references>
      </pivotArea>
    </format>
    <format dxfId="482">
      <pivotArea dataOnly="0" labelOnly="1" outline="0" fieldPosition="0">
        <references count="3">
          <reference field="4" count="1" selected="0">
            <x v="11"/>
          </reference>
          <reference field="5" count="1">
            <x v="59"/>
          </reference>
          <reference field="19" count="1" selected="0">
            <x v="97"/>
          </reference>
        </references>
      </pivotArea>
    </format>
    <format dxfId="481">
      <pivotArea dataOnly="0" labelOnly="1" outline="0" fieldPosition="0">
        <references count="3">
          <reference field="4" count="1" selected="0">
            <x v="11"/>
          </reference>
          <reference field="5" count="1">
            <x v="58"/>
          </reference>
          <reference field="19" count="1" selected="0">
            <x v="98"/>
          </reference>
        </references>
      </pivotArea>
    </format>
    <format dxfId="480">
      <pivotArea dataOnly="0" labelOnly="1" outline="0" fieldPosition="0">
        <references count="3">
          <reference field="4" count="1" selected="0">
            <x v="11"/>
          </reference>
          <reference field="5" count="1">
            <x v="127"/>
          </reference>
          <reference field="19" count="1" selected="0">
            <x v="125"/>
          </reference>
        </references>
      </pivotArea>
    </format>
    <format dxfId="479">
      <pivotArea dataOnly="0" labelOnly="1" outline="0" fieldPosition="0">
        <references count="3">
          <reference field="4" count="1" selected="0">
            <x v="11"/>
          </reference>
          <reference field="5" count="1">
            <x v="128"/>
          </reference>
          <reference field="19" count="1" selected="0">
            <x v="126"/>
          </reference>
        </references>
      </pivotArea>
    </format>
    <format dxfId="478">
      <pivotArea outline="0" collapsedLevelsAreSubtotals="1" fieldPosition="0">
        <references count="3">
          <reference field="4" count="1" selected="0">
            <x v="12"/>
          </reference>
          <reference field="5" count="1" selected="0">
            <x v="63"/>
          </reference>
          <reference field="19" count="1" selected="0">
            <x v="103"/>
          </reference>
        </references>
      </pivotArea>
    </format>
    <format dxfId="477">
      <pivotArea dataOnly="0" labelOnly="1" outline="0" fieldPosition="0">
        <references count="1">
          <reference field="4" count="1">
            <x v="12"/>
          </reference>
        </references>
      </pivotArea>
    </format>
    <format dxfId="476">
      <pivotArea dataOnly="0" labelOnly="1" outline="0" fieldPosition="0">
        <references count="2">
          <reference field="4" count="1" selected="0">
            <x v="12"/>
          </reference>
          <reference field="19" count="1">
            <x v="103"/>
          </reference>
        </references>
      </pivotArea>
    </format>
    <format dxfId="475">
      <pivotArea dataOnly="0" labelOnly="1" outline="0" fieldPosition="0">
        <references count="3">
          <reference field="4" count="1" selected="0">
            <x v="12"/>
          </reference>
          <reference field="5" count="1">
            <x v="63"/>
          </reference>
          <reference field="19" count="1" selected="0">
            <x v="103"/>
          </reference>
        </references>
      </pivotArea>
    </format>
    <format dxfId="474">
      <pivotArea outline="0" collapsedLevelsAreSubtotals="1" fieldPosition="0">
        <references count="3">
          <reference field="4" count="1" selected="0">
            <x v="13"/>
          </reference>
          <reference field="5" count="2" selected="0">
            <x v="89"/>
            <x v="90"/>
          </reference>
          <reference field="19" count="2" selected="0">
            <x v="49"/>
            <x v="50"/>
          </reference>
        </references>
      </pivotArea>
    </format>
    <format dxfId="473">
      <pivotArea dataOnly="0" labelOnly="1" outline="0" fieldPosition="0">
        <references count="1">
          <reference field="4" count="1">
            <x v="13"/>
          </reference>
        </references>
      </pivotArea>
    </format>
    <format dxfId="472">
      <pivotArea dataOnly="0" labelOnly="1" outline="0" fieldPosition="0">
        <references count="2">
          <reference field="4" count="1" selected="0">
            <x v="13"/>
          </reference>
          <reference field="19" count="2">
            <x v="49"/>
            <x v="50"/>
          </reference>
        </references>
      </pivotArea>
    </format>
    <format dxfId="471">
      <pivotArea dataOnly="0" labelOnly="1" outline="0" fieldPosition="0">
        <references count="3">
          <reference field="4" count="1" selected="0">
            <x v="13"/>
          </reference>
          <reference field="5" count="1">
            <x v="89"/>
          </reference>
          <reference field="19" count="1" selected="0">
            <x v="49"/>
          </reference>
        </references>
      </pivotArea>
    </format>
    <format dxfId="470">
      <pivotArea dataOnly="0" labelOnly="1" outline="0" fieldPosition="0">
        <references count="3">
          <reference field="4" count="1" selected="0">
            <x v="13"/>
          </reference>
          <reference field="5" count="1">
            <x v="90"/>
          </reference>
          <reference field="19" count="1" selected="0">
            <x v="50"/>
          </reference>
        </references>
      </pivotArea>
    </format>
    <format dxfId="469">
      <pivotArea outline="0" collapsedLevelsAreSubtotals="1" fieldPosition="0">
        <references count="3">
          <reference field="4" count="1" selected="0">
            <x v="14"/>
          </reference>
          <reference field="5" count="22" selected="0">
            <x v="4"/>
            <x v="11"/>
            <x v="12"/>
            <x v="35"/>
            <x v="36"/>
            <x v="37"/>
            <x v="38"/>
            <x v="39"/>
            <x v="40"/>
            <x v="77"/>
            <x v="78"/>
            <x v="79"/>
            <x v="80"/>
            <x v="81"/>
            <x v="88"/>
            <x v="98"/>
            <x v="99"/>
            <x v="100"/>
            <x v="103"/>
            <x v="110"/>
            <x v="130"/>
            <x v="132"/>
          </reference>
          <reference field="19" count="22" selected="0">
            <x v="21"/>
            <x v="22"/>
            <x v="23"/>
            <x v="24"/>
            <x v="25"/>
            <x v="26"/>
            <x v="27"/>
            <x v="28"/>
            <x v="29"/>
            <x v="30"/>
            <x v="31"/>
            <x v="32"/>
            <x v="33"/>
            <x v="34"/>
            <x v="66"/>
            <x v="67"/>
            <x v="68"/>
            <x v="69"/>
            <x v="80"/>
            <x v="109"/>
            <x v="129"/>
            <x v="131"/>
          </reference>
        </references>
      </pivotArea>
    </format>
    <format dxfId="468">
      <pivotArea dataOnly="0" labelOnly="1" outline="0" fieldPosition="0">
        <references count="1">
          <reference field="4" count="1">
            <x v="14"/>
          </reference>
        </references>
      </pivotArea>
    </format>
    <format dxfId="467">
      <pivotArea dataOnly="0" labelOnly="1" outline="0" fieldPosition="0">
        <references count="2">
          <reference field="4" count="1" selected="0">
            <x v="14"/>
          </reference>
          <reference field="19" count="22">
            <x v="21"/>
            <x v="22"/>
            <x v="23"/>
            <x v="24"/>
            <x v="25"/>
            <x v="26"/>
            <x v="27"/>
            <x v="28"/>
            <x v="29"/>
            <x v="30"/>
            <x v="31"/>
            <x v="32"/>
            <x v="33"/>
            <x v="34"/>
            <x v="66"/>
            <x v="67"/>
            <x v="68"/>
            <x v="69"/>
            <x v="80"/>
            <x v="109"/>
            <x v="129"/>
            <x v="131"/>
          </reference>
        </references>
      </pivotArea>
    </format>
    <format dxfId="466">
      <pivotArea dataOnly="0" labelOnly="1" outline="0" fieldPosition="0">
        <references count="3">
          <reference field="4" count="1" selected="0">
            <x v="14"/>
          </reference>
          <reference field="5" count="1">
            <x v="79"/>
          </reference>
          <reference field="19" count="1" selected="0">
            <x v="21"/>
          </reference>
        </references>
      </pivotArea>
    </format>
    <format dxfId="465">
      <pivotArea dataOnly="0" labelOnly="1" outline="0" fieldPosition="0">
        <references count="3">
          <reference field="4" count="1" selected="0">
            <x v="14"/>
          </reference>
          <reference field="5" count="1">
            <x v="81"/>
          </reference>
          <reference field="19" count="1" selected="0">
            <x v="22"/>
          </reference>
        </references>
      </pivotArea>
    </format>
    <format dxfId="464">
      <pivotArea dataOnly="0" labelOnly="1" outline="0" fieldPosition="0">
        <references count="3">
          <reference field="4" count="1" selected="0">
            <x v="14"/>
          </reference>
          <reference field="5" count="1">
            <x v="35"/>
          </reference>
          <reference field="19" count="1" selected="0">
            <x v="23"/>
          </reference>
        </references>
      </pivotArea>
    </format>
    <format dxfId="463">
      <pivotArea dataOnly="0" labelOnly="1" outline="0" fieldPosition="0">
        <references count="3">
          <reference field="4" count="1" selected="0">
            <x v="14"/>
          </reference>
          <reference field="5" count="1">
            <x v="11"/>
          </reference>
          <reference field="19" count="1" selected="0">
            <x v="24"/>
          </reference>
        </references>
      </pivotArea>
    </format>
    <format dxfId="462">
      <pivotArea dataOnly="0" labelOnly="1" outline="0" fieldPosition="0">
        <references count="3">
          <reference field="4" count="1" selected="0">
            <x v="14"/>
          </reference>
          <reference field="5" count="1">
            <x v="38"/>
          </reference>
          <reference field="19" count="1" selected="0">
            <x v="25"/>
          </reference>
        </references>
      </pivotArea>
    </format>
    <format dxfId="461">
      <pivotArea dataOnly="0" labelOnly="1" outline="0" fieldPosition="0">
        <references count="3">
          <reference field="4" count="1" selected="0">
            <x v="14"/>
          </reference>
          <reference field="5" count="1">
            <x v="80"/>
          </reference>
          <reference field="19" count="1" selected="0">
            <x v="26"/>
          </reference>
        </references>
      </pivotArea>
    </format>
    <format dxfId="460">
      <pivotArea dataOnly="0" labelOnly="1" outline="0" fieldPosition="0">
        <references count="3">
          <reference field="4" count="1" selected="0">
            <x v="14"/>
          </reference>
          <reference field="5" count="1">
            <x v="37"/>
          </reference>
          <reference field="19" count="1" selected="0">
            <x v="27"/>
          </reference>
        </references>
      </pivotArea>
    </format>
    <format dxfId="459">
      <pivotArea dataOnly="0" labelOnly="1" outline="0" fieldPosition="0">
        <references count="3">
          <reference field="4" count="1" selected="0">
            <x v="14"/>
          </reference>
          <reference field="5" count="1">
            <x v="78"/>
          </reference>
          <reference field="19" count="1" selected="0">
            <x v="28"/>
          </reference>
        </references>
      </pivotArea>
    </format>
    <format dxfId="458">
      <pivotArea dataOnly="0" labelOnly="1" outline="0" fieldPosition="0">
        <references count="3">
          <reference field="4" count="1" selected="0">
            <x v="14"/>
          </reference>
          <reference field="5" count="1">
            <x v="100"/>
          </reference>
          <reference field="19" count="1" selected="0">
            <x v="29"/>
          </reference>
        </references>
      </pivotArea>
    </format>
    <format dxfId="457">
      <pivotArea dataOnly="0" labelOnly="1" outline="0" fieldPosition="0">
        <references count="3">
          <reference field="4" count="1" selected="0">
            <x v="14"/>
          </reference>
          <reference field="5" count="1">
            <x v="98"/>
          </reference>
          <reference field="19" count="1" selected="0">
            <x v="30"/>
          </reference>
        </references>
      </pivotArea>
    </format>
    <format dxfId="456">
      <pivotArea dataOnly="0" labelOnly="1" outline="0" fieldPosition="0">
        <references count="3">
          <reference field="4" count="1" selected="0">
            <x v="14"/>
          </reference>
          <reference field="5" count="1">
            <x v="99"/>
          </reference>
          <reference field="19" count="1" selected="0">
            <x v="31"/>
          </reference>
        </references>
      </pivotArea>
    </format>
    <format dxfId="455">
      <pivotArea dataOnly="0" labelOnly="1" outline="0" fieldPosition="0">
        <references count="3">
          <reference field="4" count="1" selected="0">
            <x v="14"/>
          </reference>
          <reference field="5" count="1">
            <x v="40"/>
          </reference>
          <reference field="19" count="1" selected="0">
            <x v="32"/>
          </reference>
        </references>
      </pivotArea>
    </format>
    <format dxfId="454">
      <pivotArea dataOnly="0" labelOnly="1" outline="0" fieldPosition="0">
        <references count="3">
          <reference field="4" count="1" selected="0">
            <x v="14"/>
          </reference>
          <reference field="5" count="1">
            <x v="39"/>
          </reference>
          <reference field="19" count="1" selected="0">
            <x v="33"/>
          </reference>
        </references>
      </pivotArea>
    </format>
    <format dxfId="453">
      <pivotArea dataOnly="0" labelOnly="1" outline="0" fieldPosition="0">
        <references count="3">
          <reference field="4" count="1" selected="0">
            <x v="14"/>
          </reference>
          <reference field="5" count="1">
            <x v="88"/>
          </reference>
          <reference field="19" count="1" selected="0">
            <x v="34"/>
          </reference>
        </references>
      </pivotArea>
    </format>
    <format dxfId="452">
      <pivotArea dataOnly="0" labelOnly="1" outline="0" fieldPosition="0">
        <references count="3">
          <reference field="4" count="1" selected="0">
            <x v="14"/>
          </reference>
          <reference field="5" count="1">
            <x v="4"/>
          </reference>
          <reference field="19" count="1" selected="0">
            <x v="66"/>
          </reference>
        </references>
      </pivotArea>
    </format>
    <format dxfId="451">
      <pivotArea dataOnly="0" labelOnly="1" outline="0" fieldPosition="0">
        <references count="3">
          <reference field="4" count="1" selected="0">
            <x v="14"/>
          </reference>
          <reference field="5" count="1">
            <x v="12"/>
          </reference>
          <reference field="19" count="1" selected="0">
            <x v="67"/>
          </reference>
        </references>
      </pivotArea>
    </format>
    <format dxfId="450">
      <pivotArea dataOnly="0" labelOnly="1" outline="0" fieldPosition="0">
        <references count="3">
          <reference field="4" count="1" selected="0">
            <x v="14"/>
          </reference>
          <reference field="5" count="1">
            <x v="103"/>
          </reference>
          <reference field="19" count="1" selected="0">
            <x v="68"/>
          </reference>
        </references>
      </pivotArea>
    </format>
    <format dxfId="449">
      <pivotArea dataOnly="0" labelOnly="1" outline="0" fieldPosition="0">
        <references count="3">
          <reference field="4" count="1" selected="0">
            <x v="14"/>
          </reference>
          <reference field="5" count="1">
            <x v="36"/>
          </reference>
          <reference field="19" count="1" selected="0">
            <x v="69"/>
          </reference>
        </references>
      </pivotArea>
    </format>
    <format dxfId="448">
      <pivotArea dataOnly="0" labelOnly="1" outline="0" fieldPosition="0">
        <references count="3">
          <reference field="4" count="1" selected="0">
            <x v="14"/>
          </reference>
          <reference field="5" count="1">
            <x v="77"/>
          </reference>
          <reference field="19" count="1" selected="0">
            <x v="80"/>
          </reference>
        </references>
      </pivotArea>
    </format>
    <format dxfId="447">
      <pivotArea dataOnly="0" labelOnly="1" outline="0" fieldPosition="0">
        <references count="3">
          <reference field="4" count="1" selected="0">
            <x v="14"/>
          </reference>
          <reference field="5" count="1">
            <x v="110"/>
          </reference>
          <reference field="19" count="1" selected="0">
            <x v="109"/>
          </reference>
        </references>
      </pivotArea>
    </format>
    <format dxfId="446">
      <pivotArea dataOnly="0" labelOnly="1" outline="0" fieldPosition="0">
        <references count="3">
          <reference field="4" count="1" selected="0">
            <x v="14"/>
          </reference>
          <reference field="5" count="1">
            <x v="130"/>
          </reference>
          <reference field="19" count="1" selected="0">
            <x v="129"/>
          </reference>
        </references>
      </pivotArea>
    </format>
    <format dxfId="445">
      <pivotArea dataOnly="0" labelOnly="1" outline="0" fieldPosition="0">
        <references count="3">
          <reference field="4" count="1" selected="0">
            <x v="14"/>
          </reference>
          <reference field="5" count="1">
            <x v="132"/>
          </reference>
          <reference field="19" count="1" selected="0">
            <x v="131"/>
          </reference>
        </references>
      </pivotArea>
    </format>
    <format dxfId="444">
      <pivotArea outline="0" collapsedLevelsAreSubtotals="1" fieldPosition="0">
        <references count="3">
          <reference field="4" count="1" selected="0">
            <x v="15"/>
          </reference>
          <reference field="5" count="1" selected="0">
            <x v="116"/>
          </reference>
          <reference field="19" count="1" selected="0">
            <x v="0"/>
          </reference>
        </references>
      </pivotArea>
    </format>
    <format dxfId="443">
      <pivotArea dataOnly="0" labelOnly="1" outline="0" fieldPosition="0">
        <references count="1">
          <reference field="4" count="1">
            <x v="15"/>
          </reference>
        </references>
      </pivotArea>
    </format>
    <format dxfId="442">
      <pivotArea dataOnly="0" labelOnly="1" outline="0" fieldPosition="0">
        <references count="2">
          <reference field="4" count="1" selected="0">
            <x v="15"/>
          </reference>
          <reference field="19" count="1">
            <x v="0"/>
          </reference>
        </references>
      </pivotArea>
    </format>
    <format dxfId="441">
      <pivotArea dataOnly="0" labelOnly="1" outline="0" fieldPosition="0">
        <references count="3">
          <reference field="4" count="1" selected="0">
            <x v="15"/>
          </reference>
          <reference field="5" count="1">
            <x v="116"/>
          </reference>
          <reference field="19" count="1" selected="0">
            <x v="0"/>
          </reference>
        </references>
      </pivotArea>
    </format>
    <format dxfId="440">
      <pivotArea grandRow="1" outline="0" collapsedLevelsAreSubtotals="1" fieldPosition="0"/>
    </format>
    <format dxfId="439">
      <pivotArea dataOnly="0" labelOnly="1" grandRow="1" outline="0" fieldPosition="0"/>
    </format>
    <format dxfId="438">
      <pivotArea type="all" dataOnly="0" outline="0" fieldPosition="0"/>
    </format>
    <format dxfId="437">
      <pivotArea dataOnly="0" labelOnly="1" outline="0" fieldPosition="0">
        <references count="1">
          <reference field="4" count="0"/>
        </references>
      </pivotArea>
    </format>
    <format dxfId="436">
      <pivotArea dataOnly="0" labelOnly="1" grandRow="1" outline="0" offset="A256" fieldPosition="0"/>
    </format>
    <format dxfId="435">
      <pivotArea field="5" type="button" dataOnly="0" labelOnly="1" outline="0" axis="axisRow" fieldPosition="2"/>
    </format>
    <format dxfId="434">
      <pivotArea dataOnly="0" labelOnly="1" grandRow="1" outline="0" offset="IV256" fieldPosition="0"/>
    </format>
    <format dxfId="433">
      <pivotArea dataOnly="0" labelOnly="1" outline="0" fieldPosition="0">
        <references count="3">
          <reference field="4" count="1" selected="0">
            <x v="0"/>
          </reference>
          <reference field="5" count="1">
            <x v="83"/>
          </reference>
          <reference field="19" count="1" selected="0">
            <x v="36"/>
          </reference>
        </references>
      </pivotArea>
    </format>
    <format dxfId="432">
      <pivotArea dataOnly="0" labelOnly="1" outline="0" fieldPosition="0">
        <references count="3">
          <reference field="4" count="1" selected="0">
            <x v="0"/>
          </reference>
          <reference field="5" count="1">
            <x v="30"/>
          </reference>
          <reference field="19" count="1" selected="0">
            <x v="37"/>
          </reference>
        </references>
      </pivotArea>
    </format>
    <format dxfId="431">
      <pivotArea dataOnly="0" labelOnly="1" outline="0" fieldPosition="0">
        <references count="3">
          <reference field="4" count="1" selected="0">
            <x v="0"/>
          </reference>
          <reference field="5" count="1">
            <x v="1"/>
          </reference>
          <reference field="19" count="1" selected="0">
            <x v="38"/>
          </reference>
        </references>
      </pivotArea>
    </format>
    <format dxfId="430">
      <pivotArea dataOnly="0" labelOnly="1" outline="0" fieldPosition="0">
        <references count="3">
          <reference field="4" count="1" selected="0">
            <x v="0"/>
          </reference>
          <reference field="5" count="1">
            <x v="16"/>
          </reference>
          <reference field="19" count="1" selected="0">
            <x v="39"/>
          </reference>
        </references>
      </pivotArea>
    </format>
    <format dxfId="429">
      <pivotArea dataOnly="0" labelOnly="1" outline="0" fieldPosition="0">
        <references count="3">
          <reference field="4" count="1" selected="0">
            <x v="0"/>
          </reference>
          <reference field="5" count="1">
            <x v="105"/>
          </reference>
          <reference field="19" count="1" selected="0">
            <x v="40"/>
          </reference>
        </references>
      </pivotArea>
    </format>
    <format dxfId="428">
      <pivotArea dataOnly="0" labelOnly="1" outline="0" fieldPosition="0">
        <references count="3">
          <reference field="4" count="1" selected="0">
            <x v="0"/>
          </reference>
          <reference field="5" count="1">
            <x v="65"/>
          </reference>
          <reference field="19" count="1" selected="0">
            <x v="41"/>
          </reference>
        </references>
      </pivotArea>
    </format>
    <format dxfId="427">
      <pivotArea dataOnly="0" labelOnly="1" outline="0" fieldPosition="0">
        <references count="3">
          <reference field="4" count="1" selected="0">
            <x v="0"/>
          </reference>
          <reference field="5" count="1">
            <x v="93"/>
          </reference>
          <reference field="19" count="1" selected="0">
            <x v="42"/>
          </reference>
        </references>
      </pivotArea>
    </format>
    <format dxfId="426">
      <pivotArea dataOnly="0" labelOnly="1" outline="0" fieldPosition="0">
        <references count="3">
          <reference field="4" count="1" selected="0">
            <x v="0"/>
          </reference>
          <reference field="5" count="1">
            <x v="76"/>
          </reference>
          <reference field="19" count="1" selected="0">
            <x v="92"/>
          </reference>
        </references>
      </pivotArea>
    </format>
    <format dxfId="425">
      <pivotArea dataOnly="0" labelOnly="1" outline="0" fieldPosition="0">
        <references count="3">
          <reference field="4" count="1" selected="0">
            <x v="0"/>
          </reference>
          <reference field="5" count="1">
            <x v="111"/>
          </reference>
          <reference field="19" count="1" selected="0">
            <x v="110"/>
          </reference>
        </references>
      </pivotArea>
    </format>
    <format dxfId="424">
      <pivotArea dataOnly="0" labelOnly="1" outline="0" fieldPosition="0">
        <references count="3">
          <reference field="4" count="1" selected="0">
            <x v="0"/>
          </reference>
          <reference field="5" count="1">
            <x v="114"/>
          </reference>
          <reference field="19" count="1" selected="0">
            <x v="113"/>
          </reference>
        </references>
      </pivotArea>
    </format>
    <format dxfId="423">
      <pivotArea dataOnly="0" labelOnly="1" outline="0" fieldPosition="0">
        <references count="3">
          <reference field="4" count="1" selected="0">
            <x v="1"/>
          </reference>
          <reference field="5" count="1">
            <x v="6"/>
          </reference>
          <reference field="19" count="1" selected="0">
            <x v="35"/>
          </reference>
        </references>
      </pivotArea>
    </format>
    <format dxfId="422">
      <pivotArea dataOnly="0" labelOnly="1" outline="0" fieldPosition="0">
        <references count="3">
          <reference field="4" count="1" selected="0">
            <x v="1"/>
          </reference>
          <reference field="5" count="1">
            <x v="28"/>
          </reference>
          <reference field="19" count="1" selected="0">
            <x v="93"/>
          </reference>
        </references>
      </pivotArea>
    </format>
    <format dxfId="421">
      <pivotArea dataOnly="0" labelOnly="1" outline="0" fieldPosition="0">
        <references count="3">
          <reference field="4" count="1" selected="0">
            <x v="1"/>
          </reference>
          <reference field="5" count="1">
            <x v="117"/>
          </reference>
          <reference field="19" count="1" selected="0">
            <x v="115"/>
          </reference>
        </references>
      </pivotArea>
    </format>
    <format dxfId="420">
      <pivotArea dataOnly="0" labelOnly="1" outline="0" fieldPosition="0">
        <references count="3">
          <reference field="4" count="1" selected="0">
            <x v="2"/>
          </reference>
          <reference field="5" count="2">
            <x v="102"/>
            <x v="116"/>
          </reference>
          <reference field="19" count="1" selected="0">
            <x v="0"/>
          </reference>
        </references>
      </pivotArea>
    </format>
    <format dxfId="419">
      <pivotArea dataOnly="0" labelOnly="1" outline="0" fieldPosition="0">
        <references count="3">
          <reference field="4" count="1" selected="0">
            <x v="2"/>
          </reference>
          <reference field="5" count="1">
            <x v="53"/>
          </reference>
          <reference field="19" count="1" selected="0">
            <x v="61"/>
          </reference>
        </references>
      </pivotArea>
    </format>
    <format dxfId="418">
      <pivotArea dataOnly="0" labelOnly="1" outline="0" fieldPosition="0">
        <references count="3">
          <reference field="4" count="1" selected="0">
            <x v="2"/>
          </reference>
          <reference field="5" count="1">
            <x v="66"/>
          </reference>
          <reference field="19" count="1" selected="0">
            <x v="63"/>
          </reference>
        </references>
      </pivotArea>
    </format>
    <format dxfId="417">
      <pivotArea dataOnly="0" labelOnly="1" outline="0" fieldPosition="0">
        <references count="3">
          <reference field="4" count="1" selected="0">
            <x v="2"/>
          </reference>
          <reference field="5" count="1">
            <x v="106"/>
          </reference>
          <reference field="19" count="1" selected="0">
            <x v="64"/>
          </reference>
        </references>
      </pivotArea>
    </format>
    <format dxfId="416">
      <pivotArea dataOnly="0" labelOnly="1" outline="0" fieldPosition="0">
        <references count="3">
          <reference field="4" count="1" selected="0">
            <x v="2"/>
          </reference>
          <reference field="5" count="1">
            <x v="5"/>
          </reference>
          <reference field="19" count="1" selected="0">
            <x v="65"/>
          </reference>
        </references>
      </pivotArea>
    </format>
    <format dxfId="415">
      <pivotArea dataOnly="0" labelOnly="1" outline="0" fieldPosition="0">
        <references count="3">
          <reference field="4" count="1" selected="0">
            <x v="2"/>
          </reference>
          <reference field="5" count="1">
            <x v="3"/>
          </reference>
          <reference field="19" count="1" selected="0">
            <x v="82"/>
          </reference>
        </references>
      </pivotArea>
    </format>
    <format dxfId="414">
      <pivotArea dataOnly="0" labelOnly="1" outline="0" fieldPosition="0">
        <references count="3">
          <reference field="4" count="1" selected="0">
            <x v="2"/>
          </reference>
          <reference field="5" count="1">
            <x v="7"/>
          </reference>
          <reference field="19" count="1" selected="0">
            <x v="83"/>
          </reference>
        </references>
      </pivotArea>
    </format>
    <format dxfId="413">
      <pivotArea dataOnly="0" labelOnly="1" outline="0" fieldPosition="0">
        <references count="3">
          <reference field="4" count="1" selected="0">
            <x v="2"/>
          </reference>
          <reference field="5" count="1">
            <x v="2"/>
          </reference>
          <reference field="19" count="1" selected="0">
            <x v="84"/>
          </reference>
        </references>
      </pivotArea>
    </format>
    <format dxfId="412">
      <pivotArea dataOnly="0" labelOnly="1" outline="0" fieldPosition="0">
        <references count="3">
          <reference field="4" count="1" selected="0">
            <x v="2"/>
          </reference>
          <reference field="5" count="1">
            <x v="0"/>
          </reference>
          <reference field="19" count="1" selected="0">
            <x v="85"/>
          </reference>
        </references>
      </pivotArea>
    </format>
    <format dxfId="411">
      <pivotArea dataOnly="0" labelOnly="1" outline="0" fieldPosition="0">
        <references count="3">
          <reference field="4" count="1" selected="0">
            <x v="2"/>
          </reference>
          <reference field="5" count="1">
            <x v="29"/>
          </reference>
          <reference field="19" count="1" selected="0">
            <x v="86"/>
          </reference>
        </references>
      </pivotArea>
    </format>
    <format dxfId="410">
      <pivotArea dataOnly="0" labelOnly="1" outline="0" fieldPosition="0">
        <references count="3">
          <reference field="4" count="1" selected="0">
            <x v="2"/>
          </reference>
          <reference field="5" count="1">
            <x v="82"/>
          </reference>
          <reference field="19" count="1" selected="0">
            <x v="87"/>
          </reference>
        </references>
      </pivotArea>
    </format>
    <format dxfId="409">
      <pivotArea dataOnly="0" labelOnly="1" outline="0" fieldPosition="0">
        <references count="3">
          <reference field="4" count="1" selected="0">
            <x v="2"/>
          </reference>
          <reference field="5" count="1">
            <x v="85"/>
          </reference>
          <reference field="19" count="1" selected="0">
            <x v="88"/>
          </reference>
        </references>
      </pivotArea>
    </format>
    <format dxfId="408">
      <pivotArea dataOnly="0" labelOnly="1" outline="0" fieldPosition="0">
        <references count="3">
          <reference field="4" count="1" selected="0">
            <x v="2"/>
          </reference>
          <reference field="5" count="1">
            <x v="101"/>
          </reference>
          <reference field="19" count="1" selected="0">
            <x v="89"/>
          </reference>
        </references>
      </pivotArea>
    </format>
    <format dxfId="407">
      <pivotArea dataOnly="0" labelOnly="1" outline="0" fieldPosition="0">
        <references count="3">
          <reference field="4" count="1" selected="0">
            <x v="2"/>
          </reference>
          <reference field="5" count="1">
            <x v="13"/>
          </reference>
          <reference field="19" count="1" selected="0">
            <x v="90"/>
          </reference>
        </references>
      </pivotArea>
    </format>
    <format dxfId="406">
      <pivotArea dataOnly="0" labelOnly="1" outline="0" fieldPosition="0">
        <references count="3">
          <reference field="4" count="1" selected="0">
            <x v="2"/>
          </reference>
          <reference field="5" count="1">
            <x v="62"/>
          </reference>
          <reference field="19" count="1" selected="0">
            <x v="91"/>
          </reference>
        </references>
      </pivotArea>
    </format>
    <format dxfId="405">
      <pivotArea dataOnly="0" labelOnly="1" outline="0" fieldPosition="0">
        <references count="3">
          <reference field="4" count="1" selected="0">
            <x v="2"/>
          </reference>
          <reference field="5" count="1">
            <x v="113"/>
          </reference>
          <reference field="19" count="1" selected="0">
            <x v="112"/>
          </reference>
        </references>
      </pivotArea>
    </format>
    <format dxfId="404">
      <pivotArea dataOnly="0" labelOnly="1" outline="0" fieldPosition="0">
        <references count="3">
          <reference field="4" count="1" selected="0">
            <x v="2"/>
          </reference>
          <reference field="5" count="1">
            <x v="121"/>
          </reference>
          <reference field="19" count="1" selected="0">
            <x v="119"/>
          </reference>
        </references>
      </pivotArea>
    </format>
    <format dxfId="403">
      <pivotArea dataOnly="0" labelOnly="1" outline="0" fieldPosition="0">
        <references count="3">
          <reference field="4" count="1" selected="0">
            <x v="2"/>
          </reference>
          <reference field="5" count="1">
            <x v="122"/>
          </reference>
          <reference field="19" count="1" selected="0">
            <x v="120"/>
          </reference>
        </references>
      </pivotArea>
    </format>
    <format dxfId="402">
      <pivotArea dataOnly="0" labelOnly="1" outline="0" fieldPosition="0">
        <references count="3">
          <reference field="4" count="1" selected="0">
            <x v="3"/>
          </reference>
          <reference field="5" count="1">
            <x v="60"/>
          </reference>
          <reference field="19" count="1" selected="0">
            <x v="100"/>
          </reference>
        </references>
      </pivotArea>
    </format>
    <format dxfId="401">
      <pivotArea dataOnly="0" labelOnly="1" outline="0" fieldPosition="0">
        <references count="3">
          <reference field="4" count="1" selected="0">
            <x v="3"/>
          </reference>
          <reference field="5" count="1">
            <x v="20"/>
          </reference>
          <reference field="19" count="1" selected="0">
            <x v="104"/>
          </reference>
        </references>
      </pivotArea>
    </format>
    <format dxfId="400">
      <pivotArea dataOnly="0" labelOnly="1" outline="0" fieldPosition="0">
        <references count="3">
          <reference field="4" count="1" selected="0">
            <x v="3"/>
          </reference>
          <reference field="5" count="1">
            <x v="21"/>
          </reference>
          <reference field="19" count="1" selected="0">
            <x v="105"/>
          </reference>
        </references>
      </pivotArea>
    </format>
    <format dxfId="399">
      <pivotArea dataOnly="0" labelOnly="1" outline="0" fieldPosition="0">
        <references count="3">
          <reference field="4" count="1" selected="0">
            <x v="3"/>
          </reference>
          <reference field="5" count="1">
            <x v="119"/>
          </reference>
          <reference field="19" count="1" selected="0">
            <x v="117"/>
          </reference>
        </references>
      </pivotArea>
    </format>
    <format dxfId="398">
      <pivotArea dataOnly="0" labelOnly="1" outline="0" fieldPosition="0">
        <references count="3">
          <reference field="4" count="1" selected="0">
            <x v="3"/>
          </reference>
          <reference field="5" count="1">
            <x v="124"/>
          </reference>
          <reference field="19" count="1" selected="0">
            <x v="122"/>
          </reference>
        </references>
      </pivotArea>
    </format>
    <format dxfId="397">
      <pivotArea dataOnly="0" labelOnly="1" outline="0" fieldPosition="0">
        <references count="3">
          <reference field="4" count="1" selected="0">
            <x v="3"/>
          </reference>
          <reference field="5" count="1">
            <x v="129"/>
          </reference>
          <reference field="19" count="1" selected="0">
            <x v="127"/>
          </reference>
        </references>
      </pivotArea>
    </format>
    <format dxfId="396">
      <pivotArea dataOnly="0" labelOnly="1" outline="0" fieldPosition="0">
        <references count="3">
          <reference field="4" count="1" selected="0">
            <x v="3"/>
          </reference>
          <reference field="5" count="1">
            <x v="133"/>
          </reference>
          <reference field="19" count="1" selected="0">
            <x v="128"/>
          </reference>
        </references>
      </pivotArea>
    </format>
    <format dxfId="395">
      <pivotArea dataOnly="0" labelOnly="1" outline="0" fieldPosition="0">
        <references count="3">
          <reference field="4" count="1" selected="0">
            <x v="4"/>
          </reference>
          <reference field="5" count="1">
            <x v="49"/>
          </reference>
          <reference field="19" count="1" selected="0">
            <x v="48"/>
          </reference>
        </references>
      </pivotArea>
    </format>
    <format dxfId="394">
      <pivotArea dataOnly="0" labelOnly="1" outline="0" fieldPosition="0">
        <references count="3">
          <reference field="4" count="1" selected="0">
            <x v="4"/>
          </reference>
          <reference field="5" count="1">
            <x v="25"/>
          </reference>
          <reference field="19" count="1" selected="0">
            <x v="74"/>
          </reference>
        </references>
      </pivotArea>
    </format>
    <format dxfId="393">
      <pivotArea dataOnly="0" labelOnly="1" outline="0" fieldPosition="0">
        <references count="3">
          <reference field="4" count="1" selected="0">
            <x v="4"/>
          </reference>
          <reference field="5" count="1">
            <x v="45"/>
          </reference>
          <reference field="19" count="1" selected="0">
            <x v="76"/>
          </reference>
        </references>
      </pivotArea>
    </format>
    <format dxfId="392">
      <pivotArea dataOnly="0" labelOnly="1" outline="0" fieldPosition="0">
        <references count="3">
          <reference field="4" count="1" selected="0">
            <x v="4"/>
          </reference>
          <reference field="5" count="1">
            <x v="44"/>
          </reference>
          <reference field="19" count="1" selected="0">
            <x v="77"/>
          </reference>
        </references>
      </pivotArea>
    </format>
    <format dxfId="391">
      <pivotArea dataOnly="0" labelOnly="1" outline="0" fieldPosition="0">
        <references count="3">
          <reference field="4" count="1" selected="0">
            <x v="4"/>
          </reference>
          <reference field="5" count="1">
            <x v="34"/>
          </reference>
          <reference field="19" count="1" selected="0">
            <x v="78"/>
          </reference>
        </references>
      </pivotArea>
    </format>
    <format dxfId="390">
      <pivotArea dataOnly="0" labelOnly="1" outline="0" fieldPosition="0">
        <references count="3">
          <reference field="4" count="1" selected="0">
            <x v="4"/>
          </reference>
          <reference field="5" count="1">
            <x v="107"/>
          </reference>
          <reference field="19" count="1" selected="0">
            <x v="106"/>
          </reference>
        </references>
      </pivotArea>
    </format>
    <format dxfId="389">
      <pivotArea dataOnly="0" labelOnly="1" outline="0" fieldPosition="0">
        <references count="3">
          <reference field="4" count="1" selected="0">
            <x v="4"/>
          </reference>
          <reference field="5" count="1">
            <x v="109"/>
          </reference>
          <reference field="19" count="1" selected="0">
            <x v="108"/>
          </reference>
        </references>
      </pivotArea>
    </format>
    <format dxfId="388">
      <pivotArea dataOnly="0" labelOnly="1" outline="0" fieldPosition="0">
        <references count="3">
          <reference field="4" count="1" selected="0">
            <x v="4"/>
          </reference>
          <reference field="5" count="1">
            <x v="118"/>
          </reference>
          <reference field="19" count="1" selected="0">
            <x v="116"/>
          </reference>
        </references>
      </pivotArea>
    </format>
    <format dxfId="387">
      <pivotArea dataOnly="0" labelOnly="1" outline="0" fieldPosition="0">
        <references count="3">
          <reference field="4" count="1" selected="0">
            <x v="4"/>
          </reference>
          <reference field="5" count="1">
            <x v="120"/>
          </reference>
          <reference field="19" count="1" selected="0">
            <x v="118"/>
          </reference>
        </references>
      </pivotArea>
    </format>
    <format dxfId="386">
      <pivotArea dataOnly="0" labelOnly="1" outline="0" fieldPosition="0">
        <references count="3">
          <reference field="4" count="1" selected="0">
            <x v="5"/>
          </reference>
          <reference field="5" count="1">
            <x v="47"/>
          </reference>
          <reference field="19" count="1" selected="0">
            <x v="101"/>
          </reference>
        </references>
      </pivotArea>
    </format>
    <format dxfId="385">
      <pivotArea dataOnly="0" labelOnly="1" outline="0" fieldPosition="0">
        <references count="3">
          <reference field="4" count="1" selected="0">
            <x v="5"/>
          </reference>
          <reference field="5" count="1">
            <x v="14"/>
          </reference>
          <reference field="19" count="1" selected="0">
            <x v="102"/>
          </reference>
        </references>
      </pivotArea>
    </format>
    <format dxfId="384">
      <pivotArea dataOnly="0" labelOnly="1" outline="0" fieldPosition="0">
        <references count="3">
          <reference field="4" count="1" selected="0">
            <x v="5"/>
          </reference>
          <reference field="5" count="1">
            <x v="134"/>
          </reference>
          <reference field="19" count="1" selected="0">
            <x v="132"/>
          </reference>
        </references>
      </pivotArea>
    </format>
    <format dxfId="383">
      <pivotArea dataOnly="0" labelOnly="1" outline="0" fieldPosition="0">
        <references count="3">
          <reference field="4" count="1" selected="0">
            <x v="6"/>
          </reference>
          <reference field="5" count="1">
            <x v="48"/>
          </reference>
          <reference field="19" count="1" selected="0">
            <x v="56"/>
          </reference>
        </references>
      </pivotArea>
    </format>
    <format dxfId="382">
      <pivotArea dataOnly="0" labelOnly="1" outline="0" fieldPosition="0">
        <references count="3">
          <reference field="4" count="1" selected="0">
            <x v="6"/>
          </reference>
          <reference field="5" count="1">
            <x v="23"/>
          </reference>
          <reference field="19" count="1" selected="0">
            <x v="57"/>
          </reference>
        </references>
      </pivotArea>
    </format>
    <format dxfId="381">
      <pivotArea dataOnly="0" labelOnly="1" outline="0" fieldPosition="0">
        <references count="3">
          <reference field="4" count="1" selected="0">
            <x v="6"/>
          </reference>
          <reference field="5" count="1">
            <x v="67"/>
          </reference>
          <reference field="19" count="1" selected="0">
            <x v="58"/>
          </reference>
        </references>
      </pivotArea>
    </format>
    <format dxfId="380">
      <pivotArea dataOnly="0" labelOnly="1" outline="0" fieldPosition="0">
        <references count="3">
          <reference field="4" count="1" selected="0">
            <x v="7"/>
          </reference>
          <reference field="5" count="1">
            <x v="92"/>
          </reference>
          <reference field="19" count="1" selected="0">
            <x v="59"/>
          </reference>
        </references>
      </pivotArea>
    </format>
    <format dxfId="379">
      <pivotArea dataOnly="0" labelOnly="1" outline="0" fieldPosition="0">
        <references count="3">
          <reference field="4" count="1" selected="0">
            <x v="7"/>
          </reference>
          <reference field="5" count="1">
            <x v="68"/>
          </reference>
          <reference field="19" count="1" selected="0">
            <x v="79"/>
          </reference>
        </references>
      </pivotArea>
    </format>
    <format dxfId="378">
      <pivotArea dataOnly="0" labelOnly="1" outline="0" fieldPosition="0">
        <references count="3">
          <reference field="4" count="1" selected="0">
            <x v="8"/>
          </reference>
          <reference field="5" count="1">
            <x v="54"/>
          </reference>
          <reference field="19" count="1" selected="0">
            <x v="43"/>
          </reference>
        </references>
      </pivotArea>
    </format>
    <format dxfId="377">
      <pivotArea dataOnly="0" labelOnly="1" outline="0" fieldPosition="0">
        <references count="3">
          <reference field="4" count="1" selected="0">
            <x v="8"/>
          </reference>
          <reference field="5" count="1">
            <x v="46"/>
          </reference>
          <reference field="19" count="1" selected="0">
            <x v="45"/>
          </reference>
        </references>
      </pivotArea>
    </format>
    <format dxfId="376">
      <pivotArea dataOnly="0" labelOnly="1" outline="0" fieldPosition="0">
        <references count="3">
          <reference field="4" count="1" selected="0">
            <x v="8"/>
          </reference>
          <reference field="5" count="1">
            <x v="71"/>
          </reference>
          <reference field="19" count="1" selected="0">
            <x v="46"/>
          </reference>
        </references>
      </pivotArea>
    </format>
    <format dxfId="375">
      <pivotArea dataOnly="0" labelOnly="1" outline="0" fieldPosition="0">
        <references count="3">
          <reference field="4" count="1" selected="0">
            <x v="8"/>
          </reference>
          <reference field="5" count="1">
            <x v="42"/>
          </reference>
          <reference field="19" count="1" selected="0">
            <x v="47"/>
          </reference>
        </references>
      </pivotArea>
    </format>
    <format dxfId="374">
      <pivotArea dataOnly="0" labelOnly="1" outline="0" fieldPosition="0">
        <references count="3">
          <reference field="4" count="1" selected="0">
            <x v="8"/>
          </reference>
          <reference field="5" count="1">
            <x v="32"/>
          </reference>
          <reference field="19" count="1" selected="0">
            <x v="51"/>
          </reference>
        </references>
      </pivotArea>
    </format>
    <format dxfId="373">
      <pivotArea dataOnly="0" labelOnly="1" outline="0" fieldPosition="0">
        <references count="3">
          <reference field="4" count="1" selected="0">
            <x v="8"/>
          </reference>
          <reference field="5" count="1">
            <x v="33"/>
          </reference>
          <reference field="19" count="1" selected="0">
            <x v="52"/>
          </reference>
        </references>
      </pivotArea>
    </format>
    <format dxfId="372">
      <pivotArea dataOnly="0" labelOnly="1" outline="0" fieldPosition="0">
        <references count="3">
          <reference field="4" count="1" selected="0">
            <x v="8"/>
          </reference>
          <reference field="5" count="1">
            <x v="31"/>
          </reference>
          <reference field="19" count="1" selected="0">
            <x v="53"/>
          </reference>
        </references>
      </pivotArea>
    </format>
    <format dxfId="371">
      <pivotArea dataOnly="0" labelOnly="1" outline="0" fieldPosition="0">
        <references count="3">
          <reference field="4" count="1" selected="0">
            <x v="8"/>
          </reference>
          <reference field="5" count="1">
            <x v="73"/>
          </reference>
          <reference field="19" count="1" selected="0">
            <x v="54"/>
          </reference>
        </references>
      </pivotArea>
    </format>
    <format dxfId="370">
      <pivotArea dataOnly="0" labelOnly="1" outline="0" fieldPosition="0">
        <references count="3">
          <reference field="4" count="1" selected="0">
            <x v="8"/>
          </reference>
          <reference field="5" count="1">
            <x v="86"/>
          </reference>
          <reference field="19" count="1" selected="0">
            <x v="55"/>
          </reference>
        </references>
      </pivotArea>
    </format>
    <format dxfId="369">
      <pivotArea dataOnly="0" labelOnly="1" outline="0" fieldPosition="0">
        <references count="3">
          <reference field="4" count="1" selected="0">
            <x v="8"/>
          </reference>
          <reference field="5" count="1">
            <x v="19"/>
          </reference>
          <reference field="19" count="1" selected="0">
            <x v="70"/>
          </reference>
        </references>
      </pivotArea>
    </format>
    <format dxfId="368">
      <pivotArea dataOnly="0" labelOnly="1" outline="0" fieldPosition="0">
        <references count="3">
          <reference field="4" count="1" selected="0">
            <x v="8"/>
          </reference>
          <reference field="5" count="1">
            <x v="15"/>
          </reference>
          <reference field="19" count="1" selected="0">
            <x v="71"/>
          </reference>
        </references>
      </pivotArea>
    </format>
    <format dxfId="367">
      <pivotArea dataOnly="0" labelOnly="1" outline="0" fieldPosition="0">
        <references count="3">
          <reference field="4" count="1" selected="0">
            <x v="8"/>
          </reference>
          <reference field="5" count="1">
            <x v="10"/>
          </reference>
          <reference field="19" count="1" selected="0">
            <x v="72"/>
          </reference>
        </references>
      </pivotArea>
    </format>
    <format dxfId="366">
      <pivotArea dataOnly="0" labelOnly="1" outline="0" fieldPosition="0">
        <references count="3">
          <reference field="4" count="1" selected="0">
            <x v="8"/>
          </reference>
          <reference field="5" count="1">
            <x v="75"/>
          </reference>
          <reference field="19" count="1" selected="0">
            <x v="73"/>
          </reference>
        </references>
      </pivotArea>
    </format>
    <format dxfId="365">
      <pivotArea dataOnly="0" labelOnly="1" outline="0" fieldPosition="0">
        <references count="3">
          <reference field="4" count="1" selected="0">
            <x v="8"/>
          </reference>
          <reference field="5" count="1">
            <x v="70"/>
          </reference>
          <reference field="19" count="1" selected="0">
            <x v="75"/>
          </reference>
        </references>
      </pivotArea>
    </format>
    <format dxfId="364">
      <pivotArea dataOnly="0" labelOnly="1" outline="0" fieldPosition="0">
        <references count="3">
          <reference field="4" count="1" selected="0">
            <x v="8"/>
          </reference>
          <reference field="5" count="1">
            <x v="112"/>
          </reference>
          <reference field="19" count="1" selected="0">
            <x v="111"/>
          </reference>
        </references>
      </pivotArea>
    </format>
    <format dxfId="363">
      <pivotArea dataOnly="0" labelOnly="1" outline="0" fieldPosition="0">
        <references count="3">
          <reference field="4" count="1" selected="0">
            <x v="9"/>
          </reference>
          <reference field="5" count="1">
            <x v="56"/>
          </reference>
          <reference field="19" count="1" selected="0">
            <x v="99"/>
          </reference>
        </references>
      </pivotArea>
    </format>
    <format dxfId="362">
      <pivotArea dataOnly="0" labelOnly="1" outline="0" fieldPosition="0">
        <references count="3">
          <reference field="4" count="1" selected="0">
            <x v="9"/>
          </reference>
          <reference field="5" count="1">
            <x v="125"/>
          </reference>
          <reference field="19" count="1" selected="0">
            <x v="123"/>
          </reference>
        </references>
      </pivotArea>
    </format>
    <format dxfId="361">
      <pivotArea dataOnly="0" labelOnly="1" outline="0" fieldPosition="0">
        <references count="3">
          <reference field="4" count="1" selected="0">
            <x v="9"/>
          </reference>
          <reference field="5" count="1">
            <x v="126"/>
          </reference>
          <reference field="19" count="1" selected="0">
            <x v="124"/>
          </reference>
        </references>
      </pivotArea>
    </format>
    <format dxfId="360">
      <pivotArea dataOnly="0" labelOnly="1" outline="0" fieldPosition="0">
        <references count="3">
          <reference field="4" count="1" selected="0">
            <x v="10"/>
          </reference>
          <reference field="5" count="2">
            <x v="84"/>
            <x v="116"/>
          </reference>
          <reference field="19" count="1" selected="0">
            <x v="0"/>
          </reference>
        </references>
      </pivotArea>
    </format>
    <format dxfId="359">
      <pivotArea dataOnly="0" labelOnly="1" outline="0" fieldPosition="0">
        <references count="3">
          <reference field="4" count="1" selected="0">
            <x v="10"/>
          </reference>
          <reference field="5" count="1">
            <x v="94"/>
          </reference>
          <reference field="19" count="1" selected="0">
            <x v="1"/>
          </reference>
        </references>
      </pivotArea>
    </format>
    <format dxfId="358">
      <pivotArea dataOnly="0" labelOnly="1" outline="0" fieldPosition="0">
        <references count="3">
          <reference field="4" count="1" selected="0">
            <x v="10"/>
          </reference>
          <reference field="5" count="1">
            <x v="72"/>
          </reference>
          <reference field="19" count="1" selected="0">
            <x v="2"/>
          </reference>
        </references>
      </pivotArea>
    </format>
    <format dxfId="357">
      <pivotArea dataOnly="0" labelOnly="1" outline="0" fieldPosition="0">
        <references count="3">
          <reference field="4" count="1" selected="0">
            <x v="10"/>
          </reference>
          <reference field="5" count="1">
            <x v="96"/>
          </reference>
          <reference field="19" count="1" selected="0">
            <x v="3"/>
          </reference>
        </references>
      </pivotArea>
    </format>
    <format dxfId="356">
      <pivotArea dataOnly="0" labelOnly="1" outline="0" fieldPosition="0">
        <references count="3">
          <reference field="4" count="1" selected="0">
            <x v="10"/>
          </reference>
          <reference field="5" count="1">
            <x v="95"/>
          </reference>
          <reference field="19" count="1" selected="0">
            <x v="4"/>
          </reference>
        </references>
      </pivotArea>
    </format>
    <format dxfId="355">
      <pivotArea dataOnly="0" labelOnly="1" outline="0" fieldPosition="0">
        <references count="3">
          <reference field="4" count="1" selected="0">
            <x v="10"/>
          </reference>
          <reference field="5" count="1">
            <x v="97"/>
          </reference>
          <reference field="19" count="1" selected="0">
            <x v="5"/>
          </reference>
        </references>
      </pivotArea>
    </format>
    <format dxfId="354">
      <pivotArea dataOnly="0" labelOnly="1" outline="0" fieldPosition="0">
        <references count="3">
          <reference field="4" count="1" selected="0">
            <x v="10"/>
          </reference>
          <reference field="5" count="1">
            <x v="87"/>
          </reference>
          <reference field="19" count="1" selected="0">
            <x v="6"/>
          </reference>
        </references>
      </pivotArea>
    </format>
    <format dxfId="353">
      <pivotArea dataOnly="0" labelOnly="1" outline="0" fieldPosition="0">
        <references count="3">
          <reference field="4" count="1" selected="0">
            <x v="10"/>
          </reference>
          <reference field="5" count="1">
            <x v="43"/>
          </reference>
          <reference field="19" count="1" selected="0">
            <x v="7"/>
          </reference>
        </references>
      </pivotArea>
    </format>
    <format dxfId="352">
      <pivotArea dataOnly="0" labelOnly="1" outline="0" fieldPosition="0">
        <references count="3">
          <reference field="4" count="1" selected="0">
            <x v="10"/>
          </reference>
          <reference field="5" count="1">
            <x v="91"/>
          </reference>
          <reference field="19" count="1" selected="0">
            <x v="8"/>
          </reference>
        </references>
      </pivotArea>
    </format>
    <format dxfId="351">
      <pivotArea dataOnly="0" labelOnly="1" outline="0" fieldPosition="0">
        <references count="3">
          <reference field="4" count="1" selected="0">
            <x v="10"/>
          </reference>
          <reference field="5" count="1">
            <x v="9"/>
          </reference>
          <reference field="19" count="1" selected="0">
            <x v="9"/>
          </reference>
        </references>
      </pivotArea>
    </format>
    <format dxfId="350">
      <pivotArea dataOnly="0" labelOnly="1" outline="0" fieldPosition="0">
        <references count="3">
          <reference field="4" count="1" selected="0">
            <x v="10"/>
          </reference>
          <reference field="5" count="1">
            <x v="8"/>
          </reference>
          <reference field="19" count="1" selected="0">
            <x v="10"/>
          </reference>
        </references>
      </pivotArea>
    </format>
    <format dxfId="349">
      <pivotArea dataOnly="0" labelOnly="1" outline="0" fieldPosition="0">
        <references count="3">
          <reference field="4" count="1" selected="0">
            <x v="10"/>
          </reference>
          <reference field="5" count="1">
            <x v="22"/>
          </reference>
          <reference field="19" count="1" selected="0">
            <x v="11"/>
          </reference>
        </references>
      </pivotArea>
    </format>
    <format dxfId="348">
      <pivotArea dataOnly="0" labelOnly="1" outline="0" fieldPosition="0">
        <references count="3">
          <reference field="4" count="1" selected="0">
            <x v="10"/>
          </reference>
          <reference field="5" count="1">
            <x v="27"/>
          </reference>
          <reference field="19" count="1" selected="0">
            <x v="12"/>
          </reference>
        </references>
      </pivotArea>
    </format>
    <format dxfId="347">
      <pivotArea dataOnly="0" labelOnly="1" outline="0" fieldPosition="0">
        <references count="3">
          <reference field="4" count="1" selected="0">
            <x v="10"/>
          </reference>
          <reference field="5" count="1">
            <x v="26"/>
          </reference>
          <reference field="19" count="1" selected="0">
            <x v="13"/>
          </reference>
        </references>
      </pivotArea>
    </format>
    <format dxfId="346">
      <pivotArea dataOnly="0" labelOnly="1" outline="0" fieldPosition="0">
        <references count="3">
          <reference field="4" count="1" selected="0">
            <x v="10"/>
          </reference>
          <reference field="5" count="1">
            <x v="41"/>
          </reference>
          <reference field="19" count="1" selected="0">
            <x v="14"/>
          </reference>
        </references>
      </pivotArea>
    </format>
    <format dxfId="345">
      <pivotArea dataOnly="0" labelOnly="1" outline="0" fieldPosition="0">
        <references count="3">
          <reference field="4" count="1" selected="0">
            <x v="10"/>
          </reference>
          <reference field="5" count="1">
            <x v="17"/>
          </reference>
          <reference field="19" count="1" selected="0">
            <x v="15"/>
          </reference>
        </references>
      </pivotArea>
    </format>
    <format dxfId="344">
      <pivotArea dataOnly="0" labelOnly="1" outline="0" fieldPosition="0">
        <references count="3">
          <reference field="4" count="1" selected="0">
            <x v="10"/>
          </reference>
          <reference field="5" count="1">
            <x v="18"/>
          </reference>
          <reference field="19" count="1" selected="0">
            <x v="16"/>
          </reference>
        </references>
      </pivotArea>
    </format>
    <format dxfId="343">
      <pivotArea dataOnly="0" labelOnly="1" outline="0" fieldPosition="0">
        <references count="3">
          <reference field="4" count="1" selected="0">
            <x v="10"/>
          </reference>
          <reference field="5" count="1">
            <x v="51"/>
          </reference>
          <reference field="19" count="1" selected="0">
            <x v="17"/>
          </reference>
        </references>
      </pivotArea>
    </format>
    <format dxfId="342">
      <pivotArea dataOnly="0" labelOnly="1" outline="0" fieldPosition="0">
        <references count="3">
          <reference field="4" count="1" selected="0">
            <x v="10"/>
          </reference>
          <reference field="5" count="1">
            <x v="52"/>
          </reference>
          <reference field="19" count="1" selected="0">
            <x v="18"/>
          </reference>
        </references>
      </pivotArea>
    </format>
    <format dxfId="341">
      <pivotArea dataOnly="0" labelOnly="1" outline="0" fieldPosition="0">
        <references count="3">
          <reference field="4" count="1" selected="0">
            <x v="10"/>
          </reference>
          <reference field="5" count="1">
            <x v="104"/>
          </reference>
          <reference field="19" count="1" selected="0">
            <x v="19"/>
          </reference>
        </references>
      </pivotArea>
    </format>
    <format dxfId="340">
      <pivotArea dataOnly="0" labelOnly="1" outline="0" fieldPosition="0">
        <references count="3">
          <reference field="4" count="1" selected="0">
            <x v="10"/>
          </reference>
          <reference field="5" count="1">
            <x v="64"/>
          </reference>
          <reference field="19" count="1" selected="0">
            <x v="20"/>
          </reference>
        </references>
      </pivotArea>
    </format>
    <format dxfId="339">
      <pivotArea dataOnly="0" labelOnly="1" outline="0" fieldPosition="0">
        <references count="3">
          <reference field="4" count="1" selected="0">
            <x v="10"/>
          </reference>
          <reference field="5" count="1">
            <x v="74"/>
          </reference>
          <reference field="19" count="1" selected="0">
            <x v="81"/>
          </reference>
        </references>
      </pivotArea>
    </format>
    <format dxfId="338">
      <pivotArea dataOnly="0" labelOnly="1" outline="0" fieldPosition="0">
        <references count="3">
          <reference field="4" count="1" selected="0">
            <x v="10"/>
          </reference>
          <reference field="5" count="1">
            <x v="131"/>
          </reference>
          <reference field="19" count="1" selected="0">
            <x v="130"/>
          </reference>
        </references>
      </pivotArea>
    </format>
    <format dxfId="337">
      <pivotArea dataOnly="0" labelOnly="1" outline="0" fieldPosition="0">
        <references count="3">
          <reference field="4" count="1" selected="0">
            <x v="11"/>
          </reference>
          <reference field="5" count="1">
            <x v="59"/>
          </reference>
          <reference field="19" count="1" selected="0">
            <x v="97"/>
          </reference>
        </references>
      </pivotArea>
    </format>
    <format dxfId="336">
      <pivotArea dataOnly="0" labelOnly="1" outline="0" fieldPosition="0">
        <references count="3">
          <reference field="4" count="1" selected="0">
            <x v="11"/>
          </reference>
          <reference field="5" count="1">
            <x v="58"/>
          </reference>
          <reference field="19" count="1" selected="0">
            <x v="98"/>
          </reference>
        </references>
      </pivotArea>
    </format>
    <format dxfId="335">
      <pivotArea dataOnly="0" labelOnly="1" outline="0" fieldPosition="0">
        <references count="3">
          <reference field="4" count="1" selected="0">
            <x v="11"/>
          </reference>
          <reference field="5" count="1">
            <x v="127"/>
          </reference>
          <reference field="19" count="1" selected="0">
            <x v="125"/>
          </reference>
        </references>
      </pivotArea>
    </format>
    <format dxfId="334">
      <pivotArea dataOnly="0" labelOnly="1" outline="0" fieldPosition="0">
        <references count="3">
          <reference field="4" count="1" selected="0">
            <x v="11"/>
          </reference>
          <reference field="5" count="1">
            <x v="128"/>
          </reference>
          <reference field="19" count="1" selected="0">
            <x v="126"/>
          </reference>
        </references>
      </pivotArea>
    </format>
    <format dxfId="333">
      <pivotArea dataOnly="0" labelOnly="1" outline="0" fieldPosition="0">
        <references count="3">
          <reference field="4" count="1" selected="0">
            <x v="12"/>
          </reference>
          <reference field="5" count="1">
            <x v="63"/>
          </reference>
          <reference field="19" count="1" selected="0">
            <x v="103"/>
          </reference>
        </references>
      </pivotArea>
    </format>
    <format dxfId="332">
      <pivotArea dataOnly="0" labelOnly="1" outline="0" fieldPosition="0">
        <references count="3">
          <reference field="4" count="1" selected="0">
            <x v="13"/>
          </reference>
          <reference field="5" count="1">
            <x v="89"/>
          </reference>
          <reference field="19" count="1" selected="0">
            <x v="49"/>
          </reference>
        </references>
      </pivotArea>
    </format>
    <format dxfId="331">
      <pivotArea dataOnly="0" labelOnly="1" outline="0" fieldPosition="0">
        <references count="3">
          <reference field="4" count="1" selected="0">
            <x v="13"/>
          </reference>
          <reference field="5" count="1">
            <x v="90"/>
          </reference>
          <reference field="19" count="1" selected="0">
            <x v="50"/>
          </reference>
        </references>
      </pivotArea>
    </format>
    <format dxfId="330">
      <pivotArea dataOnly="0" labelOnly="1" outline="0" fieldPosition="0">
        <references count="3">
          <reference field="4" count="1" selected="0">
            <x v="14"/>
          </reference>
          <reference field="5" count="1">
            <x v="79"/>
          </reference>
          <reference field="19" count="1" selected="0">
            <x v="21"/>
          </reference>
        </references>
      </pivotArea>
    </format>
    <format dxfId="329">
      <pivotArea dataOnly="0" labelOnly="1" outline="0" fieldPosition="0">
        <references count="3">
          <reference field="4" count="1" selected="0">
            <x v="14"/>
          </reference>
          <reference field="5" count="1">
            <x v="81"/>
          </reference>
          <reference field="19" count="1" selected="0">
            <x v="22"/>
          </reference>
        </references>
      </pivotArea>
    </format>
    <format dxfId="328">
      <pivotArea dataOnly="0" labelOnly="1" outline="0" fieldPosition="0">
        <references count="3">
          <reference field="4" count="1" selected="0">
            <x v="14"/>
          </reference>
          <reference field="5" count="1">
            <x v="35"/>
          </reference>
          <reference field="19" count="1" selected="0">
            <x v="23"/>
          </reference>
        </references>
      </pivotArea>
    </format>
    <format dxfId="327">
      <pivotArea dataOnly="0" labelOnly="1" outline="0" fieldPosition="0">
        <references count="3">
          <reference field="4" count="1" selected="0">
            <x v="14"/>
          </reference>
          <reference field="5" count="1">
            <x v="11"/>
          </reference>
          <reference field="19" count="1" selected="0">
            <x v="24"/>
          </reference>
        </references>
      </pivotArea>
    </format>
    <format dxfId="326">
      <pivotArea dataOnly="0" labelOnly="1" outline="0" fieldPosition="0">
        <references count="3">
          <reference field="4" count="1" selected="0">
            <x v="14"/>
          </reference>
          <reference field="5" count="1">
            <x v="38"/>
          </reference>
          <reference field="19" count="1" selected="0">
            <x v="25"/>
          </reference>
        </references>
      </pivotArea>
    </format>
    <format dxfId="325">
      <pivotArea dataOnly="0" labelOnly="1" outline="0" fieldPosition="0">
        <references count="3">
          <reference field="4" count="1" selected="0">
            <x v="14"/>
          </reference>
          <reference field="5" count="1">
            <x v="80"/>
          </reference>
          <reference field="19" count="1" selected="0">
            <x v="26"/>
          </reference>
        </references>
      </pivotArea>
    </format>
    <format dxfId="324">
      <pivotArea dataOnly="0" labelOnly="1" outline="0" fieldPosition="0">
        <references count="3">
          <reference field="4" count="1" selected="0">
            <x v="14"/>
          </reference>
          <reference field="5" count="1">
            <x v="37"/>
          </reference>
          <reference field="19" count="1" selected="0">
            <x v="27"/>
          </reference>
        </references>
      </pivotArea>
    </format>
    <format dxfId="323">
      <pivotArea dataOnly="0" labelOnly="1" outline="0" fieldPosition="0">
        <references count="3">
          <reference field="4" count="1" selected="0">
            <x v="14"/>
          </reference>
          <reference field="5" count="1">
            <x v="78"/>
          </reference>
          <reference field="19" count="1" selected="0">
            <x v="28"/>
          </reference>
        </references>
      </pivotArea>
    </format>
    <format dxfId="322">
      <pivotArea dataOnly="0" labelOnly="1" outline="0" fieldPosition="0">
        <references count="3">
          <reference field="4" count="1" selected="0">
            <x v="14"/>
          </reference>
          <reference field="5" count="1">
            <x v="100"/>
          </reference>
          <reference field="19" count="1" selected="0">
            <x v="29"/>
          </reference>
        </references>
      </pivotArea>
    </format>
    <format dxfId="321">
      <pivotArea dataOnly="0" labelOnly="1" outline="0" fieldPosition="0">
        <references count="3">
          <reference field="4" count="1" selected="0">
            <x v="14"/>
          </reference>
          <reference field="5" count="1">
            <x v="98"/>
          </reference>
          <reference field="19" count="1" selected="0">
            <x v="30"/>
          </reference>
        </references>
      </pivotArea>
    </format>
    <format dxfId="320">
      <pivotArea dataOnly="0" labelOnly="1" outline="0" fieldPosition="0">
        <references count="3">
          <reference field="4" count="1" selected="0">
            <x v="14"/>
          </reference>
          <reference field="5" count="1">
            <x v="99"/>
          </reference>
          <reference field="19" count="1" selected="0">
            <x v="31"/>
          </reference>
        </references>
      </pivotArea>
    </format>
    <format dxfId="319">
      <pivotArea dataOnly="0" labelOnly="1" outline="0" fieldPosition="0">
        <references count="3">
          <reference field="4" count="1" selected="0">
            <x v="14"/>
          </reference>
          <reference field="5" count="1">
            <x v="40"/>
          </reference>
          <reference field="19" count="1" selected="0">
            <x v="32"/>
          </reference>
        </references>
      </pivotArea>
    </format>
    <format dxfId="318">
      <pivotArea dataOnly="0" labelOnly="1" outline="0" fieldPosition="0">
        <references count="3">
          <reference field="4" count="1" selected="0">
            <x v="14"/>
          </reference>
          <reference field="5" count="1">
            <x v="39"/>
          </reference>
          <reference field="19" count="1" selected="0">
            <x v="33"/>
          </reference>
        </references>
      </pivotArea>
    </format>
    <format dxfId="317">
      <pivotArea dataOnly="0" labelOnly="1" outline="0" fieldPosition="0">
        <references count="3">
          <reference field="4" count="1" selected="0">
            <x v="14"/>
          </reference>
          <reference field="5" count="1">
            <x v="88"/>
          </reference>
          <reference field="19" count="1" selected="0">
            <x v="34"/>
          </reference>
        </references>
      </pivotArea>
    </format>
    <format dxfId="316">
      <pivotArea dataOnly="0" labelOnly="1" outline="0" fieldPosition="0">
        <references count="3">
          <reference field="4" count="1" selected="0">
            <x v="14"/>
          </reference>
          <reference field="5" count="1">
            <x v="4"/>
          </reference>
          <reference field="19" count="1" selected="0">
            <x v="66"/>
          </reference>
        </references>
      </pivotArea>
    </format>
    <format dxfId="315">
      <pivotArea dataOnly="0" labelOnly="1" outline="0" fieldPosition="0">
        <references count="3">
          <reference field="4" count="1" selected="0">
            <x v="14"/>
          </reference>
          <reference field="5" count="1">
            <x v="12"/>
          </reference>
          <reference field="19" count="1" selected="0">
            <x v="67"/>
          </reference>
        </references>
      </pivotArea>
    </format>
    <format dxfId="314">
      <pivotArea dataOnly="0" labelOnly="1" outline="0" fieldPosition="0">
        <references count="3">
          <reference field="4" count="1" selected="0">
            <x v="14"/>
          </reference>
          <reference field="5" count="1">
            <x v="103"/>
          </reference>
          <reference field="19" count="1" selected="0">
            <x v="68"/>
          </reference>
        </references>
      </pivotArea>
    </format>
    <format dxfId="313">
      <pivotArea dataOnly="0" labelOnly="1" outline="0" fieldPosition="0">
        <references count="3">
          <reference field="4" count="1" selected="0">
            <x v="14"/>
          </reference>
          <reference field="5" count="1">
            <x v="36"/>
          </reference>
          <reference field="19" count="1" selected="0">
            <x v="69"/>
          </reference>
        </references>
      </pivotArea>
    </format>
    <format dxfId="312">
      <pivotArea dataOnly="0" labelOnly="1" outline="0" fieldPosition="0">
        <references count="3">
          <reference field="4" count="1" selected="0">
            <x v="14"/>
          </reference>
          <reference field="5" count="1">
            <x v="77"/>
          </reference>
          <reference field="19" count="1" selected="0">
            <x v="80"/>
          </reference>
        </references>
      </pivotArea>
    </format>
    <format dxfId="311">
      <pivotArea dataOnly="0" labelOnly="1" outline="0" fieldPosition="0">
        <references count="3">
          <reference field="4" count="1" selected="0">
            <x v="14"/>
          </reference>
          <reference field="5" count="1">
            <x v="110"/>
          </reference>
          <reference field="19" count="1" selected="0">
            <x v="109"/>
          </reference>
        </references>
      </pivotArea>
    </format>
    <format dxfId="310">
      <pivotArea dataOnly="0" labelOnly="1" outline="0" fieldPosition="0">
        <references count="3">
          <reference field="4" count="1" selected="0">
            <x v="14"/>
          </reference>
          <reference field="5" count="1">
            <x v="130"/>
          </reference>
          <reference field="19" count="1" selected="0">
            <x v="129"/>
          </reference>
        </references>
      </pivotArea>
    </format>
    <format dxfId="309">
      <pivotArea dataOnly="0" labelOnly="1" outline="0" fieldPosition="0">
        <references count="3">
          <reference field="4" count="1" selected="0">
            <x v="14"/>
          </reference>
          <reference field="5" count="1">
            <x v="132"/>
          </reference>
          <reference field="19" count="1" selected="0">
            <x v="131"/>
          </reference>
        </references>
      </pivotArea>
    </format>
    <format dxfId="308">
      <pivotArea dataOnly="0" labelOnly="1" outline="0" fieldPosition="0">
        <references count="3">
          <reference field="4" count="1" selected="0">
            <x v="15"/>
          </reference>
          <reference field="5" count="1">
            <x v="116"/>
          </reference>
          <reference field="19"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H4:I159" firstHeaderRow="1" firstDataRow="1" firstDataCol="1" rowPageCount="1" colPageCount="1"/>
  <pivotFields count="31">
    <pivotField axis="axisPage" multipleItemSelectionAllowed="1" showAll="0">
      <items count="5">
        <item x="1"/>
        <item h="1" x="0"/>
        <item h="1" x="3"/>
        <item h="1" x="2"/>
        <item t="default"/>
      </items>
    </pivotField>
    <pivotField showAll="0"/>
    <pivotField showAll="0"/>
    <pivotField showAll="0"/>
    <pivotField showAll="0"/>
    <pivotField axis="axisRow" showAll="0" sortType="descending">
      <items count="25">
        <item x="3"/>
        <item x="2"/>
        <item x="10"/>
        <item x="21"/>
        <item x="12"/>
        <item x="11"/>
        <item x="17"/>
        <item x="14"/>
        <item x="5"/>
        <item x="18"/>
        <item x="8"/>
        <item x="9"/>
        <item x="4"/>
        <item x="20"/>
        <item x="0"/>
        <item x="16"/>
        <item x="19"/>
        <item x="7"/>
        <item x="6"/>
        <item x="13"/>
        <item x="1"/>
        <item x="22"/>
        <item x="15"/>
        <item x="2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items count="305">
        <item x="139"/>
        <item x="147"/>
        <item x="123"/>
        <item x="37"/>
        <item x="130"/>
        <item x="135"/>
        <item x="141"/>
        <item x="144"/>
        <item x="138"/>
        <item x="86"/>
        <item x="179"/>
        <item x="180"/>
        <item x="178"/>
        <item x="128"/>
        <item x="154"/>
        <item x="140"/>
        <item x="107"/>
        <item x="75"/>
        <item x="112"/>
        <item x="190"/>
        <item x="74"/>
        <item x="82"/>
        <item x="35"/>
        <item x="131"/>
        <item x="129"/>
        <item x="106"/>
        <item x="148"/>
        <item x="153"/>
        <item x="259"/>
        <item x="43"/>
        <item x="24"/>
        <item x="76"/>
        <item x="118"/>
        <item x="136"/>
        <item x="155"/>
        <item x="165"/>
        <item x="243"/>
        <item x="253"/>
        <item x="166"/>
        <item x="268"/>
        <item x="103"/>
        <item x="39"/>
        <item x="158"/>
        <item x="181"/>
        <item x="13"/>
        <item x="15"/>
        <item x="99"/>
        <item x="45"/>
        <item x="156"/>
        <item x="247"/>
        <item x="195"/>
        <item x="227"/>
        <item x="228"/>
        <item x="10"/>
        <item x="67"/>
        <item x="71"/>
        <item x="168"/>
        <item x="42"/>
        <item x="109"/>
        <item x="117"/>
        <item x="127"/>
        <item x="264"/>
        <item x="11"/>
        <item x="149"/>
        <item x="132"/>
        <item x="122"/>
        <item x="36"/>
        <item x="59"/>
        <item x="53"/>
        <item x="58"/>
        <item x="124"/>
        <item x="101"/>
        <item x="185"/>
        <item x="22"/>
        <item x="85"/>
        <item x="61"/>
        <item x="27"/>
        <item x="25"/>
        <item x="266"/>
        <item x="265"/>
        <item x="280"/>
        <item x="160"/>
        <item x="12"/>
        <item x="48"/>
        <item x="7"/>
        <item x="176"/>
        <item x="177"/>
        <item x="60"/>
        <item x="164"/>
        <item x="115"/>
        <item x="171"/>
        <item x="114"/>
        <item x="163"/>
        <item x="111"/>
        <item x="55"/>
        <item x="225"/>
        <item x="231"/>
        <item x="49"/>
        <item x="88"/>
        <item x="87"/>
        <item x="90"/>
        <item x="92"/>
        <item x="93"/>
        <item x="89"/>
        <item x="94"/>
        <item x="91"/>
        <item x="16"/>
        <item x="17"/>
        <item x="100"/>
        <item x="84"/>
        <item x="81"/>
        <item x="80"/>
        <item x="70"/>
        <item x="83"/>
        <item x="146"/>
        <item x="46"/>
        <item x="54"/>
        <item x="245"/>
        <item x="239"/>
        <item x="205"/>
        <item x="169"/>
        <item x="223"/>
        <item x="237"/>
        <item x="251"/>
        <item x="145"/>
        <item x="232"/>
        <item x="235"/>
        <item x="38"/>
        <item x="14"/>
        <item x="47"/>
        <item x="125"/>
        <item x="222"/>
        <item x="218"/>
        <item x="233"/>
        <item x="220"/>
        <item x="254"/>
        <item x="236"/>
        <item x="255"/>
        <item x="244"/>
        <item x="224"/>
        <item x="170"/>
        <item x="173"/>
        <item x="126"/>
        <item x="137"/>
        <item x="226"/>
        <item x="258"/>
        <item x="234"/>
        <item x="20"/>
        <item x="44"/>
        <item x="72"/>
        <item x="77"/>
        <item x="256"/>
        <item x="68"/>
        <item x="184"/>
        <item x="29"/>
        <item x="275"/>
        <item x="78"/>
        <item x="79"/>
        <item x="113"/>
        <item x="56"/>
        <item x="1"/>
        <item x="63"/>
        <item x="120"/>
        <item x="108"/>
        <item x="159"/>
        <item x="96"/>
        <item x="142"/>
        <item x="62"/>
        <item x="119"/>
        <item x="28"/>
        <item x="21"/>
        <item x="26"/>
        <item x="23"/>
        <item x="133"/>
        <item x="272"/>
        <item x="102"/>
        <item x="151"/>
        <item x="98"/>
        <item x="161"/>
        <item x="64"/>
        <item x="5"/>
        <item x="6"/>
        <item x="267"/>
        <item x="50"/>
        <item x="51"/>
        <item x="8"/>
        <item x="183"/>
        <item x="69"/>
        <item x="186"/>
        <item x="157"/>
        <item x="52"/>
        <item x="104"/>
        <item x="57"/>
        <item x="0"/>
        <item x="3"/>
        <item x="2"/>
        <item x="4"/>
        <item x="30"/>
        <item x="188"/>
        <item x="95"/>
        <item x="175"/>
        <item x="65"/>
        <item x="34"/>
        <item x="33"/>
        <item x="152"/>
        <item x="134"/>
        <item x="273"/>
        <item x="41"/>
        <item x="143"/>
        <item x="19"/>
        <item x="40"/>
        <item x="73"/>
        <item x="167"/>
        <item x="230"/>
        <item x="32"/>
        <item x="31"/>
        <item x="110"/>
        <item x="97"/>
        <item x="18"/>
        <item x="105"/>
        <item x="182"/>
        <item x="238"/>
        <item x="199"/>
        <item x="187"/>
        <item x="201"/>
        <item x="189"/>
        <item x="191"/>
        <item x="204"/>
        <item x="269"/>
        <item x="206"/>
        <item x="271"/>
        <item x="241"/>
        <item x="240"/>
        <item x="270"/>
        <item x="274"/>
        <item x="246"/>
        <item x="207"/>
        <item x="192"/>
        <item x="209"/>
        <item x="193"/>
        <item x="194"/>
        <item x="276"/>
        <item x="277"/>
        <item x="278"/>
        <item x="279"/>
        <item x="248"/>
        <item x="281"/>
        <item x="282"/>
        <item x="283"/>
        <item x="284"/>
        <item x="285"/>
        <item x="286"/>
        <item x="287"/>
        <item x="288"/>
        <item x="289"/>
        <item x="290"/>
        <item x="291"/>
        <item x="249"/>
        <item x="250"/>
        <item x="252"/>
        <item x="257"/>
        <item x="196"/>
        <item x="292"/>
        <item x="197"/>
        <item x="261"/>
        <item x="216"/>
        <item x="202"/>
        <item x="9"/>
        <item x="203"/>
        <item x="66"/>
        <item x="219"/>
        <item x="221"/>
        <item x="262"/>
        <item x="208"/>
        <item x="242"/>
        <item x="229"/>
        <item x="299"/>
        <item x="210"/>
        <item x="293"/>
        <item x="294"/>
        <item x="212"/>
        <item x="214"/>
        <item x="296"/>
        <item x="215"/>
        <item x="217"/>
        <item x="200"/>
        <item x="211"/>
        <item x="295"/>
        <item x="298"/>
        <item x="297"/>
        <item x="213"/>
        <item x="198"/>
        <item x="263"/>
        <item x="300"/>
        <item x="260"/>
        <item x="301"/>
        <item x="116"/>
        <item x="121"/>
        <item x="150"/>
        <item x="162"/>
        <item x="172"/>
        <item x="174"/>
        <item x="302"/>
        <item x="303"/>
        <item t="default"/>
      </items>
    </pivotField>
    <pivotField showAll="0"/>
    <pivotField showAll="0"/>
    <pivotField showAll="0" defaultSubtotal="0"/>
    <pivotField showAll="0"/>
    <pivotField dataField="1"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s>
  <rowFields count="2">
    <field x="5"/>
    <field x="11"/>
  </rowFields>
  <rowItems count="155">
    <i>
      <x v="14"/>
    </i>
    <i r="1">
      <x v="53"/>
    </i>
    <i r="1">
      <x v="59"/>
    </i>
    <i r="1">
      <x v="128"/>
    </i>
    <i r="1">
      <x v="209"/>
    </i>
    <i r="1">
      <x v="271"/>
    </i>
    <i r="1">
      <x v="280"/>
    </i>
    <i>
      <x v="10"/>
    </i>
    <i r="1">
      <x v="222"/>
    </i>
    <i r="1">
      <x v="224"/>
    </i>
    <i r="1">
      <x v="270"/>
    </i>
    <i>
      <x v="16"/>
    </i>
    <i r="1">
      <x v="145"/>
    </i>
    <i r="1">
      <x v="241"/>
    </i>
    <i r="1">
      <x v="242"/>
    </i>
    <i r="1">
      <x v="243"/>
    </i>
    <i r="1">
      <x v="244"/>
    </i>
    <i>
      <x v="20"/>
    </i>
    <i r="1">
      <x v="16"/>
    </i>
    <i r="1">
      <x v="93"/>
    </i>
    <i r="1">
      <x v="172"/>
    </i>
    <i r="1">
      <x v="203"/>
    </i>
    <i r="1">
      <x v="214"/>
    </i>
    <i r="1">
      <x v="215"/>
    </i>
    <i r="1">
      <x v="216"/>
    </i>
    <i r="1">
      <x v="219"/>
    </i>
    <i>
      <x v="3"/>
    </i>
    <i r="1">
      <x v="151"/>
    </i>
    <i r="1">
      <x v="234"/>
    </i>
    <i>
      <x/>
    </i>
    <i r="1">
      <x v="23"/>
    </i>
    <i r="1">
      <x v="47"/>
    </i>
    <i r="1">
      <x v="148"/>
    </i>
    <i r="1">
      <x v="188"/>
    </i>
    <i r="1">
      <x v="190"/>
    </i>
    <i r="1">
      <x v="198"/>
    </i>
    <i r="1">
      <x v="200"/>
    </i>
    <i r="1">
      <x v="210"/>
    </i>
    <i>
      <x v="22"/>
    </i>
    <i r="1">
      <x v="265"/>
    </i>
    <i>
      <x v="13"/>
    </i>
    <i r="1">
      <x v="36"/>
    </i>
    <i r="1">
      <x v="37"/>
    </i>
    <i r="1">
      <x v="117"/>
    </i>
    <i r="1">
      <x v="118"/>
    </i>
    <i r="1">
      <x v="137"/>
    </i>
    <i r="1">
      <x v="138"/>
    </i>
    <i r="1">
      <x v="246"/>
    </i>
    <i r="1">
      <x v="247"/>
    </i>
    <i r="1">
      <x v="248"/>
    </i>
    <i r="1">
      <x v="249"/>
    </i>
    <i r="1">
      <x v="250"/>
    </i>
    <i r="1">
      <x v="251"/>
    </i>
    <i r="1">
      <x v="252"/>
    </i>
    <i r="1">
      <x v="253"/>
    </i>
    <i r="1">
      <x v="254"/>
    </i>
    <i r="1">
      <x v="255"/>
    </i>
    <i r="1">
      <x v="256"/>
    </i>
    <i>
      <x v="9"/>
    </i>
    <i r="1">
      <x v="233"/>
    </i>
    <i>
      <x v="2"/>
    </i>
    <i r="1">
      <x/>
    </i>
    <i r="1">
      <x v="1"/>
    </i>
    <i r="1">
      <x v="6"/>
    </i>
    <i r="1">
      <x v="8"/>
    </i>
    <i r="1">
      <x v="9"/>
    </i>
    <i r="1">
      <x v="14"/>
    </i>
    <i r="1">
      <x v="15"/>
    </i>
    <i r="1">
      <x v="21"/>
    </i>
    <i r="1">
      <x v="26"/>
    </i>
    <i r="1">
      <x v="27"/>
    </i>
    <i r="1">
      <x v="34"/>
    </i>
    <i r="1">
      <x v="50"/>
    </i>
    <i r="1">
      <x v="71"/>
    </i>
    <i r="1">
      <x v="98"/>
    </i>
    <i r="1">
      <x v="99"/>
    </i>
    <i r="1">
      <x v="100"/>
    </i>
    <i r="1">
      <x v="101"/>
    </i>
    <i r="1">
      <x v="102"/>
    </i>
    <i r="1">
      <x v="103"/>
    </i>
    <i r="1">
      <x v="104"/>
    </i>
    <i r="1">
      <x v="105"/>
    </i>
    <i r="1">
      <x v="108"/>
    </i>
    <i r="1">
      <x v="109"/>
    </i>
    <i r="1">
      <x v="110"/>
    </i>
    <i r="1">
      <x v="111"/>
    </i>
    <i r="1">
      <x v="113"/>
    </i>
    <i r="1">
      <x v="114"/>
    </i>
    <i r="1">
      <x v="124"/>
    </i>
    <i r="1">
      <x v="156"/>
    </i>
    <i r="1">
      <x v="157"/>
    </i>
    <i r="1">
      <x v="165"/>
    </i>
    <i r="1">
      <x v="175"/>
    </i>
    <i r="1">
      <x v="176"/>
    </i>
    <i r="1">
      <x v="177"/>
    </i>
    <i r="1">
      <x v="191"/>
    </i>
    <i r="1">
      <x v="199"/>
    </i>
    <i r="1">
      <x v="204"/>
    </i>
    <i r="1">
      <x v="208"/>
    </i>
    <i r="1">
      <x v="212"/>
    </i>
    <i r="1">
      <x v="229"/>
    </i>
    <i r="1">
      <x v="236"/>
    </i>
    <i r="1">
      <x v="238"/>
    </i>
    <i>
      <x v="17"/>
    </i>
    <i r="1">
      <x v="153"/>
    </i>
    <i>
      <x v="15"/>
    </i>
    <i r="1">
      <x v="135"/>
    </i>
    <i r="1">
      <x v="136"/>
    </i>
    <i r="1">
      <x v="230"/>
    </i>
    <i>
      <x v="1"/>
    </i>
    <i r="1">
      <x v="29"/>
    </i>
    <i r="1">
      <x v="57"/>
    </i>
    <i r="1">
      <x v="207"/>
    </i>
    <i>
      <x v="18"/>
    </i>
    <i r="1">
      <x v="35"/>
    </i>
    <i>
      <x v="4"/>
    </i>
    <i r="1">
      <x v="60"/>
    </i>
    <i>
      <x v="5"/>
    </i>
    <i r="1">
      <x v="55"/>
    </i>
    <i>
      <x v="8"/>
    </i>
    <i r="1">
      <x v="10"/>
    </i>
    <i r="1">
      <x v="11"/>
    </i>
    <i r="1">
      <x v="12"/>
    </i>
    <i r="1">
      <x v="19"/>
    </i>
    <i r="1">
      <x v="43"/>
    </i>
    <i r="1">
      <x v="56"/>
    </i>
    <i r="1">
      <x v="70"/>
    </i>
    <i r="1">
      <x v="85"/>
    </i>
    <i r="1">
      <x v="86"/>
    </i>
    <i r="1">
      <x v="119"/>
    </i>
    <i r="1">
      <x v="120"/>
    </i>
    <i r="1">
      <x v="130"/>
    </i>
    <i r="1">
      <x v="140"/>
    </i>
    <i r="1">
      <x v="141"/>
    </i>
    <i r="1">
      <x v="142"/>
    </i>
    <i r="1">
      <x v="186"/>
    </i>
    <i>
      <x v="7"/>
    </i>
    <i r="1">
      <x v="72"/>
    </i>
    <i>
      <x v="6"/>
    </i>
    <i r="1">
      <x v="28"/>
    </i>
    <i r="1">
      <x v="49"/>
    </i>
    <i r="1">
      <x v="123"/>
    </i>
    <i>
      <x v="12"/>
    </i>
    <i r="1">
      <x v="75"/>
    </i>
    <i r="1">
      <x v="87"/>
    </i>
    <i r="1">
      <x v="88"/>
    </i>
    <i r="1">
      <x v="94"/>
    </i>
    <i r="1">
      <x v="116"/>
    </i>
    <i r="1">
      <x v="159"/>
    </i>
    <i r="1">
      <x v="167"/>
    </i>
    <i r="1">
      <x v="192"/>
    </i>
    <i r="1">
      <x v="227"/>
    </i>
    <i>
      <x v="11"/>
    </i>
    <i r="1">
      <x v="150"/>
    </i>
    <i t="grand">
      <x/>
    </i>
  </rowItems>
  <colItems count="1">
    <i/>
  </colItems>
  <pageFields count="1">
    <pageField fld="0" hier="-1"/>
  </pageFields>
  <dataFields count="1">
    <dataField name="Sum of HH" fld="16" baseField="5" baseItem="20" numFmtId="165"/>
  </dataFields>
  <formats count="10">
    <format dxfId="628">
      <pivotArea outline="0" collapsedLevelsAreSubtotals="1" fieldPosition="0">
        <references count="1">
          <reference field="4294967294" count="1" selected="0">
            <x v="0"/>
          </reference>
        </references>
      </pivotArea>
    </format>
    <format dxfId="627">
      <pivotArea dataOnly="0" labelOnly="1" fieldPosition="0">
        <references count="1">
          <reference field="11" count="16">
            <x v="3"/>
            <x v="29"/>
            <x v="39"/>
            <x v="46"/>
            <x v="58"/>
            <x v="83"/>
            <x v="90"/>
            <x v="91"/>
            <x v="92"/>
            <x v="115"/>
            <x v="146"/>
            <x v="163"/>
            <x v="168"/>
            <x v="174"/>
            <x v="205"/>
            <x v="206"/>
          </reference>
        </references>
      </pivotArea>
    </format>
    <format dxfId="626">
      <pivotArea type="all" dataOnly="0" outline="0" fieldPosition="0"/>
    </format>
    <format dxfId="625">
      <pivotArea outline="0" collapsedLevelsAreSubtotals="1" fieldPosition="0">
        <references count="1">
          <reference field="4294967294" count="1" selected="0">
            <x v="0"/>
          </reference>
        </references>
      </pivotArea>
    </format>
    <format dxfId="624">
      <pivotArea dataOnly="0" labelOnly="1" outline="0" fieldPosition="0">
        <references count="1">
          <reference field="4294967294" count="1">
            <x v="0"/>
          </reference>
        </references>
      </pivotArea>
    </format>
    <format dxfId="623">
      <pivotArea outline="0" collapsedLevelsAreSubtotals="1" fieldPosition="0">
        <references count="1">
          <reference field="4294967294" count="1" selected="0">
            <x v="0"/>
          </reference>
        </references>
      </pivotArea>
    </format>
    <format dxfId="622">
      <pivotArea field="0" type="button" dataOnly="0" labelOnly="1" outline="0" axis="axisPage" fieldPosition="0"/>
    </format>
    <format dxfId="621">
      <pivotArea dataOnly="0" labelOnly="1" outline="0" fieldPosition="0">
        <references count="1">
          <reference field="0" count="0"/>
        </references>
      </pivotArea>
    </format>
    <format dxfId="620">
      <pivotArea dataOnly="0" labelOnly="1" grandRow="1" outline="0" fieldPosition="0"/>
    </format>
    <format dxfId="619">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16:T18" firstHeaderRow="0" firstDataRow="1" firstDataCol="1"/>
  <pivotFields count="14">
    <pivotField showAll="0"/>
    <pivotField axis="axisRow" showAll="0">
      <items count="6">
        <item m="1" x="3"/>
        <item m="1" x="1"/>
        <item m="1" x="4"/>
        <item m="1" x="2"/>
        <item x="0"/>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2">
    <i>
      <x v="4"/>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76">
      <pivotArea outline="0" collapsedLevelsAreSubtotals="1" fieldPosition="0"/>
    </format>
    <format dxfId="7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3"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B90:E96" firstHeaderRow="0" firstDataRow="1" firstDataCol="1" rowPageCount="2" colPageCount="1"/>
  <pivotFields count="31">
    <pivotField axis="axisPage" multipleItemSelectionAllowed="1" showAll="0">
      <items count="5">
        <item h="1" x="1"/>
        <item x="0"/>
        <item h="1" x="3"/>
        <item h="1" x="2"/>
        <item t="default"/>
      </items>
    </pivotField>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axis="axisRow" multipleItemSelectionAllowed="1" showAll="0">
      <items count="4">
        <item x="0"/>
        <item x="1"/>
        <item x="2"/>
        <item t="default"/>
      </items>
    </pivotField>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s>
  <rowFields count="2">
    <field x="1"/>
    <field x="19"/>
  </rowFields>
  <rowItems count="6">
    <i>
      <x/>
    </i>
    <i r="1">
      <x/>
    </i>
    <i r="1">
      <x v="1"/>
    </i>
    <i>
      <x v="1"/>
    </i>
    <i r="1">
      <x/>
    </i>
    <i t="grand">
      <x/>
    </i>
  </rowItems>
  <colFields count="1">
    <field x="-2"/>
  </colFields>
  <colItems count="3">
    <i>
      <x/>
    </i>
    <i i="1">
      <x v="1"/>
    </i>
    <i i="2">
      <x v="2"/>
    </i>
  </colItems>
  <pageFields count="2">
    <pageField fld="0" hier="-1"/>
    <pageField fld="20" hier="-1"/>
  </pageFields>
  <dataFields count="3">
    <dataField name="# of Camp" fld="11" subtotal="count" baseField="1" baseItem="0"/>
    <dataField name="Individual" fld="17" baseField="1" baseItem="0"/>
    <dataField name="%" fld="17" showDataAs="percentOfTotal" baseField="1" baseItem="0" numFmtId="10"/>
  </dataFields>
  <formats count="4">
    <format dxfId="935">
      <pivotArea collapsedLevelsAreSubtotals="1" fieldPosition="0">
        <references count="2">
          <reference field="4294967294" count="1" selected="0">
            <x v="2"/>
          </reference>
          <reference field="1" count="1">
            <x v="0"/>
          </reference>
        </references>
      </pivotArea>
    </format>
    <format dxfId="934">
      <pivotArea collapsedLevelsAreSubtotals="1" fieldPosition="0">
        <references count="3">
          <reference field="4294967294" count="1" selected="0">
            <x v="2"/>
          </reference>
          <reference field="1" count="1" selected="0">
            <x v="0"/>
          </reference>
          <reference field="19" count="0"/>
        </references>
      </pivotArea>
    </format>
    <format dxfId="933">
      <pivotArea collapsedLevelsAreSubtotals="1" fieldPosition="0">
        <references count="2">
          <reference field="4294967294" count="1" selected="0">
            <x v="2"/>
          </reference>
          <reference field="1" count="1">
            <x v="1"/>
          </reference>
        </references>
      </pivotArea>
    </format>
    <format dxfId="932">
      <pivotArea collapsedLevelsAreSubtotals="1" fieldPosition="0">
        <references count="3">
          <reference field="4294967294" count="1" selected="0">
            <x v="2"/>
          </reference>
          <reference field="1" count="1" selected="0">
            <x v="1"/>
          </reference>
          <reference field="19"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5" cacheId="1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
  <location ref="C68:H69" firstHeaderRow="0" firstDataRow="1" firstDataCol="0"/>
  <pivotFields count="50">
    <pivotField showAll="0"/>
    <pivotField showAll="0" defaultSubtotal="0"/>
    <pivotField showAll="0" defaultSubtotal="0"/>
    <pivotField showAll="0"/>
    <pivotField showAll="0"/>
    <pivotField showAll="0"/>
    <pivotField showAll="0" defaultSubtotal="0"/>
    <pivotField showAll="0" defaultSubtotal="0"/>
    <pivotField showAll="0"/>
    <pivotField showAll="0" defaultSubtota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s>
  <rowItems count="1">
    <i/>
  </rowItems>
  <colFields count="1">
    <field x="-2"/>
  </colFields>
  <colItems count="6">
    <i>
      <x/>
    </i>
    <i i="1">
      <x v="1"/>
    </i>
    <i i="2">
      <x v="2"/>
    </i>
    <i i="3">
      <x v="3"/>
    </i>
    <i i="4">
      <x v="4"/>
    </i>
    <i i="5">
      <x v="5"/>
    </i>
  </colItems>
  <dataFields count="6">
    <dataField name="Mosquito  net" fld="12" baseField="2" baseItem="4"/>
    <dataField name="Tarpaulin " fld="13" baseField="2" baseItem="4"/>
    <dataField name="Blanket " fld="14" baseField="2" baseItem="4"/>
    <dataField name="Kitchen Set " fld="15" baseField="2" baseItem="4"/>
    <dataField name="Plastic Bucket " fld="17" baseField="2" baseItem="4"/>
    <dataField name="Plastic Mat " fld="18" baseField="2" baseItem="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4" cacheId="1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9">
  <location ref="AU18:AV62" firstHeaderRow="1" firstDataRow="1" firstDataCol="1" rowPageCount="1" colPageCount="1"/>
  <pivotFields count="50">
    <pivotField numFmtId="169" showAll="0"/>
    <pivotField axis="axisPage" multipleItemSelectionAllowed="1" showAll="0" defaultSubtotal="0">
      <items count="29">
        <item x="0"/>
        <item x="12"/>
        <item x="9"/>
        <item x="10"/>
        <item x="11"/>
        <item x="1"/>
        <item x="13"/>
        <item x="2"/>
        <item x="14"/>
        <item x="3"/>
        <item x="4"/>
        <item x="5"/>
        <item x="6"/>
        <item x="7"/>
        <item x="8"/>
        <item x="15"/>
        <item x="16"/>
        <item x="17"/>
        <item x="18"/>
        <item x="19"/>
        <item x="20"/>
        <item x="21"/>
        <item x="22"/>
        <item x="23"/>
        <item x="24"/>
        <item x="25"/>
        <item x="26"/>
        <item x="27"/>
        <item x="28"/>
      </items>
    </pivotField>
    <pivotField showAll="0"/>
    <pivotField showAll="0"/>
    <pivotField showAll="0"/>
    <pivotField axis="axisRow" dataField="1" showAll="0">
      <items count="44">
        <item x="5"/>
        <item x="7"/>
        <item x="6"/>
        <item x="10"/>
        <item x="9"/>
        <item x="2"/>
        <item x="1"/>
        <item x="11"/>
        <item x="4"/>
        <item x="8"/>
        <item x="12"/>
        <item x="0"/>
        <item x="15"/>
        <item x="16"/>
        <item x="3"/>
        <item x="14"/>
        <item x="13"/>
        <item x="17"/>
        <item x="18"/>
        <item x="19"/>
        <item x="20"/>
        <item x="21"/>
        <item x="22"/>
        <item x="23"/>
        <item x="24"/>
        <item x="25"/>
        <item x="26"/>
        <item x="27"/>
        <item x="28"/>
        <item x="29"/>
        <item x="30"/>
        <item x="31"/>
        <item x="32"/>
        <item x="33"/>
        <item x="34"/>
        <item x="35"/>
        <item x="36"/>
        <item x="37"/>
        <item x="38"/>
        <item x="39"/>
        <item x="40"/>
        <item x="41"/>
        <item x="42"/>
        <item t="default"/>
      </items>
    </pivotField>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s>
  <rowFields count="1">
    <field x="5"/>
  </rowFields>
  <rowItems count="4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t="grand">
      <x/>
    </i>
  </rowItems>
  <colItems count="1">
    <i/>
  </colItems>
  <pageFields count="1">
    <pageField fld="1" hier="-1"/>
  </pageFields>
  <dataFields count="1">
    <dataField name="Count of Township" fld="5" subtotal="count"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3" cacheId="10"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AU4:AV14" firstHeaderRow="1" firstDataRow="1" firstDataCol="1"/>
  <pivotFields count="50">
    <pivotField numFmtId="169" multipleItemSelectionAllowed="1" showAll="0"/>
    <pivotField showAll="0" defaultSubtotal="0"/>
    <pivotField showAll="0"/>
    <pivotField showAll="0"/>
    <pivotField showAll="0"/>
    <pivotField showAll="0"/>
    <pivotField showAll="0" defaultSubtotal="0"/>
    <pivotField dataField="1" showAll="0"/>
    <pivotField showAll="0"/>
    <pivotField showAll="0" defaultSubtota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s>
  <rowFields count="1">
    <field x="-2"/>
  </rowFields>
  <rowItems count="10">
    <i>
      <x/>
    </i>
    <i i="1">
      <x v="1"/>
    </i>
    <i i="2">
      <x v="2"/>
    </i>
    <i i="3">
      <x v="3"/>
    </i>
    <i i="4">
      <x v="4"/>
    </i>
    <i i="5">
      <x v="5"/>
    </i>
    <i i="6">
      <x v="6"/>
    </i>
    <i i="7">
      <x v="7"/>
    </i>
    <i i="8">
      <x v="8"/>
    </i>
    <i i="9">
      <x v="9"/>
    </i>
  </rowItems>
  <colItems count="1">
    <i/>
  </colItems>
  <dataFields count="10">
    <dataField name=" Cash for NFI (# of HHs covered)" fld="7" baseField="0" baseItem="1"/>
    <dataField name=" NFI Core Kit" fld="10" baseField="0" baseItem="1"/>
    <dataField name=" Sanitary Kit" fld="11" baseField="0" baseItem="1"/>
    <dataField name=" Mosquito net" fld="12" baseField="0" baseItem="1"/>
    <dataField name=" Tarpaulin" fld="13" baseField="0" baseItem="1"/>
    <dataField name=" Blanket" fld="14" baseField="0" baseItem="1"/>
    <dataField name=" Kitchen Set" fld="15" baseField="0" baseItem="1"/>
    <dataField name=" Plastic Bucket" fld="17" baseField="0" baseItem="1"/>
    <dataField name=" Plastic Mat" fld="18" baseField="0" baseItem="1"/>
    <dataField name=" Solar lamps" fld="24" baseField="0" baseItem="1"/>
  </dataFields>
  <chartFormats count="11">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4" format="3" series="1">
      <pivotArea type="data" outline="0" fieldPosition="0">
        <references count="1">
          <reference field="4294967294" count="1" selected="0">
            <x v="3"/>
          </reference>
        </references>
      </pivotArea>
    </chartFormat>
    <chartFormat chart="4" format="4" series="1">
      <pivotArea type="data" outline="0" fieldPosition="0">
        <references count="1">
          <reference field="4294967294" count="1" selected="0">
            <x v="4"/>
          </reference>
        </references>
      </pivotArea>
    </chartFormat>
    <chartFormat chart="4" format="5" series="1">
      <pivotArea type="data" outline="0" fieldPosition="0">
        <references count="1">
          <reference field="4294967294" count="1" selected="0">
            <x v="5"/>
          </reference>
        </references>
      </pivotArea>
    </chartFormat>
    <chartFormat chart="4" format="6" series="1">
      <pivotArea type="data" outline="0" fieldPosition="0">
        <references count="1">
          <reference field="4294967294" count="1" selected="0">
            <x v="6"/>
          </reference>
        </references>
      </pivotArea>
    </chartFormat>
    <chartFormat chart="4" format="7" series="1">
      <pivotArea type="data" outline="0" fieldPosition="0">
        <references count="1">
          <reference field="4294967294" count="1" selected="0">
            <x v="7"/>
          </reference>
        </references>
      </pivotArea>
    </chartFormat>
    <chartFormat chart="4" format="8" series="1">
      <pivotArea type="data" outline="0" fieldPosition="0">
        <references count="1">
          <reference field="4294967294" count="1" selected="0">
            <x v="8"/>
          </reference>
        </references>
      </pivotArea>
    </chartFormat>
    <chartFormat chart="4" format="9" series="1">
      <pivotArea type="data" outline="0" fieldPosition="0">
        <references count="1">
          <reference field="4294967294" count="1" selected="0">
            <x v="9"/>
          </reference>
        </references>
      </pivotArea>
    </chartFormat>
    <chartFormat chart="7"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2" cacheId="1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rowHeaderCaption="Agency">
  <location ref="AX4:AY18" firstHeaderRow="1" firstDataRow="1" firstDataCol="1" rowPageCount="1" colPageCount="1"/>
  <pivotFields count="50">
    <pivotField axis="axisPage" numFmtId="169" multipleItemSelectionAllowed="1" showAll="0">
      <items count="22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4"/>
        <item h="1" x="45"/>
        <item h="1" x="43"/>
        <item h="1" x="42"/>
        <item h="1" x="47"/>
        <item h="1" x="46"/>
        <item h="1" x="49"/>
        <item h="1" x="51"/>
        <item h="1" x="52"/>
        <item h="1" x="53"/>
        <item h="1" x="54"/>
        <item h="1" x="55"/>
        <item h="1" x="56"/>
        <item h="1" x="58"/>
        <item h="1" x="60"/>
        <item h="1" x="57"/>
        <item h="1" x="59"/>
        <item h="1" x="61"/>
        <item h="1" x="65"/>
        <item h="1" x="66"/>
        <item h="1" x="67"/>
        <item h="1" x="68"/>
        <item h="1" x="69"/>
        <item h="1" x="71"/>
        <item h="1" x="72"/>
        <item h="1" x="70"/>
        <item h="1" x="64"/>
        <item h="1" x="63"/>
        <item h="1" x="62"/>
        <item h="1" x="50"/>
        <item h="1" x="48"/>
        <item x="73"/>
        <item x="74"/>
        <item x="75"/>
        <item x="76"/>
        <item x="77"/>
        <item x="78"/>
        <item x="79"/>
        <item x="80"/>
        <item x="81"/>
        <item x="82"/>
        <item x="83"/>
        <item x="84"/>
        <item x="85"/>
        <item x="86"/>
        <item x="87"/>
        <item x="88"/>
        <item x="89"/>
        <item x="90"/>
        <item x="91"/>
        <item x="92"/>
        <item x="93"/>
        <item x="94"/>
        <item x="95"/>
        <item x="96"/>
        <item x="104"/>
        <item x="97"/>
        <item x="103"/>
        <item x="106"/>
        <item x="107"/>
        <item x="109"/>
        <item x="108"/>
        <item x="102"/>
        <item x="112"/>
        <item x="110"/>
        <item x="111"/>
        <item x="105"/>
        <item x="113"/>
        <item x="98"/>
        <item x="99"/>
        <item x="100"/>
        <item x="101"/>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94"/>
        <item x="199"/>
        <item x="190"/>
        <item x="191"/>
        <item x="192"/>
        <item x="200"/>
        <item x="202"/>
        <item x="203"/>
        <item x="195"/>
        <item x="196"/>
        <item x="197"/>
        <item x="198"/>
        <item x="188"/>
        <item x="201"/>
        <item x="189"/>
        <item x="193"/>
        <item x="205"/>
        <item x="204"/>
        <item x="206"/>
        <item x="209"/>
        <item x="211"/>
        <item x="213"/>
        <item x="215"/>
        <item x="212"/>
        <item x="219"/>
        <item x="210"/>
        <item x="214"/>
        <item x="218"/>
        <item x="207"/>
        <item x="208"/>
        <item x="216"/>
        <item x="217"/>
        <item x="225"/>
        <item x="224"/>
        <item x="222"/>
        <item x="220"/>
        <item x="226"/>
        <item x="221"/>
        <item x="223"/>
        <item x="227"/>
        <item t="default"/>
      </items>
    </pivotField>
    <pivotField showAll="0" defaultSubtotal="0"/>
    <pivotField axis="axisRow" dataField="1" showAll="0">
      <items count="19">
        <item x="3"/>
        <item x="4"/>
        <item x="2"/>
        <item x="1"/>
        <item x="0"/>
        <item x="5"/>
        <item x="10"/>
        <item x="7"/>
        <item x="8"/>
        <item x="6"/>
        <item x="9"/>
        <item x="11"/>
        <item x="12"/>
        <item x="13"/>
        <item x="14"/>
        <item x="15"/>
        <item x="17"/>
        <item x="16"/>
        <item t="default"/>
      </items>
    </pivotField>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s>
  <rowFields count="1">
    <field x="2"/>
  </rowFields>
  <rowItems count="14">
    <i>
      <x/>
    </i>
    <i>
      <x v="1"/>
    </i>
    <i>
      <x v="2"/>
    </i>
    <i>
      <x v="4"/>
    </i>
    <i>
      <x v="6"/>
    </i>
    <i>
      <x v="8"/>
    </i>
    <i>
      <x v="11"/>
    </i>
    <i>
      <x v="12"/>
    </i>
    <i>
      <x v="13"/>
    </i>
    <i>
      <x v="14"/>
    </i>
    <i>
      <x v="15"/>
    </i>
    <i>
      <x v="16"/>
    </i>
    <i>
      <x v="17"/>
    </i>
    <i t="grand">
      <x/>
    </i>
  </rowItems>
  <colItems count="1">
    <i/>
  </colItems>
  <pageFields count="1">
    <pageField fld="0" hier="-1"/>
  </pageFields>
  <dataFields count="1">
    <dataField name="# distributions" fld="2" subtotal="count" baseField="0" baseItem="0"/>
  </dataFields>
  <formats count="19">
    <format dxfId="56">
      <pivotArea outline="0" collapsedLevelsAreSubtotals="1" fieldPosition="0"/>
    </format>
    <format dxfId="55">
      <pivotArea dataOnly="0" labelOnly="1" fieldPosition="0">
        <references count="1">
          <reference field="2" count="3">
            <x v="0"/>
            <x v="1"/>
            <x v="2"/>
          </reference>
        </references>
      </pivotArea>
    </format>
    <format dxfId="54">
      <pivotArea field="0" type="button" dataOnly="0" labelOnly="1" outline="0" axis="axisPage" fieldPosition="0"/>
    </format>
    <format dxfId="53">
      <pivotArea field="2" type="button" dataOnly="0" labelOnly="1" outline="0" axis="axisRow" fieldPosition="0"/>
    </format>
    <format dxfId="52">
      <pivotArea dataOnly="0" labelOnly="1" outline="0" fieldPosition="0">
        <references count="1">
          <reference field="4294967294" count="1">
            <x v="0"/>
          </reference>
        </references>
      </pivotArea>
    </format>
    <format dxfId="51">
      <pivotArea field="2" type="button" dataOnly="0" labelOnly="1" outline="0" axis="axisRow" fieldPosition="0"/>
    </format>
    <format dxfId="50">
      <pivotArea dataOnly="0" labelOnly="1" outline="0" fieldPosition="0">
        <references count="1">
          <reference field="4294967294" count="1">
            <x v="0"/>
          </reference>
        </references>
      </pivotArea>
    </format>
    <format dxfId="49">
      <pivotArea dataOnly="0" labelOnly="1" outline="0" fieldPosition="0">
        <references count="1">
          <reference field="4294967294" count="1">
            <x v="0"/>
          </reference>
        </references>
      </pivotArea>
    </format>
    <format dxfId="48">
      <pivotArea type="all" dataOnly="0" outline="0" fieldPosition="0"/>
    </format>
    <format dxfId="47">
      <pivotArea outline="0" collapsedLevelsAreSubtotals="1" fieldPosition="0"/>
    </format>
    <format dxfId="46">
      <pivotArea dataOnly="0" labelOnly="1" outline="0" fieldPosition="0">
        <references count="1">
          <reference field="4294967294" count="1">
            <x v="0"/>
          </reference>
        </references>
      </pivotArea>
    </format>
    <format dxfId="45">
      <pivotArea field="2" grandRow="1" outline="0" collapsedLevelsAreSubtotals="1" axis="axisRow" fieldPosition="0">
        <references count="1">
          <reference field="4294967294" count="1" selected="0">
            <x v="0"/>
          </reference>
        </references>
      </pivotArea>
    </format>
    <format dxfId="44">
      <pivotArea dataOnly="0" labelOnly="1" grandRow="1" outline="0" fieldPosition="0"/>
    </format>
    <format dxfId="43">
      <pivotArea field="2" type="button" dataOnly="0" labelOnly="1" outline="0" axis="axisRow" fieldPosition="0"/>
    </format>
    <format dxfId="42">
      <pivotArea dataOnly="0" labelOnly="1" fieldPosition="0">
        <references count="1">
          <reference field="2" count="3">
            <x v="0"/>
            <x v="1"/>
            <x v="2"/>
          </reference>
        </references>
      </pivotArea>
    </format>
    <format dxfId="41">
      <pivotArea outline="0" collapsedLevelsAreSubtotals="1" fieldPosition="0"/>
    </format>
    <format dxfId="40">
      <pivotArea dataOnly="0" labelOnly="1" fieldPosition="0">
        <references count="1">
          <reference field="2" count="3">
            <x v="0"/>
            <x v="1"/>
            <x v="2"/>
          </reference>
        </references>
      </pivotArea>
    </format>
    <format dxfId="39">
      <pivotArea grandRow="1" outline="0" collapsedLevelsAreSubtotals="1" fieldPosition="0"/>
    </format>
    <format dxfId="38">
      <pivotArea dataOnly="0" labelOnly="1" grandRow="1" outline="0"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Dark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1" cacheId="0" dataPosition="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2">
  <location ref="G63:M67" firstHeaderRow="0" firstDataRow="1" firstDataCol="1" rowPageCount="2" colPageCount="1"/>
  <pivotFields count="48">
    <pivotField showAll="0"/>
    <pivotField showAll="0"/>
    <pivotField axis="axisRow" showAll="0">
      <items count="17">
        <item x="8"/>
        <item x="11"/>
        <item x="5"/>
        <item x="2"/>
        <item x="6"/>
        <item x="9"/>
        <item x="4"/>
        <item x="10"/>
        <item x="12"/>
        <item x="7"/>
        <item x="1"/>
        <item x="0"/>
        <item x="13"/>
        <item x="3"/>
        <item m="1" x="15"/>
        <item x="14"/>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3">
        <item x="1"/>
        <item h="1" m="1" x="15"/>
        <item m="1" x="20"/>
        <item m="1" x="10"/>
        <item m="1" x="5"/>
        <item m="1" x="38"/>
        <item m="1" x="36"/>
        <item m="1" x="33"/>
        <item m="1" x="28"/>
        <item m="1" x="23"/>
        <item m="1" x="29"/>
        <item m="1" x="24"/>
        <item m="1" x="22"/>
        <item m="1" x="18"/>
        <item m="1" x="14"/>
        <item m="1" x="11"/>
        <item m="1" x="6"/>
        <item m="1" x="39"/>
        <item m="1" x="34"/>
        <item m="1" x="25"/>
        <item m="1" x="30"/>
        <item m="1" x="19"/>
        <item m="1" x="12"/>
        <item m="1" x="8"/>
        <item m="1" x="41"/>
        <item m="1" x="37"/>
        <item m="1" x="35"/>
        <item m="1" x="31"/>
        <item m="1" x="26"/>
        <item m="1" x="17"/>
        <item m="1" x="13"/>
        <item m="1" x="9"/>
        <item m="1" x="40"/>
        <item m="1" x="27"/>
        <item m="1" x="16"/>
        <item m="1" x="32"/>
        <item m="1" x="21"/>
        <item h="1" x="0"/>
        <item x="2"/>
        <item h="1" x="4"/>
        <item h="1" x="3"/>
        <item h="1" m="1" x="7"/>
        <item t="default"/>
      </items>
    </pivotField>
    <pivotField axis="axisPage" multipleItemSelectionAllowed="1" showAll="0">
      <items count="5">
        <item h="1" x="2"/>
        <item h="1" x="1"/>
        <item x="0"/>
        <item h="1" m="1" x="3"/>
        <item t="default"/>
      </items>
    </pivotField>
    <pivotField showAll="0"/>
    <pivotField showAll="0"/>
    <pivotField showAll="0"/>
  </pivotFields>
  <rowFields count="1">
    <field x="2"/>
  </rowFields>
  <rowItems count="4">
    <i>
      <x v="10"/>
    </i>
    <i>
      <x v="11"/>
    </i>
    <i>
      <x v="15"/>
    </i>
    <i t="grand">
      <x/>
    </i>
  </rowItems>
  <colFields count="1">
    <field x="-2"/>
  </colFields>
  <colItems count="6">
    <i>
      <x/>
    </i>
    <i i="1">
      <x v="1"/>
    </i>
    <i i="2">
      <x v="2"/>
    </i>
    <i i="3">
      <x v="3"/>
    </i>
    <i i="4">
      <x v="4"/>
    </i>
    <i i="5">
      <x v="5"/>
    </i>
  </colItems>
  <pageFields count="2">
    <pageField fld="44" hier="-1"/>
    <pageField fld="43" hier="-1"/>
  </pageFields>
  <dataFields count="6">
    <dataField name="Mosquito net " fld="10" baseField="2" baseItem="10"/>
    <dataField name="Tarpaulin " fld="11" baseField="2" baseItem="10"/>
    <dataField name="Blanket " fld="12" baseField="2" baseItem="10"/>
    <dataField name="Kitchen Set " fld="13" baseField="2" baseItem="10"/>
    <dataField name="Plastic Bucket " fld="15" baseField="2" baseItem="10"/>
    <dataField name="Plastic Mat " fld="16" baseField="2" baseItem="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1"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location ref="B80:C84" firstHeaderRow="1" firstDataRow="1" firstDataCol="1" rowPageCount="2" colPageCount="1"/>
  <pivotFields count="31">
    <pivotField axis="axisPage" multipleItemSelectionAllowed="1" showAll="0">
      <items count="5">
        <item h="1" x="1"/>
        <item x="0"/>
        <item h="1" x="3"/>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axis="axisPage" multipleItemSelectionAllowed="1" showAll="0">
      <items count="4">
        <item x="0"/>
        <item h="1" x="1"/>
        <item h="1" x="2"/>
        <item t="default"/>
      </items>
    </pivotField>
    <pivotField showAll="0"/>
    <pivotField axis="axisRow" showAll="0">
      <items count="9">
        <item x="1"/>
        <item x="0"/>
        <item x="3"/>
        <item x="5"/>
        <item x="7"/>
        <item x="4"/>
        <item x="6"/>
        <item x="2"/>
        <item t="default"/>
      </items>
    </pivotField>
    <pivotField showAll="0"/>
    <pivotField showAll="0"/>
    <pivotField showAll="0"/>
    <pivotField showAll="0"/>
    <pivotField showAll="0"/>
    <pivotField showAll="0"/>
    <pivotField showAll="0"/>
    <pivotField showAll="0"/>
    <pivotField showAll="0"/>
  </pivotFields>
  <rowFields count="1">
    <field x="21"/>
  </rowFields>
  <rowItems count="4">
    <i>
      <x v="1"/>
    </i>
    <i>
      <x v="2"/>
    </i>
    <i>
      <x v="7"/>
    </i>
    <i t="grand">
      <x/>
    </i>
  </rowItems>
  <colItems count="1">
    <i/>
  </colItems>
  <pageFields count="2">
    <pageField fld="0" hier="-1"/>
    <pageField fld="19" hier="-1"/>
  </pageFields>
  <dataFields count="1">
    <dataField name="% of IDP" fld="17" subtotal="count" showDataAs="percentOfTotal" baseField="21" baseItem="1" numFmtId="9"/>
  </dataFields>
  <formats count="1">
    <format dxfId="936">
      <pivotArea outline="0" collapsedLevelsAreSubtotals="1" fieldPosition="0"/>
    </format>
  </formats>
  <chartFormats count="9">
    <chartFormat chart="0"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21" count="1" selected="0">
            <x v="1"/>
          </reference>
        </references>
      </pivotArea>
    </chartFormat>
    <chartFormat chart="3" format="2">
      <pivotArea type="data" outline="0" fieldPosition="0">
        <references count="2">
          <reference field="4294967294" count="1" selected="0">
            <x v="0"/>
          </reference>
          <reference field="21" count="1" selected="0">
            <x v="3"/>
          </reference>
        </references>
      </pivotArea>
    </chartFormat>
    <chartFormat chart="3" format="3">
      <pivotArea type="data" outline="0" fieldPosition="0">
        <references count="2">
          <reference field="4294967294" count="1" selected="0">
            <x v="0"/>
          </reference>
          <reference field="21" count="1" selected="0">
            <x v="2"/>
          </reference>
        </references>
      </pivotArea>
    </chartFormat>
    <chartFormat chart="6" format="0" series="1">
      <pivotArea type="data" outline="0" fieldPosition="0">
        <references count="1">
          <reference field="4294967294" count="1" selected="0">
            <x v="0"/>
          </reference>
        </references>
      </pivotArea>
    </chartFormat>
    <chartFormat chart="6" format="1">
      <pivotArea type="data" outline="0" fieldPosition="0">
        <references count="2">
          <reference field="4294967294" count="1" selected="0">
            <x v="0"/>
          </reference>
          <reference field="21" count="1" selected="0">
            <x v="3"/>
          </reference>
        </references>
      </pivotArea>
    </chartFormat>
    <chartFormat chart="6" format="2">
      <pivotArea type="data" outline="0" fieldPosition="0">
        <references count="2">
          <reference field="4294967294" count="1" selected="0">
            <x v="0"/>
          </reference>
          <reference field="21" count="1" selected="0">
            <x v="1"/>
          </reference>
        </references>
      </pivotArea>
    </chartFormat>
    <chartFormat chart="6" format="3">
      <pivotArea type="data" outline="0" fieldPosition="0">
        <references count="2">
          <reference field="4294967294" count="1" selected="0">
            <x v="0"/>
          </reference>
          <reference field="2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rowHeaderCaption="Township">
  <location ref="B9:D30" firstHeaderRow="0" firstDataRow="1" firstDataCol="1" rowPageCount="3" colPageCount="1"/>
  <pivotFields count="31">
    <pivotField axis="axisPage" multipleItemSelectionAllowed="1" showAll="0">
      <items count="5">
        <item h="1" x="1"/>
        <item x="0"/>
        <item h="1" x="3"/>
        <item h="1" x="2"/>
        <item t="default"/>
      </items>
    </pivotField>
    <pivotField axis="axisPage" multipleItemSelectionAllowed="1" showAll="0">
      <items count="4">
        <item x="0"/>
        <item x="1"/>
        <item x="2"/>
        <item t="default"/>
      </items>
    </pivotField>
    <pivotField showAll="0"/>
    <pivotField showAll="0"/>
    <pivotField showAll="0"/>
    <pivotField axis="axisRow" showAll="0">
      <items count="25">
        <item x="3"/>
        <item x="2"/>
        <item x="10"/>
        <item x="21"/>
        <item x="22"/>
        <item x="12"/>
        <item x="11"/>
        <item x="17"/>
        <item x="14"/>
        <item x="5"/>
        <item x="18"/>
        <item x="8"/>
        <item x="9"/>
        <item x="4"/>
        <item x="20"/>
        <item x="0"/>
        <item x="16"/>
        <item x="19"/>
        <item x="7"/>
        <item x="6"/>
        <item x="13"/>
        <item x="1"/>
        <item x="15"/>
        <item x="23"/>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axis="axisPage" showAll="0">
      <items count="3">
        <item x="0"/>
        <item x="1"/>
        <item t="default"/>
      </items>
    </pivotField>
    <pivotField showAll="0" defaultSubtota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Fields count="1">
    <field x="-2"/>
  </colFields>
  <colItems count="2">
    <i>
      <x/>
    </i>
    <i i="1">
      <x v="1"/>
    </i>
  </colItems>
  <pageFields count="3">
    <pageField fld="1" hier="-1"/>
    <pageField fld="20" item="0" hier="-1"/>
    <pageField fld="0" hier="-1"/>
  </pageFields>
  <dataFields count="2">
    <dataField name="HH " fld="16" baseField="5" baseItem="11"/>
    <dataField name="Individuals" fld="17" baseField="5" baseItem="1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7"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
  <location ref="AX55:AY76" firstHeaderRow="1" firstDataRow="1" firstDataCol="1" rowPageCount="1" colPageCount="1"/>
  <pivotFields count="31">
    <pivotField axis="axisPage" multipleItemSelectionAllowed="1" showAll="0">
      <items count="5">
        <item h="1" x="1"/>
        <item x="0"/>
        <item h="1" x="3"/>
        <item h="1" x="2"/>
        <item t="default"/>
      </items>
    </pivotField>
    <pivotField showAll="0"/>
    <pivotField showAll="0"/>
    <pivotField showAll="0"/>
    <pivotField showAll="0"/>
    <pivotField axis="axisRow" showAll="0">
      <items count="25">
        <item x="3"/>
        <item x="2"/>
        <item x="10"/>
        <item x="21"/>
        <item x="22"/>
        <item x="12"/>
        <item x="11"/>
        <item x="17"/>
        <item x="14"/>
        <item x="5"/>
        <item x="18"/>
        <item x="8"/>
        <item x="9"/>
        <item x="4"/>
        <item x="20"/>
        <item x="0"/>
        <item x="16"/>
        <item x="19"/>
        <item x="7"/>
        <item x="6"/>
        <item x="13"/>
        <item x="15"/>
        <item x="1"/>
        <item x="23"/>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1">
    <pageField fld="0" hier="-1"/>
  </pageFields>
  <dataFields count="1">
    <dataField name="Count of Camp" fld="11" subtotal="count" baseField="0" baseItem="0"/>
  </dataFields>
  <chartFormats count="1">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24"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6">
  <location ref="B57:E59" firstHeaderRow="1" firstDataRow="2" firstDataCol="1" rowPageCount="2" colPageCount="1"/>
  <pivotFields count="31">
    <pivotField axis="axisPage" multipleItemSelectionAllowed="1" showAll="0">
      <items count="5">
        <item h="1" x="1"/>
        <item x="0"/>
        <item h="1" x="3"/>
        <item h="1" x="2"/>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4">
        <item x="0"/>
        <item x="1"/>
        <item x="2"/>
        <item t="default"/>
      </items>
    </pivotField>
    <pivotField axis="axisPage" multipleItemSelectionAllowed="1" showAll="0" defaultSubtotal="0">
      <items count="2">
        <item x="0"/>
        <item x="1"/>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4">
    <format dxfId="940">
      <pivotArea field="0" type="button" dataOnly="0" labelOnly="1" outline="0" axis="axisPage" fieldPosition="0"/>
    </format>
    <format dxfId="939">
      <pivotArea dataOnly="0" labelOnly="1" outline="0" fieldPosition="0">
        <references count="1">
          <reference field="0" count="0"/>
        </references>
      </pivotArea>
    </format>
    <format dxfId="938">
      <pivotArea type="all" dataOnly="0" outline="0" fieldPosition="0"/>
    </format>
    <format dxfId="937">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4" cacheId="24" dataPosition="0"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9" colHeaderCaption="Accessibility">
  <location ref="B46:D50" firstHeaderRow="1" firstDataRow="2" firstDataCol="1" rowPageCount="2" colPageCount="1"/>
  <pivotFields count="31">
    <pivotField axis="axisCol" multipleItemSelectionAllowed="1" showAll="0">
      <items count="5">
        <item h="1" x="1"/>
        <item x="0"/>
        <item h="1" x="3"/>
        <item h="1" x="2"/>
        <item t="default"/>
      </items>
    </pivotField>
    <pivotField axis="axisPage" subtotalTop="0" multipleItemSelectionAllowed="1" showAll="0">
      <items count="4">
        <item x="0"/>
        <item x="1"/>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Row" showAll="0" defaultSubtotal="0">
      <items count="3">
        <item x="0"/>
        <item x="1"/>
        <item x="2"/>
      </items>
    </pivotField>
    <pivotField axis="axisPage"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9"/>
  </rowFields>
  <rowItems count="3">
    <i>
      <x/>
    </i>
    <i>
      <x v="1"/>
    </i>
    <i t="grand">
      <x/>
    </i>
  </rowItems>
  <colFields count="1">
    <field x="0"/>
  </colFields>
  <colItems count="2">
    <i>
      <x v="1"/>
    </i>
    <i t="grand">
      <x/>
    </i>
  </colItems>
  <pageFields count="2">
    <pageField fld="1" hier="-1"/>
    <pageField fld="20" item="0" hier="-1"/>
  </pageFields>
  <dataFields count="1">
    <dataField name="Sum of Total" fld="17" baseField="2" baseItem="0"/>
  </dataFields>
  <formats count="13">
    <format dxfId="953">
      <pivotArea type="all" dataOnly="0" outline="0" fieldPosition="0"/>
    </format>
    <format dxfId="952">
      <pivotArea field="1" type="button" dataOnly="0" labelOnly="1" outline="0" axis="axisPage" fieldPosition="0"/>
    </format>
    <format dxfId="951">
      <pivotArea grandRow="1" outline="0" collapsedLevelsAreSubtotals="1" fieldPosition="0"/>
    </format>
    <format dxfId="950">
      <pivotArea dataOnly="0" labelOnly="1" grandRow="1" outline="0" fieldPosition="0"/>
    </format>
    <format dxfId="949">
      <pivotArea outline="0" collapsedLevelsAreSubtotals="1" fieldPosition="0"/>
    </format>
    <format dxfId="948">
      <pivotArea dataOnly="0" labelOnly="1" fieldPosition="0">
        <references count="1">
          <reference field="0" count="0"/>
        </references>
      </pivotArea>
    </format>
    <format dxfId="947">
      <pivotArea dataOnly="0" labelOnly="1" grandRow="1" outline="0" fieldPosition="0"/>
    </format>
    <format dxfId="946">
      <pivotArea type="topRight" dataOnly="0" labelOnly="1" outline="0" fieldPosition="0"/>
    </format>
    <format dxfId="945">
      <pivotArea type="all" dataOnly="0" outline="0" fieldPosition="0"/>
    </format>
    <format dxfId="944">
      <pivotArea dataOnly="0" labelOnly="1" outline="0" fieldPosition="0">
        <references count="1">
          <reference field="1" count="0"/>
        </references>
      </pivotArea>
    </format>
    <format dxfId="943">
      <pivotArea type="all" dataOnly="0" outline="0" fieldPosition="0"/>
    </format>
    <format dxfId="942">
      <pivotArea collapsedLevelsAreSubtotals="1" fieldPosition="0">
        <references count="1">
          <reference field="0" count="0"/>
        </references>
      </pivotArea>
    </format>
    <format dxfId="941">
      <pivotArea dataOnly="0" labelOnly="1" fieldPosition="0">
        <references count="1">
          <reference field="0" count="0"/>
        </references>
      </pivotArea>
    </format>
  </formats>
  <chartFormats count="5">
    <chartFormat chart="6" format="0" series="1">
      <pivotArea type="data" outline="0" fieldPosition="0">
        <references count="2">
          <reference field="4294967294" count="1" selected="0">
            <x v="0"/>
          </reference>
          <reference field="0" count="1" selected="0">
            <x v="1"/>
          </reference>
        </references>
      </pivotArea>
    </chartFormat>
    <chartFormat chart="6" format="1" series="1">
      <pivotArea type="data" outline="0" fieldPosition="0">
        <references count="2">
          <reference field="4294967294" count="1" selected="0">
            <x v="0"/>
          </reference>
          <reference field="19" count="1" selected="0">
            <x v="1"/>
          </reference>
        </references>
      </pivotArea>
    </chartFormat>
    <chartFormat chart="6" format="1" series="1">
      <pivotArea type="data" outline="0" fieldPosition="0">
        <references count="2">
          <reference field="4294967294" count="1" selected="0">
            <x v="0"/>
          </reference>
          <reference field="0" count="1" selected="0">
            <x v="2"/>
          </reference>
        </references>
      </pivotArea>
    </chartFormat>
    <chartFormat chart="6" format="2">
      <pivotArea type="data" outline="0" fieldPosition="0">
        <references count="3">
          <reference field="4294967294" count="1" selected="0">
            <x v="0"/>
          </reference>
          <reference field="0" count="1" selected="0">
            <x v="1"/>
          </reference>
          <reference field="19" count="1" selected="0">
            <x v="0"/>
          </reference>
        </references>
      </pivotArea>
    </chartFormat>
    <chartFormat chart="6" format="3">
      <pivotArea type="data" outline="0" fieldPosition="0">
        <references count="3">
          <reference field="4294967294" count="1" selected="0">
            <x v="0"/>
          </reference>
          <reference field="0" count="1" selected="0">
            <x v="1"/>
          </reference>
          <reference field="1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6" cacheId="24" applyNumberFormats="0" applyBorderFormats="0" applyFontFormats="0" applyPatternFormats="0" applyAlignmentFormats="0" applyWidthHeightFormats="1" dataCaption="Values" grandTotalCaption="# of Camps" updatedVersion="5" minRefreshableVersion="3" useAutoFormatting="1" itemPrintTitles="1" createdVersion="4" indent="0" outline="1" outlineData="1" multipleFieldFilters="0" rowHeaderCaption="Accomodation Type">
  <location ref="B70:F72" firstHeaderRow="1" firstDataRow="2" firstDataCol="1" rowPageCount="2" colPageCount="1"/>
  <pivotFields count="31">
    <pivotField axis="axisPage" multipleItemSelectionAllowed="1" showAll="0" includeNewItemsInFilter="1">
      <items count="5">
        <item h="1" x="1"/>
        <item x="0"/>
        <item h="1" x="3"/>
        <item x="2"/>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dataField="1" showAll="0" defaultSubtotal="0"/>
    <pivotField showAll="0" defaultSubtotal="0"/>
    <pivotField showAll="0"/>
    <pivotField showAll="0" defaultSubtotal="0"/>
    <pivotField showAll="0" defaultSubtotal="0"/>
    <pivotField showAll="0"/>
    <pivotField showAll="0"/>
    <pivotField showAll="0"/>
    <pivotField axis="axisCol" showAll="0">
      <items count="4">
        <item x="0"/>
        <item x="1"/>
        <item x="2"/>
        <item t="default"/>
      </items>
    </pivotField>
    <pivotField axis="axisPage" multipleItemSelectionAllowed="1" showAll="0" defaultSubtotal="0">
      <items count="2">
        <item x="0"/>
        <item x="1"/>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4">
    <i>
      <x/>
    </i>
    <i>
      <x v="1"/>
    </i>
    <i>
      <x v="2"/>
    </i>
    <i t="grand">
      <x/>
    </i>
  </colItems>
  <pageFields count="2">
    <pageField fld="0" hier="-1"/>
    <pageField fld="20" hier="-1"/>
  </pageFields>
  <dataFields count="1">
    <dataField name="Count of Camp" fld="11" subtotal="count" baseField="0" baseItem="0"/>
  </dataFields>
  <formats count="2">
    <format dxfId="955">
      <pivotArea outline="0" collapsedLevelsAreSubtotals="1" fieldPosition="0"/>
    </format>
    <format dxfId="954">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 cacheId="24"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G136" firstHeaderRow="0" firstDataRow="1" firstDataCol="5" rowPageCount="1" colPageCount="1"/>
  <pivotFields count="31">
    <pivotField axis="axisPage" compact="0" outline="0" multipleItemSelectionAllowed="1" showAll="0" defaultSubtotal="0">
      <items count="4">
        <item x="1"/>
        <item h="1" x="0"/>
        <item h="1" x="3"/>
        <item h="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4">
        <item x="139"/>
        <item x="147"/>
        <item x="123"/>
        <item x="37"/>
        <item x="130"/>
        <item x="135"/>
        <item x="141"/>
        <item x="144"/>
        <item x="138"/>
        <item x="86"/>
        <item x="179"/>
        <item x="180"/>
        <item x="178"/>
        <item x="128"/>
        <item x="154"/>
        <item x="140"/>
        <item x="107"/>
        <item x="75"/>
        <item x="112"/>
        <item x="190"/>
        <item x="74"/>
        <item x="82"/>
        <item x="35"/>
        <item x="131"/>
        <item x="129"/>
        <item x="106"/>
        <item x="148"/>
        <item x="153"/>
        <item x="259"/>
        <item x="43"/>
        <item x="24"/>
        <item x="76"/>
        <item x="118"/>
        <item x="136"/>
        <item x="155"/>
        <item x="165"/>
        <item x="243"/>
        <item x="253"/>
        <item x="166"/>
        <item x="268"/>
        <item x="103"/>
        <item x="39"/>
        <item x="158"/>
        <item x="181"/>
        <item x="13"/>
        <item x="15"/>
        <item x="99"/>
        <item x="45"/>
        <item x="156"/>
        <item x="247"/>
        <item x="227"/>
        <item x="228"/>
        <item x="10"/>
        <item x="67"/>
        <item x="71"/>
        <item x="168"/>
        <item x="42"/>
        <item x="109"/>
        <item x="117"/>
        <item x="127"/>
        <item x="264"/>
        <item x="11"/>
        <item x="149"/>
        <item x="132"/>
        <item x="122"/>
        <item x="36"/>
        <item x="59"/>
        <item x="53"/>
        <item x="58"/>
        <item x="124"/>
        <item x="101"/>
        <item x="185"/>
        <item x="22"/>
        <item x="85"/>
        <item x="61"/>
        <item x="27"/>
        <item x="25"/>
        <item x="266"/>
        <item x="265"/>
        <item x="280"/>
        <item x="160"/>
        <item x="12"/>
        <item x="48"/>
        <item x="7"/>
        <item x="176"/>
        <item x="177"/>
        <item x="60"/>
        <item x="164"/>
        <item x="115"/>
        <item x="171"/>
        <item x="114"/>
        <item x="163"/>
        <item x="111"/>
        <item x="55"/>
        <item x="225"/>
        <item x="231"/>
        <item x="49"/>
        <item x="88"/>
        <item x="87"/>
        <item x="90"/>
        <item x="92"/>
        <item x="93"/>
        <item x="89"/>
        <item x="94"/>
        <item x="91"/>
        <item x="16"/>
        <item x="17"/>
        <item x="100"/>
        <item x="84"/>
        <item x="81"/>
        <item x="80"/>
        <item x="70"/>
        <item x="83"/>
        <item x="146"/>
        <item x="46"/>
        <item x="54"/>
        <item x="245"/>
        <item x="239"/>
        <item x="205"/>
        <item x="169"/>
        <item x="223"/>
        <item x="237"/>
        <item x="251"/>
        <item x="145"/>
        <item x="232"/>
        <item x="235"/>
        <item x="38"/>
        <item x="14"/>
        <item x="47"/>
        <item x="125"/>
        <item x="222"/>
        <item x="218"/>
        <item x="233"/>
        <item x="220"/>
        <item x="254"/>
        <item x="236"/>
        <item x="255"/>
        <item x="244"/>
        <item x="224"/>
        <item x="170"/>
        <item x="173"/>
        <item x="126"/>
        <item x="137"/>
        <item x="226"/>
        <item x="258"/>
        <item x="234"/>
        <item x="20"/>
        <item x="44"/>
        <item x="72"/>
        <item x="77"/>
        <item x="256"/>
        <item x="68"/>
        <item x="184"/>
        <item x="29"/>
        <item x="275"/>
        <item x="78"/>
        <item x="79"/>
        <item x="113"/>
        <item x="56"/>
        <item x="1"/>
        <item x="63"/>
        <item x="120"/>
        <item x="108"/>
        <item x="159"/>
        <item x="96"/>
        <item x="142"/>
        <item x="62"/>
        <item x="119"/>
        <item x="28"/>
        <item x="21"/>
        <item x="26"/>
        <item x="23"/>
        <item x="133"/>
        <item x="272"/>
        <item x="102"/>
        <item x="151"/>
        <item x="98"/>
        <item x="161"/>
        <item x="64"/>
        <item x="5"/>
        <item x="6"/>
        <item x="267"/>
        <item x="50"/>
        <item x="51"/>
        <item x="8"/>
        <item x="183"/>
        <item x="69"/>
        <item x="186"/>
        <item x="157"/>
        <item x="52"/>
        <item x="104"/>
        <item x="57"/>
        <item x="0"/>
        <item x="3"/>
        <item x="2"/>
        <item x="4"/>
        <item x="30"/>
        <item x="188"/>
        <item x="95"/>
        <item x="175"/>
        <item x="65"/>
        <item x="34"/>
        <item x="33"/>
        <item x="152"/>
        <item x="134"/>
        <item x="273"/>
        <item x="41"/>
        <item x="143"/>
        <item x="19"/>
        <item x="40"/>
        <item x="73"/>
        <item x="167"/>
        <item x="230"/>
        <item x="195"/>
        <item x="32"/>
        <item x="31"/>
        <item x="110"/>
        <item x="97"/>
        <item x="18"/>
        <item x="105"/>
        <item x="182"/>
        <item x="238"/>
        <item x="199"/>
        <item x="187"/>
        <item x="201"/>
        <item x="189"/>
        <item x="191"/>
        <item x="204"/>
        <item x="269"/>
        <item x="206"/>
        <item x="271"/>
        <item x="241"/>
        <item x="240"/>
        <item x="270"/>
        <item x="274"/>
        <item x="246"/>
        <item x="207"/>
        <item x="192"/>
        <item x="209"/>
        <item x="193"/>
        <item x="194"/>
        <item x="276"/>
        <item x="277"/>
        <item x="278"/>
        <item x="279"/>
        <item x="248"/>
        <item x="281"/>
        <item x="282"/>
        <item x="283"/>
        <item x="284"/>
        <item x="285"/>
        <item x="286"/>
        <item x="287"/>
        <item x="288"/>
        <item x="289"/>
        <item x="290"/>
        <item x="291"/>
        <item x="249"/>
        <item x="250"/>
        <item x="252"/>
        <item x="257"/>
        <item x="196"/>
        <item x="292"/>
        <item x="197"/>
        <item x="261"/>
        <item x="216"/>
        <item x="202"/>
        <item x="9"/>
        <item x="203"/>
        <item x="66"/>
        <item x="219"/>
        <item x="221"/>
        <item x="262"/>
        <item x="208"/>
        <item x="242"/>
        <item x="229"/>
        <item x="299"/>
        <item x="210"/>
        <item x="293"/>
        <item x="294"/>
        <item x="212"/>
        <item x="214"/>
        <item x="296"/>
        <item x="215"/>
        <item x="217"/>
        <item x="200"/>
        <item x="211"/>
        <item x="295"/>
        <item x="298"/>
        <item x="297"/>
        <item x="213"/>
        <item x="198"/>
        <item x="263"/>
        <item x="300"/>
        <item x="260"/>
        <item x="301"/>
        <item x="116"/>
        <item x="121"/>
        <item x="150"/>
        <item x="162"/>
        <item x="172"/>
        <item x="174"/>
        <item x="302"/>
        <item x="303"/>
      </items>
      <extLst>
        <ext xmlns:x14="http://schemas.microsoft.com/office/spreadsheetml/2009/9/main" uri="{2946ED86-A175-432a-8AC1-64E0C546D7DE}">
          <x14:pivotField fillDownLabels="1"/>
        </ext>
      </extLst>
    </pivotField>
    <pivotField name="CpPcode" axis="axisRow" compact="0" outline="0" showAll="0" defaultSubtotal="0">
      <items count="303">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161"/>
        <item x="189"/>
        <item x="162"/>
        <item x="191"/>
        <item x="163"/>
        <item x="164"/>
        <item x="167"/>
        <item x="172"/>
        <item x="219"/>
        <item x="237"/>
        <item x="221"/>
        <item x="223"/>
        <item x="240"/>
        <item x="224"/>
        <item x="225"/>
        <item x="226"/>
        <item x="244"/>
        <item x="245"/>
        <item x="246"/>
        <item x="227"/>
        <item x="248"/>
        <item x="228"/>
        <item x="229"/>
        <item x="230"/>
        <item x="252"/>
        <item x="231"/>
        <item x="254"/>
        <item x="255"/>
        <item x="256"/>
        <item x="257"/>
        <item x="232"/>
        <item x="259"/>
        <item x="260"/>
        <item x="261"/>
        <item x="233"/>
        <item x="234"/>
        <item x="235"/>
        <item x="236"/>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 x="302"/>
      </items>
      <extLst>
        <ext xmlns:x14="http://schemas.microsoft.com/office/spreadsheetml/2009/9/main" uri="{2946ED86-A175-432a-8AC1-64E0C546D7DE}">
          <x14:pivotField fillDownLabels="1"/>
        </ext>
      </extLst>
    </pivotField>
    <pivotField axis="axisRow" compact="0" outline="0" showAll="0" defaultSubtotal="0">
      <items count="209">
        <item x="107"/>
        <item x="108"/>
        <item x="71"/>
        <item x="109"/>
        <item x="124"/>
        <item x="70"/>
        <item x="79"/>
        <item x="75"/>
        <item x="76"/>
        <item x="136"/>
        <item x="77"/>
        <item x="100"/>
        <item x="111"/>
        <item x="110"/>
        <item x="67"/>
        <item x="112"/>
        <item x="113"/>
        <item x="69"/>
        <item x="82"/>
        <item x="106"/>
        <item x="104"/>
        <item x="105"/>
        <item x="122"/>
        <item x="115"/>
        <item x="117"/>
        <item x="119"/>
        <item x="118"/>
        <item x="114"/>
        <item x="74"/>
        <item x="66"/>
        <item x="125"/>
        <item x="96"/>
        <item x="135"/>
        <item x="48"/>
        <item x="138"/>
        <item x="64"/>
        <item x="63"/>
        <item x="65"/>
        <item x="170"/>
        <item x="164"/>
        <item x="103"/>
        <item x="155"/>
        <item x="43"/>
        <item x="204"/>
        <item x="49"/>
        <item x="99"/>
        <item x="201"/>
        <item x="38"/>
        <item x="39"/>
        <item x="37"/>
        <item x="147"/>
        <item x="36"/>
        <item x="40"/>
        <item x="116"/>
        <item x="134"/>
        <item x="16"/>
        <item x="17"/>
        <item x="47"/>
        <item x="121"/>
        <item x="42"/>
        <item x="57"/>
        <item x="46"/>
        <item x="126"/>
        <item x="44"/>
        <item x="29"/>
        <item x="52"/>
        <item x="51"/>
        <item x="53"/>
        <item x="123"/>
        <item x="15"/>
        <item x="14"/>
        <item x="2"/>
        <item x="4"/>
        <item x="9"/>
        <item x="0"/>
        <item x="3"/>
        <item x="1"/>
        <item x="192"/>
        <item x="5"/>
        <item x="11"/>
        <item x="19"/>
        <item x="165"/>
        <item x="24"/>
        <item x="10"/>
        <item x="45"/>
        <item x="194"/>
        <item x="58"/>
        <item x="12"/>
        <item x="62"/>
        <item x="54"/>
        <item x="6"/>
        <item x="7"/>
        <item x="8"/>
        <item x="32"/>
        <item x="195"/>
        <item x="30"/>
        <item x="59"/>
        <item x="23"/>
        <item x="27"/>
        <item x="98"/>
        <item x="196"/>
        <item x="26"/>
        <item x="25"/>
        <item x="33"/>
        <item x="21"/>
        <item x="28"/>
        <item x="34"/>
        <item x="22"/>
        <item x="85"/>
        <item x="128"/>
        <item x="202"/>
        <item x="90"/>
        <item x="89"/>
        <item x="132"/>
        <item x="81"/>
        <item x="127"/>
        <item x="83"/>
        <item x="133"/>
        <item x="93"/>
        <item x="144"/>
        <item x="102"/>
        <item x="145"/>
        <item x="95"/>
        <item x="94"/>
        <item x="139"/>
        <item x="137"/>
        <item x="149"/>
        <item x="91"/>
        <item x="88"/>
        <item x="92"/>
        <item x="159"/>
        <item x="160"/>
        <item x="189"/>
        <item x="161"/>
        <item x="172"/>
        <item x="173"/>
        <item x="61"/>
        <item x="142"/>
        <item x="78"/>
        <item x="55"/>
        <item x="56"/>
        <item x="60"/>
        <item x="50"/>
        <item x="80"/>
        <item x="87"/>
        <item x="84"/>
        <item x="168"/>
        <item x="73"/>
        <item x="163"/>
        <item x="169"/>
        <item x="86"/>
        <item x="185"/>
        <item x="171"/>
        <item x="174"/>
        <item x="72"/>
        <item x="166"/>
        <item x="167"/>
        <item x="97"/>
        <item x="197"/>
        <item x="177"/>
        <item x="188"/>
        <item x="181"/>
        <item x="182"/>
        <item x="68"/>
        <item x="187"/>
        <item x="162"/>
        <item x="183"/>
        <item x="191"/>
        <item x="41"/>
        <item x="198"/>
        <item x="31"/>
        <item x="140"/>
        <item x="141"/>
        <item x="130"/>
        <item x="35"/>
        <item x="120"/>
        <item x="129"/>
        <item x="131"/>
        <item x="20"/>
        <item x="143"/>
        <item x="176"/>
        <item x="148"/>
        <item x="150"/>
        <item x="154"/>
        <item x="199"/>
        <item x="152"/>
        <item x="207"/>
        <item x="179"/>
        <item x="200"/>
        <item x="184"/>
        <item x="175"/>
        <item x="178"/>
        <item x="146"/>
        <item x="203"/>
        <item x="151"/>
        <item x="18"/>
        <item x="180"/>
        <item x="193"/>
        <item x="186"/>
        <item x="101"/>
        <item x="153"/>
        <item x="190"/>
        <item x="156"/>
        <item x="205"/>
        <item x="157"/>
        <item x="206"/>
        <item x="158"/>
        <item x="13"/>
        <item x="20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11">
        <item x="5"/>
        <item x="6"/>
        <item x="3"/>
        <item x="1"/>
        <item x="4"/>
        <item x="10"/>
        <item x="8"/>
        <item x="2"/>
        <item x="0"/>
        <item x="7"/>
        <item x="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11"/>
    <field x="12"/>
    <field x="13"/>
    <field x="19"/>
    <field x="24"/>
  </rowFields>
  <rowItems count="133">
    <i>
      <x/>
      <x v="139"/>
      <x v="27"/>
      <x/>
      <x v="4"/>
    </i>
    <i>
      <x v="1"/>
      <x v="147"/>
      <x v="25"/>
      <x/>
      <x/>
    </i>
    <i>
      <x v="6"/>
      <x v="141"/>
      <x v="170"/>
      <x/>
      <x v="4"/>
    </i>
    <i>
      <x v="8"/>
      <x v="138"/>
      <x v="16"/>
      <x/>
      <x v="4"/>
    </i>
    <i>
      <x v="9"/>
      <x v="86"/>
      <x v="170"/>
      <x/>
      <x v="4"/>
    </i>
    <i>
      <x v="10"/>
      <x v="180"/>
      <x v="170"/>
      <x/>
      <x v="4"/>
    </i>
    <i>
      <x v="11"/>
      <x v="181"/>
      <x v="170"/>
      <x/>
      <x v="4"/>
    </i>
    <i>
      <x v="12"/>
      <x v="179"/>
      <x v="170"/>
      <x/>
      <x v="4"/>
    </i>
    <i>
      <x v="14"/>
      <x v="155"/>
      <x v="30"/>
      <x/>
      <x v="3"/>
    </i>
    <i>
      <x v="15"/>
      <x v="140"/>
      <x v="23"/>
      <x/>
      <x v="4"/>
    </i>
    <i>
      <x v="16"/>
      <x v="107"/>
      <x v="150"/>
      <x v="1"/>
      <x v="4"/>
    </i>
    <i>
      <x v="19"/>
      <x v="191"/>
      <x v="126"/>
      <x v="1"/>
      <x v="1"/>
    </i>
    <i>
      <x v="21"/>
      <x v="82"/>
      <x v="170"/>
      <x/>
      <x v="4"/>
    </i>
    <i>
      <x v="23"/>
      <x v="131"/>
      <x v="170"/>
      <x/>
      <x v="4"/>
    </i>
    <i>
      <x v="26"/>
      <x v="148"/>
      <x v="170"/>
      <x/>
      <x v="4"/>
    </i>
    <i>
      <x v="27"/>
      <x v="154"/>
      <x v="170"/>
      <x/>
      <x v="4"/>
    </i>
    <i>
      <x v="28"/>
      <x v="220"/>
      <x v="170"/>
      <x v="1"/>
      <x v="4"/>
    </i>
    <i>
      <x v="29"/>
      <x v="43"/>
      <x v="170"/>
      <x/>
      <x v="2"/>
    </i>
    <i>
      <x v="34"/>
      <x v="156"/>
      <x v="170"/>
      <x/>
      <x v="4"/>
    </i>
    <i>
      <x v="35"/>
      <x v="166"/>
      <x v="32"/>
      <x/>
      <x v="4"/>
    </i>
    <i>
      <x v="36"/>
      <x v="204"/>
      <x v="161"/>
      <x/>
      <x v="4"/>
    </i>
    <i>
      <x v="37"/>
      <x v="214"/>
      <x v="160"/>
      <x/>
      <x v="4"/>
    </i>
    <i>
      <x v="43"/>
      <x v="182"/>
      <x v="170"/>
      <x/>
      <x v="4"/>
    </i>
    <i>
      <x v="47"/>
      <x v="45"/>
      <x v="42"/>
      <x/>
      <x v="4"/>
    </i>
    <i>
      <x v="49"/>
      <x v="208"/>
      <x v="151"/>
      <x/>
      <x/>
    </i>
    <i>
      <x v="52"/>
      <x v="10"/>
      <x v="83"/>
      <x/>
      <x v="7"/>
    </i>
    <i>
      <x v="54"/>
      <x v="71"/>
      <x v="163"/>
      <x/>
      <x v="4"/>
    </i>
    <i>
      <x v="55"/>
      <x v="169"/>
      <x v="125"/>
      <x v="1"/>
      <x v="1"/>
    </i>
    <i>
      <x v="56"/>
      <x v="42"/>
      <x v="168"/>
      <x/>
      <x v="4"/>
    </i>
    <i>
      <x v="58"/>
      <x v="128"/>
      <x v="170"/>
      <x/>
      <x v="6"/>
    </i>
    <i>
      <x v="59"/>
      <x v="127"/>
      <x v="170"/>
      <x/>
      <x v="4"/>
    </i>
    <i>
      <x v="69"/>
      <x v="124"/>
      <x v="120"/>
      <x v="1"/>
      <x v="1"/>
    </i>
    <i>
      <x v="70"/>
      <x v="101"/>
      <x v="170"/>
      <x/>
      <x v="4"/>
    </i>
    <i>
      <x v="71"/>
      <x v="186"/>
      <x v="121"/>
      <x/>
      <x v="4"/>
    </i>
    <i>
      <x v="74"/>
      <x v="61"/>
      <x v="86"/>
      <x/>
      <x v="4"/>
    </i>
    <i>
      <x v="84"/>
      <x v="177"/>
      <x v="137"/>
      <x/>
      <x v="4"/>
    </i>
    <i>
      <x v="85"/>
      <x v="178"/>
      <x v="137"/>
      <x/>
      <x v="4"/>
    </i>
    <i>
      <x v="86"/>
      <x v="60"/>
      <x v="60"/>
      <x/>
      <x v="4"/>
    </i>
    <i>
      <x v="87"/>
      <x v="165"/>
      <x v="54"/>
      <x/>
      <x v="4"/>
    </i>
    <i>
      <x v="92"/>
      <x v="111"/>
      <x v="111"/>
      <x/>
      <x v="4"/>
    </i>
    <i>
      <x v="93"/>
      <x v="55"/>
      <x v="65"/>
      <x/>
      <x v="4"/>
    </i>
    <i>
      <x v="97"/>
      <x v="88"/>
      <x v="6"/>
      <x/>
      <x v="4"/>
    </i>
    <i>
      <x v="98"/>
      <x v="87"/>
      <x v="170"/>
      <x/>
      <x v="4"/>
    </i>
    <i>
      <x v="99"/>
      <x v="90"/>
      <x v="170"/>
      <x/>
      <x v="4"/>
    </i>
    <i>
      <x v="100"/>
      <x v="92"/>
      <x v="170"/>
      <x/>
      <x v="4"/>
    </i>
    <i>
      <x v="101"/>
      <x v="93"/>
      <x v="170"/>
      <x/>
      <x v="4"/>
    </i>
    <i>
      <x v="102"/>
      <x v="89"/>
      <x v="170"/>
      <x/>
      <x v="4"/>
    </i>
    <i>
      <x v="103"/>
      <x v="94"/>
      <x v="170"/>
      <x/>
      <x v="4"/>
    </i>
    <i>
      <x v="104"/>
      <x v="91"/>
      <x v="170"/>
      <x/>
      <x v="4"/>
    </i>
    <i>
      <x v="107"/>
      <x v="100"/>
      <x v="18"/>
      <x/>
      <x v="4"/>
    </i>
    <i>
      <x v="108"/>
      <x v="84"/>
      <x v="170"/>
      <x/>
      <x v="4"/>
    </i>
    <i>
      <x v="109"/>
      <x v="81"/>
      <x v="10"/>
      <x/>
      <x v="4"/>
    </i>
    <i>
      <x v="110"/>
      <x v="80"/>
      <x v="170"/>
      <x/>
      <x v="4"/>
    </i>
    <i>
      <x v="112"/>
      <x v="83"/>
      <x v="170"/>
      <x/>
      <x v="4"/>
    </i>
    <i>
      <x v="113"/>
      <x v="146"/>
      <x v="26"/>
      <x/>
      <x v="4"/>
    </i>
    <i>
      <x v="115"/>
      <x v="54"/>
      <x v="66"/>
      <x/>
      <x v="1"/>
    </i>
    <i>
      <x v="116"/>
      <x v="206"/>
      <x v="166"/>
      <x v="1"/>
      <x/>
    </i>
    <i>
      <x v="117"/>
      <x v="200"/>
      <x v="159"/>
      <x v="1"/>
      <x v="4"/>
    </i>
    <i>
      <x v="118"/>
      <x v="240"/>
      <x v="41"/>
      <x v="1"/>
      <x v="4"/>
    </i>
    <i>
      <x v="119"/>
      <x v="170"/>
      <x v="34"/>
      <x v="1"/>
      <x v="4"/>
    </i>
    <i>
      <x v="122"/>
      <x v="212"/>
      <x v="164"/>
      <x/>
      <x v="4"/>
    </i>
    <i>
      <x v="123"/>
      <x v="145"/>
      <x v="24"/>
      <x/>
      <x v="4"/>
    </i>
    <i>
      <x v="127"/>
      <x v="14"/>
      <x v="70"/>
      <x/>
      <x v="3"/>
    </i>
    <i>
      <x v="129"/>
      <x v="125"/>
      <x v="170"/>
      <x v="1"/>
      <x v="4"/>
    </i>
    <i>
      <x v="134"/>
      <x v="215"/>
      <x v="132"/>
      <x v="1"/>
      <x v="1"/>
    </i>
    <i>
      <x v="135"/>
      <x v="197"/>
      <x v="170"/>
      <x v="1"/>
      <x v="4"/>
    </i>
    <i>
      <x v="136"/>
      <x v="216"/>
      <x v="201"/>
      <x v="1"/>
      <x v="4"/>
    </i>
    <i>
      <x v="137"/>
      <x v="205"/>
      <x v="162"/>
      <x/>
      <x v="4"/>
    </i>
    <i>
      <x v="139"/>
      <x v="171"/>
      <x v="40"/>
      <x v="1"/>
      <x v="4"/>
    </i>
    <i>
      <x v="140"/>
      <x v="174"/>
      <x v="170"/>
      <x v="1"/>
      <x v="4"/>
    </i>
    <i>
      <x v="141"/>
      <x v="126"/>
      <x v="40"/>
      <x v="1"/>
      <x v="4"/>
    </i>
    <i>
      <x v="144"/>
      <x v="219"/>
      <x v="77"/>
      <x/>
      <x v="4"/>
    </i>
    <i>
      <x v="147"/>
      <x v="51"/>
      <x v="59"/>
      <x/>
      <x v="1"/>
    </i>
    <i>
      <x v="149"/>
      <x v="77"/>
      <x v="28"/>
      <x/>
      <x/>
    </i>
    <i>
      <x v="150"/>
      <x v="217"/>
      <x v="167"/>
      <x v="1"/>
      <x v="6"/>
    </i>
    <i>
      <x v="152"/>
      <x v="185"/>
      <x v="119"/>
      <x/>
      <x v="4"/>
    </i>
    <i>
      <x v="155"/>
      <x v="78"/>
      <x v="7"/>
      <x/>
      <x/>
    </i>
    <i>
      <x v="156"/>
      <x v="79"/>
      <x v="8"/>
      <x/>
      <x v="4"/>
    </i>
    <i>
      <x v="158"/>
      <x v="56"/>
      <x v="67"/>
      <x/>
      <x v="3"/>
    </i>
    <i>
      <x v="164"/>
      <x v="96"/>
      <x v="170"/>
      <x/>
      <x v="4"/>
    </i>
    <i>
      <x v="166"/>
      <x v="62"/>
      <x v="96"/>
      <x/>
      <x v="4"/>
    </i>
    <i>
      <x v="171"/>
      <x v="23"/>
      <x v="97"/>
      <x/>
      <x v="3"/>
    </i>
    <i>
      <x v="174"/>
      <x v="102"/>
      <x v="170"/>
      <x/>
      <x v="4"/>
    </i>
    <i>
      <x v="175"/>
      <x v="151"/>
      <x v="22"/>
      <x/>
      <x/>
    </i>
    <i>
      <x v="176"/>
      <x v="98"/>
      <x v="170"/>
      <x/>
      <x v="4"/>
    </i>
    <i>
      <x v="185"/>
      <x v="184"/>
      <x v="170"/>
      <x/>
      <x v="4"/>
    </i>
    <i>
      <x v="187"/>
      <x v="187"/>
      <x v="170"/>
      <x/>
      <x v="4"/>
    </i>
    <i>
      <x v="189"/>
      <x v="52"/>
      <x v="44"/>
      <x/>
      <x v="3"/>
    </i>
    <i>
      <x v="190"/>
      <x v="104"/>
      <x v="170"/>
      <x/>
      <x v="4"/>
    </i>
    <i>
      <x v="191"/>
      <x v="57"/>
      <x v="89"/>
      <x/>
      <x v="4"/>
    </i>
    <i>
      <x v="197"/>
      <x v="189"/>
      <x v="50"/>
      <x/>
      <x v="3"/>
    </i>
    <i>
      <x v="198"/>
      <x v="95"/>
      <x v="170"/>
      <x/>
      <x v="4"/>
    </i>
    <i>
      <x v="199"/>
      <x v="176"/>
      <x v="170"/>
      <x/>
      <x v="4"/>
    </i>
    <i>
      <x v="202"/>
      <x v="33"/>
      <x v="103"/>
      <x/>
      <x/>
    </i>
    <i>
      <x v="203"/>
      <x v="153"/>
      <x v="4"/>
      <x/>
      <x v="2"/>
    </i>
    <i>
      <x v="206"/>
      <x v="41"/>
      <x v="170"/>
      <x/>
      <x v="4"/>
    </i>
    <i>
      <x v="207"/>
      <x v="143"/>
      <x v="170"/>
      <x/>
      <x v="4"/>
    </i>
    <i>
      <x v="208"/>
      <x v="19"/>
      <x v="80"/>
      <x/>
      <x v="3"/>
    </i>
    <i>
      <x v="209"/>
      <x v="50"/>
      <x v="52"/>
      <x/>
      <x v="3"/>
    </i>
    <i>
      <x v="211"/>
      <x v="168"/>
      <x v="9"/>
      <x/>
      <x v="4"/>
    </i>
    <i>
      <x v="213"/>
      <x v="227"/>
      <x v="185"/>
      <x/>
      <x/>
    </i>
    <i>
      <x v="214"/>
      <x v="32"/>
      <x v="93"/>
      <x/>
      <x v="4"/>
    </i>
    <i>
      <x v="215"/>
      <x v="31"/>
      <x v="170"/>
      <x/>
      <x v="4"/>
    </i>
    <i>
      <x v="216"/>
      <x v="110"/>
      <x v="112"/>
      <x v="1"/>
      <x v="2"/>
    </i>
    <i>
      <x v="219"/>
      <x v="105"/>
      <x v="145"/>
      <x v="1"/>
      <x/>
    </i>
    <i>
      <x v="222"/>
      <x v="232"/>
      <x v="192"/>
      <x/>
      <x v="4"/>
    </i>
    <i>
      <x v="224"/>
      <x v="234"/>
      <x v="36"/>
      <x/>
      <x v="4"/>
    </i>
    <i>
      <x v="227"/>
      <x v="237"/>
      <x v="183"/>
      <x/>
      <x v="4"/>
    </i>
    <i>
      <x v="229"/>
      <x v="239"/>
      <x v="185"/>
      <x/>
      <x v="4"/>
    </i>
    <i>
      <x v="230"/>
      <x v="244"/>
      <x v="188"/>
      <x/>
      <x v="4"/>
    </i>
    <i>
      <x v="233"/>
      <x v="243"/>
      <x v="170"/>
      <x/>
      <x v="6"/>
    </i>
    <i>
      <x v="234"/>
      <x v="247"/>
      <x v="193"/>
      <x/>
      <x v="4"/>
    </i>
    <i>
      <x v="236"/>
      <x v="249"/>
      <x v="194"/>
      <x/>
      <x v="4"/>
    </i>
    <i>
      <x v="238"/>
      <x v="251"/>
      <x v="194"/>
      <x/>
      <x v="4"/>
    </i>
    <i>
      <x v="241"/>
      <x v="254"/>
      <x v="197"/>
      <x/>
      <x v="4"/>
    </i>
    <i>
      <x v="242"/>
      <x v="255"/>
      <x v="170"/>
      <x/>
      <x v="4"/>
    </i>
    <i>
      <x v="243"/>
      <x v="256"/>
      <x v="170"/>
      <x/>
      <x v="4"/>
    </i>
    <i>
      <x v="244"/>
      <x v="257"/>
      <x v="170"/>
      <x/>
      <x v="4"/>
    </i>
    <i>
      <x v="246"/>
      <x v="259"/>
      <x v="170"/>
      <x/>
      <x v="4"/>
    </i>
    <i>
      <x v="247"/>
      <x v="260"/>
      <x v="170"/>
      <x/>
      <x v="4"/>
    </i>
    <i>
      <x v="248"/>
      <x v="261"/>
      <x v="170"/>
      <x/>
      <x v="4"/>
    </i>
    <i>
      <x v="249"/>
      <x v="262"/>
      <x v="170"/>
      <x/>
      <x v="4"/>
    </i>
    <i>
      <x v="250"/>
      <x v="263"/>
      <x v="170"/>
      <x/>
      <x v="4"/>
    </i>
    <i>
      <x v="251"/>
      <x v="264"/>
      <x v="170"/>
      <x/>
      <x v="4"/>
    </i>
    <i>
      <x v="252"/>
      <x v="265"/>
      <x v="170"/>
      <x/>
      <x v="4"/>
    </i>
    <i>
      <x v="253"/>
      <x v="266"/>
      <x v="170"/>
      <x/>
      <x v="4"/>
    </i>
    <i>
      <x v="254"/>
      <x v="267"/>
      <x v="170"/>
      <x/>
      <x v="4"/>
    </i>
    <i>
      <x v="255"/>
      <x v="268"/>
      <x v="170"/>
      <x/>
      <x v="4"/>
    </i>
    <i>
      <x v="256"/>
      <x v="269"/>
      <x v="170"/>
      <x/>
      <x v="4"/>
    </i>
    <i>
      <x v="265"/>
      <x v="279"/>
      <x v="170"/>
      <x/>
      <x v="6"/>
    </i>
    <i>
      <x v="270"/>
      <x v="282"/>
      <x v="170"/>
      <x/>
      <x v="4"/>
    </i>
    <i>
      <x v="271"/>
      <x v="284"/>
      <x v="170"/>
      <x/>
      <x v="6"/>
    </i>
    <i>
      <x v="280"/>
      <x v="292"/>
      <x v="206"/>
      <x/>
      <x v="6"/>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ables/table1.xml><?xml version="1.0" encoding="utf-8"?>
<table xmlns="http://schemas.openxmlformats.org/spreadsheetml/2006/main" id="1" name="CampList" displayName="CampList" ref="B4:AF309" tableType="xml" totalsRowShown="0" headerRowDxfId="1001" dataDxfId="1000" headerRowCellStyle="Normal_Sheet11">
  <autoFilter ref="B4:AF309">
    <filterColumn colId="0">
      <filters>
        <filter val="Open"/>
      </filters>
    </filterColumn>
  </autoFilter>
  <sortState ref="B5:AF305">
    <sortCondition sortBy="cellColor" ref="S4:S306" dxfId="999"/>
  </sortState>
  <tableColumns count="31">
    <tableColumn id="24" uniqueName="Status" name="Status" dataDxfId="998" dataCellStyle="Normal_Sheet3_1">
      <xmlColumnPr mapId="11" xpath="/dataroot/Camp_x005f_x0020_List/Status" xmlDataType="string"/>
    </tableColumn>
    <tableColumn id="2" uniqueName="State" name="State" dataDxfId="997">
      <xmlColumnPr mapId="11" xpath="/dataroot/Camp_x005f_x0020_List/State" xmlDataType="string"/>
    </tableColumn>
    <tableColumn id="12" uniqueName="S_Pcode" name="S_Pcode" dataDxfId="996">
      <xmlColumnPr mapId="11" xpath="/dataroot/Camp_x005f_x0020_List/S_Pcode" xmlDataType="string"/>
    </tableColumn>
    <tableColumn id="23" uniqueName="District" name="District" dataDxfId="995">
      <xmlColumnPr mapId="11" xpath="/dataroot/Camp_x005f_x0020_List/District" xmlDataType="string"/>
    </tableColumn>
    <tableColumn id="19" uniqueName="D_Pcode" name="D_Pcode" dataDxfId="994">
      <xmlColumnPr mapId="11" xpath="/dataroot/Camp_x005f_x0020_List/D_Pcode" xmlDataType="string"/>
    </tableColumn>
    <tableColumn id="3" uniqueName="Township" name="Township" dataDxfId="993">
      <xmlColumnPr mapId="11" xpath="/dataroot/Camp_x005f_x0020_List/Township" xmlDataType="string"/>
    </tableColumn>
    <tableColumn id="13" uniqueName="T_Pcode" name="T_Pcode" dataDxfId="992">
      <xmlColumnPr mapId="11" xpath="/dataroot/Camp_x005f_x0020_List/T_Pcode" xmlDataType="string"/>
    </tableColumn>
    <tableColumn id="14" uniqueName="VillageTracKTown" name="VillageTracKTown" dataDxfId="991">
      <xmlColumnPr mapId="11" xpath="/dataroot/Camp_x005f_x0020_List/VillageTracKTown" xmlDataType="string"/>
    </tableColumn>
    <tableColumn id="15" uniqueName="VTT_Pcode" name="VTT_Pcode" dataDxfId="990">
      <xmlColumnPr mapId="11" xpath="/dataroot/Camp_x005f_x0020_List/VTT_Pcode" xmlDataType="string"/>
    </tableColumn>
    <tableColumn id="16" uniqueName="VillageWard_Name" name="VillageWard_Name" dataDxfId="989">
      <xmlColumnPr mapId="11" xpath="/dataroot/Camp_x005f_x0020_List/VillageWard_Name" xmlDataType="string"/>
    </tableColumn>
    <tableColumn id="17" uniqueName="VW_Pcode" name="VW_Pcode" dataDxfId="988">
      <xmlColumnPr mapId="11" xpath="/dataroot/Camp_x005f_x0020_List/VW_Pcode" xmlDataType="string"/>
    </tableColumn>
    <tableColumn id="4" uniqueName="Camp" name="Camp" dataDxfId="987">
      <xmlColumnPr mapId="11" xpath="/dataroot/Camp_x005f_x0020_List/Camp" xmlDataType="string"/>
    </tableColumn>
    <tableColumn id="5" uniqueName="CP_Pcode" name="CP_Pcode" dataDxfId="986">
      <xmlColumnPr mapId="11" xpath="/dataroot/Camp_x005f_x0020_List/CP_Pcode" xmlDataType="string"/>
    </tableColumn>
    <tableColumn id="6" uniqueName="Longitude" name="Longitude" dataDxfId="985">
      <xmlColumnPr mapId="11" xpath="/dataroot/Camp_x005f_x0020_List/Longitude" xmlDataType="double"/>
    </tableColumn>
    <tableColumn id="7" uniqueName="Latitude" name="Latitude" dataDxfId="984">
      <xmlColumnPr mapId="11" xpath="/dataroot/Camp_x005f_x0020_List/Latitude" xmlDataType="double"/>
    </tableColumn>
    <tableColumn id="25" uniqueName="Altitude" name="Altitude" dataDxfId="983">
      <xmlColumnPr mapId="11" xpath="/dataroot/Camp_x005f_x0020_List/Altitude" xmlDataType="double"/>
    </tableColumn>
    <tableColumn id="8" uniqueName="HH" name="HH" dataDxfId="982">
      <xmlColumnPr mapId="11" xpath="/dataroot/Camp_x005f_x0020_List/HH" xmlDataType="double"/>
    </tableColumn>
    <tableColumn id="9" uniqueName="Total" name="Total" dataDxfId="981">
      <xmlColumnPr mapId="11" xpath="/dataroot/Camp_x005f_x0020_List/Total" xmlDataType="double"/>
    </tableColumn>
    <tableColumn id="11" uniqueName="Avg" name="Avg" dataDxfId="980">
      <calculatedColumnFormula>IF(CampList[[#This Row],[HH]]&gt;0,CampList[[#This Row],[Total]]/CampList[[#This Row],[HH]],"NA")</calculatedColumnFormula>
      <xmlColumnPr mapId="11" xpath="/dataroot/Camp_x005f_x0020_List/Avg" xmlDataType="string"/>
    </tableColumn>
    <tableColumn id="28" uniqueName="Accessibility" name="Accessibility" dataDxfId="979">
      <xmlColumnPr mapId="11" xpath="/dataroot/Camp_x005f_x0020_List/Accessibility" xmlDataType="string"/>
    </tableColumn>
    <tableColumn id="1" uniqueName="Affected Population" name="Affected Population" dataDxfId="978">
      <xmlColumnPr mapId="11" xpath="/dataroot/Camp_x005f_x0020_List/Affected_x005f_x0020_Population" xmlDataType="string"/>
    </tableColumn>
    <tableColumn id="29" uniqueName="Type of Accomodation" name="Type of Accomodation" dataDxfId="977">
      <xmlColumnPr mapId="11" xpath="/dataroot/Camp_x005f_x0020_List/Type_x005f_x0020_of_x005f_x0020_Accomodation" xmlDataType="string"/>
    </tableColumn>
    <tableColumn id="30" uniqueName="Type of Location" name="Type of Location" dataDxfId="976">
      <xmlColumnPr mapId="11" xpath="/dataroot/Camp_x005f_x0020_List/Type_x005f_x0020_of_x005f_x0020_Location" xmlDataType="string"/>
    </tableColumn>
    <tableColumn id="31" uniqueName="Opening Date" name="Opening Date" dataDxfId="975">
      <xmlColumnPr mapId="11" xpath="/dataroot/Camp_x005f_x0020_List/Opening_x005f_x0020_Date" xmlDataType="dateTime"/>
    </tableColumn>
    <tableColumn id="26" uniqueName="Responsible Agency" name="Responsible Agency" dataDxfId="974">
      <xmlColumnPr mapId="11" xpath="/dataroot/Camp_x005f_x0020_List/Responsible_x005f_x0020_Agency" xmlDataType="string"/>
    </tableColumn>
    <tableColumn id="18" uniqueName="Source" name="Source" dataDxfId="973">
      <xmlColumnPr mapId="11" xpath="/dataroot/Camp_x005f_x0020_List/Source" xmlDataType="string"/>
    </tableColumn>
    <tableColumn id="10" uniqueName="Update Date" name="Update Date" dataDxfId="972">
      <xmlColumnPr mapId="11" xpath="/dataroot/Camp_x005f_x0020_List/Update_x005f_x0020_Date" xmlDataType="dateTime"/>
    </tableColumn>
    <tableColumn id="21" uniqueName="Comment" name="Comment" dataDxfId="971">
      <xmlColumnPr mapId="11" xpath="/dataroot/Camp_x005f_x0020_List/Comment" xmlDataType="string"/>
    </tableColumn>
    <tableColumn id="35" uniqueName="Nearest_Town" name="Nearest_Town" dataDxfId="970">
      <calculatedColumnFormula>IFERROR(OFFSET(DistanceToCamp[Nearest Town],MATCH(CampList[[#This Row],[CP_Pcode]],DistanceToCamp[CP_Pcode],0)-1,0,1,1),"")</calculatedColumnFormula>
      <xmlColumnPr mapId="11" xpath="/dataroot/Camp_x005f_x0020_List/Nearest_Town" xmlDataType="string"/>
    </tableColumn>
    <tableColumn id="36" uniqueName="Distance" name="Distance" dataDxfId="969" dataCellStyle="Comma">
      <calculatedColumnFormula>IFERROR(OFFSET(DistanceToCamp[distance],MATCH(CampList[[#This Row],[CP_Pcode]],DistanceToCamp[CP_Pcode],0)-1,0,1,1),"")</calculatedColumnFormula>
      <xmlColumnPr mapId="11" xpath="/dataroot/Camp_x005f_x0020_List/Distance" xmlDataType="string"/>
    </tableColumn>
    <tableColumn id="37" uniqueName="Distance_Cat" name="Distance_Cat" dataDxfId="968">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10.xml><?xml version="1.0" encoding="utf-8"?>
<table xmlns="http://schemas.openxmlformats.org/spreadsheetml/2006/main" id="2" name="Table_NFI" displayName="Table_NFI" ref="B5:AY611" tableType="xml" totalsRowShown="0" headerRowDxfId="131" dataDxfId="129" headerRowBorderDxfId="130" tableBorderDxfId="128" totalsRowBorderDxfId="127">
  <autoFilter ref="B5:AY611">
    <filterColumn colId="0">
      <filters>
        <dateGroupItem year="2019" dateTimeGrouping="year"/>
      </filters>
    </filterColumn>
  </autoFilter>
  <sortState ref="B513:AY611">
    <sortCondition ref="B6"/>
  </sortState>
  <tableColumns count="50">
    <tableColumn id="1" uniqueName="Distribution Date" name="Distribution Date" dataDxfId="126">
      <xmlColumnPr mapId="8" xpath="/dataroot/NFI_x005f_x0020_Tracking/Distribution_x005f_x0020_Date" xmlDataType="dateTime"/>
    </tableColumn>
    <tableColumn id="29" uniqueName="29" name="Distribution Month/Year (Auto-calculated)" dataDxfId="125">
      <calculatedColumnFormula>MONTH(Table_NFI[[#This Row],[Distribution Date]]) &amp; "/" &amp; YEAR(Table_NFI[[#This Row],[Distribution Date]])</calculatedColumnFormula>
    </tableColumn>
    <tableColumn id="2" uniqueName="Organization" name="Agency" dataDxfId="124">
      <xmlColumnPr mapId="8" xpath="/dataroot/NFI_x005f_x0020_Tracking/Organization" xmlDataType="string"/>
    </tableColumn>
    <tableColumn id="3" uniqueName="Implementing Partner" name="Implementing Partner" dataDxfId="123">
      <xmlColumnPr mapId="8" xpath="/dataroot/NFI_x005f_x0020_Tracking/Implementing_x005f_x0020_Partner" xmlDataType="string"/>
    </tableColumn>
    <tableColumn id="4" uniqueName="State" name="State" dataDxfId="122">
      <xmlColumnPr mapId="8" xpath="/dataroot/NFI_x005f_x0020_Tracking/State" xmlDataType="string"/>
    </tableColumn>
    <tableColumn id="5" uniqueName="Township" name="Township" dataDxfId="121">
      <xmlColumnPr mapId="8" xpath="/dataroot/NFI_x005f_x0020_Tracking/Township" xmlDataType="string"/>
    </tableColumn>
    <tableColumn id="6" uniqueName="Camp Name" name="Location" dataDxfId="120">
      <xmlColumnPr mapId="8" xpath="/dataroot/NFI_x005f_x0020_Tracking/Camp_x005f_x0020_Name" xmlDataType="string"/>
    </tableColumn>
    <tableColumn id="44" uniqueName="44" name="Cash for NFI (# of HHs covered)" dataDxfId="119"/>
    <tableColumn id="7" uniqueName="Hygiene Kit" name="Hygiene Kit" dataDxfId="118">
      <xmlColumnPr mapId="8" xpath="/dataroot/NFI_x005f_x0020_Tracking/Hygiene_x005f_x0020_Kit" xmlDataType="string"/>
    </tableColumn>
    <tableColumn id="15" uniqueName="15" name="Dignity Kit" dataDxfId="117"/>
    <tableColumn id="8" uniqueName="NFI Core Kit" name="NFI Core Kit" dataDxfId="116">
      <xmlColumnPr mapId="8" xpath="/dataroot/NFI_x005f_x0020_Tracking/NFI_x005f_x0020_Core_x005f_x0020_Kit" xmlDataType="string"/>
    </tableColumn>
    <tableColumn id="9" uniqueName="Sanitary Kit" name="Sanitary Kit" dataDxfId="115">
      <xmlColumnPr mapId="8" xpath="/dataroot/NFI_x005f_x0020_Tracking/Sanitary_x005f_x0020_Kit" xmlDataType="string"/>
    </tableColumn>
    <tableColumn id="10" uniqueName="Mosquito net" name="Mosquito net" dataDxfId="114">
      <xmlColumnPr mapId="8" xpath="/dataroot/NFI_x005f_x0020_Tracking/Mosquito_x005f_x0020_net" xmlDataType="double"/>
    </tableColumn>
    <tableColumn id="11" uniqueName="Tarpaulin" name="Tarpaulin" dataDxfId="113">
      <xmlColumnPr mapId="8" xpath="/dataroot/NFI_x005f_x0020_Tracking/Tarpaulin" xmlDataType="double"/>
    </tableColumn>
    <tableColumn id="12" uniqueName="Blanket" name="Blanket" dataDxfId="112">
      <xmlColumnPr mapId="8" xpath="/dataroot/NFI_x005f_x0020_Tracking/Blanket" xmlDataType="double"/>
    </tableColumn>
    <tableColumn id="13" uniqueName="Kitchen Set" name="Kitchen Set" dataDxfId="111">
      <xmlColumnPr mapId="8" xpath="/dataroot/NFI_x005f_x0020_Tracking/Kitchen_x005f_x0020_Set" xmlDataType="double"/>
    </tableColumn>
    <tableColumn id="14" uniqueName="Clothes Kit" name="Clothes Kit" dataDxfId="110">
      <xmlColumnPr mapId="8" xpath="/dataroot/NFI_x005f_x0020_Tracking/Clothes_x005f_x0020_Kit" xmlDataType="double"/>
    </tableColumn>
    <tableColumn id="26" uniqueName="Plastic Bucket" name="Plastic Bucket" dataDxfId="109">
      <xmlColumnPr mapId="8" xpath="/dataroot/NFI_x005f_x0020_Tracking/Plastic_x005f_x0020_Bucket" xmlDataType="double"/>
    </tableColumn>
    <tableColumn id="25" uniqueName="Plastic Mat" name="Plastic Mat" dataDxfId="108">
      <xmlColumnPr mapId="8" xpath="/dataroot/NFI_x005f_x0020_Tracking/Plastic_x005f_x0020_Mat" xmlDataType="double"/>
    </tableColumn>
    <tableColumn id="47" uniqueName="Winter Clothes Adult" name="Winter Clothes Adult" dataDxfId="107">
      <xmlColumnPr mapId="8" xpath="/dataroot/NFI_x005f_x0020_Tracking/Winter_x005f_x0020_Clothes_x005f_x0020_Adult" xmlDataType="string"/>
    </tableColumn>
    <tableColumn id="46" uniqueName="Winter Clothes Children" name="Winter Clothes Children" dataDxfId="106">
      <xmlColumnPr mapId="8" xpath="/dataroot/NFI_x005f_x0020_Tracking/Winter_x005f_x0020_Clothes_x005f_x0020_Children" xmlDataType="string"/>
    </tableColumn>
    <tableColumn id="45" uniqueName="Winter Items Other" name="Winter Items Other" dataDxfId="105">
      <xmlColumnPr mapId="8" xpath="/dataroot/NFI_x005f_x0020_Tracking/Winter_x005f_x0020_Items_x005f_x0020_Other" xmlDataType="string"/>
    </tableColumn>
    <tableColumn id="32" uniqueName="Winter Blanket" name="Winter Blanket" dataDxfId="104">
      <xmlColumnPr mapId="8" xpath="/dataroot/NFI_x005f_x0020_Tracking/Winter_x005f_x0020_Blanket" xmlDataType="string"/>
    </tableColumn>
    <tableColumn id="38" uniqueName="38" name="Jerry Can" dataDxfId="103"/>
    <tableColumn id="23" uniqueName="23" name="Solar lamps" dataDxfId="102"/>
    <tableColumn id="41" uniqueName="41" name="Shelter Tool kit" dataDxfId="101"/>
    <tableColumn id="40" uniqueName="40" name="Tent" dataDxfId="100"/>
    <tableColumn id="16" uniqueName="NFI Core Kit_LS" name="NFI Core Kit_LS" dataDxfId="99">
      <calculatedColumnFormula>IF(NFI_Expiration=1,IF(#REF!&lt;VLOOKUP(L$5,NFI,5,0),1,0)*Table_NFI[[#This Row],[NFI Core Kit]],Table_NFI[NFI Core Kit])</calculatedColumnFormula>
      <xmlColumnPr mapId="8" xpath="/dataroot/NFI_x005f_x0020_Tracking/NFI_x005f_x0020_Core_x005f_x0020_Kit_LS" xmlDataType="string"/>
    </tableColumn>
    <tableColumn id="17" uniqueName="Sanitary Kit_LS" name="Sanitary Kit_LS" dataDxfId="98">
      <calculatedColumnFormula>IF(NFI_Expiration=1,IF(#REF!&lt;VLOOKUP(M$5,NFI,5,0),1,0)*Table_NFI[[#This Row],[Sanitary Kit]],Table_NFI[Sanitary Kit])</calculatedColumnFormula>
      <xmlColumnPr mapId="8" xpath="/dataroot/NFI_x005f_x0020_Tracking/Sanitary_x005f_x0020_Kit_LS" xmlDataType="string"/>
    </tableColumn>
    <tableColumn id="18" uniqueName="Mosquito net_LS" name="Mosquito net_LS" dataDxfId="97">
      <calculatedColumnFormula>IF(NFI_Expiration=1,IF(#REF!&lt;VLOOKUP(N$5,NFI,5,0),1,0)*Table_NFI[[#This Row],[Mosquito net]],Table_NFI[Mosquito net])</calculatedColumnFormula>
      <xmlColumnPr mapId="8" xpath="/dataroot/NFI_x005f_x0020_Tracking/Mosquito_x005f_x0020_net_LS" xmlDataType="string"/>
    </tableColumn>
    <tableColumn id="19" uniqueName="Tarpaulin_LS" name="Tarpaulin_LS" dataDxfId="96">
      <calculatedColumnFormula>IF(NFI_Expiration=1,IF(#REF!&lt;VLOOKUP(O$5,NFI,5,0),1,0)*Table_NFI[[#This Row],[Tarpaulin]],Table_NFI[[#This Row],[Tarpaulin]])</calculatedColumnFormula>
      <xmlColumnPr mapId="8" xpath="/dataroot/NFI_x005f_x0020_Tracking/Tarpaulin_LS" xmlDataType="string"/>
    </tableColumn>
    <tableColumn id="20" uniqueName="Blanket_LS" name="Blanket_LS" dataDxfId="95">
      <calculatedColumnFormula>IF(NFI_Expiration=1,IF(#REF!&lt;VLOOKUP(P$5,NFI,5,0),1,0)*Table_NFI[[#This Row],[Blanket]],Table_NFI[[#This Row],[Blanket]])</calculatedColumnFormula>
      <xmlColumnPr mapId="8" xpath="/dataroot/NFI_x005f_x0020_Tracking/Blanket_LS" xmlDataType="string"/>
    </tableColumn>
    <tableColumn id="21" uniqueName="Kitchen Set_LS" name="Kitchen Set_LS" dataDxfId="94">
      <calculatedColumnFormula>IF(NFI_Expiration=1,IF(#REF!&lt;VLOOKUP(Q$5,NFI,5,0),1,0)*Table_NFI[[#This Row],[Kitchen Set]],Table_NFI[Kitchen Set])</calculatedColumnFormula>
      <xmlColumnPr mapId="8" xpath="/dataroot/NFI_x005f_x0020_Tracking/Kitchen_x005f_x0020_Set_LS" xmlDataType="string"/>
    </tableColumn>
    <tableColumn id="22" uniqueName="Clothes Kit_LS" name="Clothes Kit_LS" dataDxfId="93">
      <calculatedColumnFormula>IF(NFI_Expiration=1,IF(#REF!&lt;VLOOKUP(R$5,NFI,5,0),1,0)*Table_NFI[[#This Row],[Clothes Kit]],Table_NFI[Clothes Kit])</calculatedColumnFormula>
      <xmlColumnPr mapId="8" xpath="/dataroot/NFI_x005f_x0020_Tracking/Clothes_x005f_x0020_Kit_LS" xmlDataType="string"/>
    </tableColumn>
    <tableColumn id="28" uniqueName="Plastic Bucket _LS" name="Plastic Bucket _LS" dataDxfId="92">
      <calculatedColumnFormula>IF(NFI_Expiration=1,IF(#REF!&lt;VLOOKUP(S$5,NFI,5,0),1,0)*Table_NFI[[#This Row],[Plastic Bucket]],Table_NFI[Plastic Bucket])</calculatedColumnFormula>
      <xmlColumnPr mapId="8" xpath="/dataroot/NFI_x005f_x0020_Tracking/Plastic_x005f_x0020_Bucket_x005f_x0020__LS" xmlDataType="string"/>
    </tableColumn>
    <tableColumn id="27" uniqueName="Plastic  Mat_LS" name="Plastic  Mat_LS" dataDxfId="91">
      <calculatedColumnFormula>IF(NFI_Expiration=1,IF(#REF!&lt;VLOOKUP(T$5,NFI,5,0),1,0)*Table_NFI[[#This Row],[Plastic Mat]],Table_NFI[Plastic Mat])*IF(Table_NFI[[#This Row],[Distribution Date]]&gt;"2014-04-01",1,2.5)</calculatedColumnFormula>
      <xmlColumnPr mapId="8" xpath="/dataroot/NFI_x005f_x0020_Tracking/Plastic_x005f_x0020__x005f_x0020_Mat_LS" xmlDataType="string"/>
    </tableColumn>
    <tableColumn id="50" uniqueName="Winter Clothes Adult_LS" name="Winter Clothes Adult_LS" dataDxfId="90">
      <calculatedColumnFormula>IF(NFI_Expiration=1,IF(#REF!&lt;VLOOKUP(U$5,NFI,5,0),1,0)*Table_NFI[[#This Row],[Winter Clothes Adult]],Table_NFI[Winter Clothes Adult])</calculatedColumnFormula>
      <xmlColumnPr mapId="8" xpath="/dataroot/NFI_x005f_x0020_Tracking/Winter_x005f_x0020_Clothes_x005f_x0020_Adult_LS" xmlDataType="string"/>
    </tableColumn>
    <tableColumn id="49" uniqueName="Winter Clothes Children_LS" name="Winter Clothes Children_LS" dataDxfId="89">
      <xmlColumnPr mapId="8" xpath="/dataroot/NFI_x005f_x0020_Tracking/Winter_x005f_x0020_Clothes_x005f_x0020_Children_LS" xmlDataType="string"/>
    </tableColumn>
    <tableColumn id="48" uniqueName="Winter Items Other_LS" name="Winter Items Other_LS" dataDxfId="88">
      <xmlColumnPr mapId="8" xpath="/dataroot/NFI_x005f_x0020_Tracking/Winter_x005f_x0020_Items_x005f_x0020_Other_LS" xmlDataType="string"/>
    </tableColumn>
    <tableColumn id="33" uniqueName="Winter Blanket_LS" name="Winter Blanket_LS" dataDxfId="87">
      <xmlColumnPr mapId="8" xpath="/dataroot/NFI_x005f_x0020_Tracking/Winter_x005f_x0020_Blanket_LS" xmlDataType="string"/>
    </tableColumn>
    <tableColumn id="36" uniqueName="Winter" name="Winter" dataDxfId="86">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uniqueName="39" name="Jerry Can_LS" dataDxfId="85"/>
    <tableColumn id="42" uniqueName="42" name="Shelter Tool kit_LS" dataDxfId="84"/>
    <tableColumn id="30" uniqueName="30" name="CGIs" dataDxfId="83"/>
    <tableColumn id="35" uniqueName="35" name="Pillow" dataDxfId="82"/>
    <tableColumn id="34" uniqueName="34" name="Iron Box" dataDxfId="81"/>
    <tableColumn id="31" uniqueName="31" name="Bedding" dataDxfId="80"/>
    <tableColumn id="43" uniqueName="43" name="Tent_LS" dataDxfId="79"/>
    <tableColumn id="24" uniqueName="Pcode" name="Pcode" dataDxfId="78">
      <calculatedColumnFormula>IFERROR(VLOOKUP(Table_NFI[[#This Row],[Location]],CL,2,0),"")</calculatedColumnFormula>
      <xmlColumnPr mapId="8" xpath="/dataroot/NFI_x005f_x0020_Tracking/Pcode" xmlDataType="string"/>
    </tableColumn>
    <tableColumn id="37" uniqueName="Comment" name="Comment" dataDxfId="77">
      <xmlColumnPr mapId="8" xpath="/dataroot/NFI_x005f_x0020_Tracking/Comment" xmlDataType="string"/>
    </tableColumn>
  </tableColumns>
  <tableStyleInfo name="TableStyleMedium9" showFirstColumn="0" showLastColumn="0" showRowStripes="1" showColumnStripes="0"/>
</table>
</file>

<file path=xl/tables/table11.xml><?xml version="1.0" encoding="utf-8"?>
<table xmlns="http://schemas.openxmlformats.org/spreadsheetml/2006/main" id="10" name="Table10" displayName="Table10" ref="A1:N168" totalsRowShown="0" headerRowDxfId="74" headerRowBorderDxfId="73" tableBorderDxfId="72" totalsRowBorderDxfId="71">
  <autoFilter ref="A1:N168"/>
  <tableColumns count="14">
    <tableColumn id="5" name="Pcode" dataDxfId="70"/>
    <tableColumn id="2" name="Priority" dataDxfId="69">
      <calculatedColumnFormula>OFFSET(#REF!,MATCH(Table10[[#This Row],[Pcode]],CampList[CP_Pcode],0)-1,0,1,1)</calculatedColumnFormula>
    </tableColumn>
    <tableColumn id="1" name="Camp" dataDxfId="68">
      <calculatedColumnFormula>OFFSET(CampList[Camp],MATCH(Table10[[#This Row],[Pcode]],CampList[CP_Pcode],0)-1,0,1,1)</calculatedColumnFormula>
    </tableColumn>
    <tableColumn id="4" name="Township" dataDxfId="67">
      <calculatedColumnFormula>OFFSET(CampList[Township],MATCH(Table10[[#This Row],[Pcode]],CampList[CP_Pcode],0)-1,0,1,1)</calculatedColumnFormula>
    </tableColumn>
    <tableColumn id="6" name="HH" dataDxfId="66">
      <calculatedColumnFormula>OFFSET(CampList[HH],MATCH(Table10[[#This Row],[Pcode]],CampList[CP_Pcode],0)-1,0,1,1)</calculatedColumnFormula>
    </tableColumn>
    <tableColumn id="7" name="Ind" dataDxfId="65">
      <calculatedColumnFormula>OFFSET(CampList[Total],MATCH(Table10[[#This Row],[Pcode]],CampList[CP_Pcode],0)-1,0,1,1)</calculatedColumnFormula>
    </tableColumn>
    <tableColumn id="8" name="Winter Clothes Adult " dataDxfId="64">
      <calculatedColumnFormula>SUMIF('NFI Distributions'!AW$53:AW$1048576,Table10[[#This Row],[Pcode]],'NFI Distributions'!AL$53:AL$1048576)</calculatedColumnFormula>
    </tableColumn>
    <tableColumn id="9" name="Winter Clothes Children " dataDxfId="63">
      <calculatedColumnFormula>SUMIF('NFI Distributions'!AW$53:AW$1048576,Table10[[#This Row],[Pcode]],'NFI Distributions'!AM$53:AM$1048576)</calculatedColumnFormula>
    </tableColumn>
    <tableColumn id="10" name="Winter Items Other " dataDxfId="62">
      <calculatedColumnFormula>SUMIF('NFI Distributions'!AW$53:AW$1048576,Table10[[#This Row],[Pcode]],'NFI Distributions'!AN$53:AN$1048576)</calculatedColumnFormula>
    </tableColumn>
    <tableColumn id="11" name="WC_Adult_Gap" dataDxfId="61">
      <calculatedColumnFormula>MAX(Table10[[#This Row],[HH]]*VLOOKUP("Winter Clothes Adult",NFI,6)-Table10[[#This Row],[Winter Clothes Adult ]],0)</calculatedColumnFormula>
    </tableColumn>
    <tableColumn id="12" name="WC_Child_Gap" dataDxfId="60">
      <calculatedColumnFormula>MAX(Table10[[#This Row],[HH]]*VLOOKUP("Winter Clothes Children ",NFI,6)-Table10[[#This Row],[Winter Clothes Children ]],0)</calculatedColumnFormula>
    </tableColumn>
    <tableColumn id="13" name="WI_Other_Gap" dataDxfId="59">
      <calculatedColumnFormula>MAX(Table10[[#This Row],[HH]]*VLOOKUP("Winter Items Other ",NFI,6)-Table10[[#This Row],[Winter Items Other ]],0)</calculatedColumnFormula>
    </tableColumn>
    <tableColumn id="3" name="Planned Distribution" dataDxfId="58">
      <calculatedColumnFormula>IF(OR(Table10[[#This Row],[Winter Clothes Adult ]]&lt;&gt;0,Table10[[#This Row],[Winter Clothes Children ]]&lt;&gt;0,Table10[[#This Row],[Winter Items Other ]]&lt;&gt;0),"No","")</calculatedColumnFormula>
    </tableColumn>
    <tableColumn id="14" name="Check1" dataDxfId="57">
      <calculatedColumnFormula>COUNTIF(A:A,Table10[[#This Row],[Pcode]])-1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9" name="DistanceToCamp" displayName="DistanceToCamp" ref="A1:C201" totalsRowShown="0">
  <autoFilter ref="A1:C201"/>
  <sortState ref="A2:C166">
    <sortCondition ref="A1:A166"/>
  </sortState>
  <tableColumns count="3">
    <tableColumn id="1" name="CP_Pcode" dataDxfId="967"/>
    <tableColumn id="2" name="Nearest Town" dataDxfId="966"/>
    <tableColumn id="3" name="distance" dataDxfId="965"/>
  </tableColumns>
  <tableStyleInfo name="TableStyleMedium2" showFirstColumn="0" showLastColumn="0" showRowStripes="1" showColumnStripes="0"/>
</table>
</file>

<file path=xl/tables/table3.xml><?xml version="1.0" encoding="utf-8"?>
<table xmlns="http://schemas.openxmlformats.org/spreadsheetml/2006/main" id="3" name="Table3" displayName="Table3" ref="J1:J4" totalsRowShown="0" headerRowDxfId="964" dataDxfId="963">
  <autoFilter ref="J1:J4"/>
  <tableColumns count="1">
    <tableColumn id="1" name="State" dataDxfId="962"/>
  </tableColumns>
  <tableStyleInfo name="TableStyleMedium2" showFirstColumn="0" showLastColumn="0" showRowStripes="1" showColumnStripes="0"/>
</table>
</file>

<file path=xl/tables/table4.xml><?xml version="1.0" encoding="utf-8"?>
<table xmlns="http://schemas.openxmlformats.org/spreadsheetml/2006/main" id="5" name="Table5" displayName="Table5" ref="L1:L24" totalsRowShown="0" headerRowDxfId="961" dataDxfId="960">
  <autoFilter ref="L1:L24"/>
  <tableColumns count="1">
    <tableColumn id="1" name="Kachin" dataDxfId="959"/>
  </tableColumns>
  <tableStyleInfo name="TableStyleMedium2" showFirstColumn="0" showLastColumn="0" showRowStripes="1" showColumnStripes="0"/>
</table>
</file>

<file path=xl/tables/table5.xml><?xml version="1.0" encoding="utf-8"?>
<table xmlns="http://schemas.openxmlformats.org/spreadsheetml/2006/main" id="6" name="Table6" displayName="Table6" ref="N1:N8" totalsRowShown="0" headerRowDxfId="958" dataDxfId="957">
  <autoFilter ref="N1:N8"/>
  <tableColumns count="1">
    <tableColumn id="1" name="Shan_North" dataDxfId="956"/>
  </tableColumns>
  <tableStyleInfo name="TableStyleMedium2" showFirstColumn="0" showLastColumn="0" showRowStripes="1" showColumnStripes="0"/>
</table>
</file>

<file path=xl/tables/table6.xml><?xml version="1.0" encoding="utf-8"?>
<table xmlns="http://schemas.openxmlformats.org/spreadsheetml/2006/main" id="7" name="Table58" displayName="Table58" ref="T2:AG26" totalsRowCount="1" headerRowDxfId="921" dataDxfId="919" totalsRowDxfId="917" headerRowBorderDxfId="920" tableBorderDxfId="918" totalsRowBorderDxfId="916" dataCellStyle="Percent">
  <autoFilter ref="T2:AG25"/>
  <tableColumns count="14">
    <tableColumn id="1" name="Pcode" dataDxfId="915" totalsRowDxfId="914"/>
    <tableColumn id="2" name="Township" totalsRowLabel="Kachin/Shan" dataDxfId="913" totalsRowDxfId="912"/>
    <tableColumn id="3" name="Long." totalsRowLabel="96.00" dataDxfId="911" totalsRowDxfId="910"/>
    <tableColumn id="4" name="Lat." totalsRowLabel="27.00" dataDxfId="909" totalsRowDxfId="908"/>
    <tableColumn id="5" name="HS" totalsRowFunction="sum" dataDxfId="907" totalsRowDxfId="906">
      <calculatedColumnFormula>#REF!</calculatedColumnFormula>
    </tableColumn>
    <tableColumn id="6" name="Pop" totalsRowFunction="sum" dataDxfId="905" totalsRowDxfId="904" dataCellStyle="Comma"/>
    <tableColumn id="7" name="N_cps" totalsRowFunction="custom" dataDxfId="903" totalsRowDxfId="902">
      <calculatedColumnFormula>CONCATENATE(AG2," cp",IF(AG2&gt;1,"s",""))</calculatedColumnFormula>
      <totalsRowFormula>CONCATENATE(Table58[[#Totals],[Column1]]," camps")</totalsRowFormula>
    </tableColumn>
    <tableColumn id="8" name="Coverage" totalsRowFunction="custom" dataDxfId="901" totalsRowDxfId="900" dataCellStyle="Percent">
      <calculatedColumnFormula>#REF!</calculatedColumnFormula>
      <totalsRowFormula>SUMPRODUCT(Table58[Pop]*Table58[Coverage])/Table58[[#Totals],[Pop]]</totalsRowFormula>
    </tableColumn>
    <tableColumn id="9" name="Hygiene" totalsRowFunction="custom" dataDxfId="899" totalsRowDxfId="898" dataCellStyle="Percent">
      <totalsRowFormula>SUMPRODUCT(Table58[Pop]*Table58[Hygiene])/Table58[[#Totals],[Pop]]</totalsRowFormula>
    </tableColumn>
    <tableColumn id="10" name="Core" totalsRowFunction="custom" dataDxfId="897" totalsRowDxfId="896" dataCellStyle="Percent">
      <totalsRowFormula>SUMPRODUCT(Table58[Pop]*Table58[Core])/Table58[[#Totals],[Pop]]</totalsRowFormula>
    </tableColumn>
    <tableColumn id="11" name="Sanitary" totalsRowFunction="custom" dataDxfId="895" totalsRowDxfId="894" dataCellStyle="Percent">
      <totalsRowFormula>SUMPRODUCT(Table58[Pop]*Table58[Sanitary])/Table58[[#Totals],[Pop]]</totalsRowFormula>
    </tableColumn>
    <tableColumn id="12" name="Y" totalsRowFunction="custom" dataDxfId="893" totalsRowDxfId="892">
      <calculatedColumnFormula>$S$3-ROUND((W3-$S$1)*$S$5,0)</calculatedColumnFormula>
      <totalsRowFormula>1000-ROUND((W26-23.5)*$S$5,0)</totalsRowFormula>
    </tableColumn>
    <tableColumn id="13" name="X" totalsRowFunction="custom" dataDxfId="891" totalsRowDxfId="890">
      <calculatedColumnFormula>ROUND((V3-$S$2)*$S$5,0)+$S$4</calculatedColumnFormula>
      <totalsRowFormula>ROUND((V26-96.5)*$S$5,0)+100</totalsRowFormula>
    </tableColumn>
    <tableColumn id="14" name="Column1" totalsRowFunction="sum" dataDxfId="889" totalsRowDxfId="888" dataCellStyle="Comma">
      <calculatedColumnFormula>#REF!</calculatedColumnFormula>
    </tableColumn>
  </tableColumns>
  <tableStyleInfo name="TableStyleMedium10" showFirstColumn="0" showLastColumn="0" showRowStripes="1" showColumnStripes="0"/>
</table>
</file>

<file path=xl/tables/table7.xml><?xml version="1.0" encoding="utf-8"?>
<table xmlns="http://schemas.openxmlformats.org/spreadsheetml/2006/main" id="8" name="Shelter_Draw" displayName="Shelter_Draw" ref="CD16:CG32" totalsRowShown="0" headerRowDxfId="304" dataDxfId="302" headerRowBorderDxfId="303" tableBorderDxfId="301" totalsRowBorderDxfId="300">
  <autoFilter ref="CD16:CG32"/>
  <tableColumns count="4">
    <tableColumn id="1" name="Township" dataDxfId="299">
      <calculatedColumnFormula>B10</calculatedColumnFormula>
    </tableColumn>
    <tableColumn id="2" name="V1" dataDxfId="298">
      <calculatedColumnFormula>C10-Shelter_Draw[[#This Row],[V2]]-Shelter_Draw[[#This Row],[V3]]</calculatedColumnFormula>
    </tableColumn>
    <tableColumn id="3" name="V2" dataDxfId="297">
      <calculatedColumnFormula>H10</calculatedColumnFormula>
    </tableColumn>
    <tableColumn id="4" name="V3" dataDxfId="296">
      <calculatedColumnFormula>G10-H10</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4" name="Table4" displayName="Table4" ref="B9:H30" totalsRowShown="0" headerRowDxfId="295" dataDxfId="294" tableBorderDxfId="293">
  <tableColumns count="7">
    <tableColumn id="1" name="Township" dataDxfId="292"/>
    <tableColumn id="2" name="# HHs" dataDxfId="291"/>
    <tableColumn id="3" name="# Individuals" dataDxfId="290"/>
    <tableColumn id="4" name="# Shelters needed" dataDxfId="289"/>
    <tableColumn id="5" name="# Shelters planned" dataDxfId="288"/>
    <tableColumn id="6" name="# Shelter gap*" dataDxfId="287"/>
    <tableColumn id="7" name="Current Coverage" dataDxfId="286">
      <calculatedColumnFormula>IF(AND(E10=0,F10=0),"",IF((IFERROR(F10/E10,0))=0,"no coverage",F10/E10))</calculatedColumnFormula>
    </tableColumn>
  </tableColumns>
  <tableStyleInfo name="TableStyleLight1" showFirstColumn="0" showLastColumn="0" showRowStripes="1" showColumnStripes="0"/>
</table>
</file>

<file path=xl/tables/table9.xml><?xml version="1.0" encoding="utf-8"?>
<table xmlns="http://schemas.openxmlformats.org/spreadsheetml/2006/main" id="11" name="Table312" displayName="Table312" ref="B4:BW32" headerRowCount="0" totalsRowShown="0" headerRowDxfId="285" dataDxfId="283" headerRowBorderDxfId="284" tableBorderDxfId="282">
  <tableColumns count="74">
    <tableColumn id="1" name="Column1" headerRowDxfId="281" dataDxfId="280"/>
    <tableColumn id="2" name="Column2" headerRowDxfId="279" dataDxfId="278"/>
    <tableColumn id="3" name="Column3" headerRowDxfId="277" dataDxfId="276"/>
    <tableColumn id="4" name="Column4" headerRowDxfId="275" dataDxfId="274"/>
    <tableColumn id="5" name="Column5" headerRowDxfId="273" dataDxfId="272"/>
    <tableColumn id="6" name="Column6" headerRowDxfId="271" dataDxfId="270"/>
    <tableColumn id="7" name="Column7" headerRowDxfId="269" dataDxfId="268"/>
    <tableColumn id="8" name="Column8" headerRowDxfId="267" dataDxfId="266"/>
    <tableColumn id="9" name="Column9" headerRowDxfId="265" dataDxfId="264"/>
    <tableColumn id="10" name="Column10" headerRowDxfId="263" dataDxfId="262"/>
    <tableColumn id="11" name="Column11" headerRowDxfId="261" dataDxfId="260"/>
    <tableColumn id="65" name="Column65" headerRowDxfId="259" dataDxfId="258"/>
    <tableColumn id="64" name="Column64" headerRowDxfId="257" dataDxfId="256"/>
    <tableColumn id="63" name="Column63" headerRowDxfId="255" dataDxfId="254"/>
    <tableColumn id="59" name="Column62" headerRowDxfId="253" dataDxfId="252"/>
    <tableColumn id="58" name="Column61" headerRowDxfId="251" dataDxfId="250"/>
    <tableColumn id="57" name="Column60" headerRowDxfId="249" dataDxfId="248"/>
    <tableColumn id="12" name="Column12" headerRowDxfId="247" dataDxfId="246"/>
    <tableColumn id="13" name="Column13" headerRowDxfId="245" dataDxfId="244"/>
    <tableColumn id="14" name="Column14" headerRowDxfId="243" dataDxfId="242"/>
    <tableColumn id="15" name="Column15" headerRowDxfId="241" dataDxfId="240"/>
    <tableColumn id="16" name="Column16" headerRowDxfId="239" dataDxfId="238"/>
    <tableColumn id="17" name="Column17" headerRowDxfId="237" dataDxfId="236"/>
    <tableColumn id="18" name="Column18" headerRowDxfId="235" dataDxfId="234"/>
    <tableColumn id="19" name="Column19" headerRowDxfId="233" dataDxfId="232"/>
    <tableColumn id="20" name="Column20" headerRowDxfId="231" dataDxfId="230"/>
    <tableColumn id="21" name="Column21" headerRowDxfId="229" dataDxfId="228"/>
    <tableColumn id="22" name="Column22" headerRowDxfId="227" dataDxfId="226"/>
    <tableColumn id="23" name="Column23" headerRowDxfId="225" dataDxfId="224"/>
    <tableColumn id="24" name="Column24" headerRowDxfId="223" dataDxfId="222"/>
    <tableColumn id="25" name="Column25" headerRowDxfId="221" dataDxfId="220"/>
    <tableColumn id="26" name="Column26" headerRowDxfId="219" dataDxfId="218"/>
    <tableColumn id="27" name="Column27" headerRowDxfId="217" dataDxfId="216"/>
    <tableColumn id="28" name="Column28" headerRowDxfId="215" dataDxfId="214"/>
    <tableColumn id="29" name="Column29" headerRowDxfId="213" dataDxfId="212"/>
    <tableColumn id="30" name="Column30" headerRowDxfId="211" dataDxfId="210"/>
    <tableColumn id="31" name="Column31" headerRowDxfId="209" dataDxfId="208"/>
    <tableColumn id="32" name="Column32" headerRowDxfId="207" dataDxfId="206"/>
    <tableColumn id="60" name="Column57" headerRowDxfId="205" dataDxfId="204"/>
    <tableColumn id="61" name="Column58" headerRowDxfId="203" dataDxfId="202"/>
    <tableColumn id="62" name="Column59" headerRowDxfId="201" dataDxfId="200"/>
    <tableColumn id="33" name="Column33" headerRowDxfId="199" dataDxfId="198"/>
    <tableColumn id="34" name="Column34" headerRowDxfId="197" dataDxfId="196"/>
    <tableColumn id="35" name="Column35" headerRowDxfId="195" dataDxfId="194"/>
    <tableColumn id="36" name="Column36" headerRowDxfId="193" dataDxfId="192"/>
    <tableColumn id="37" name="Column37" headerRowDxfId="191" dataDxfId="190"/>
    <tableColumn id="38" name="Column38" headerRowDxfId="189" dataDxfId="188"/>
    <tableColumn id="51" name="Column51" headerRowDxfId="187" dataDxfId="186"/>
    <tableColumn id="52" name="Column52" headerRowDxfId="185" dataDxfId="184"/>
    <tableColumn id="53" name="Column53" headerRowDxfId="183" dataDxfId="182"/>
    <tableColumn id="54" name="Column54" headerRowDxfId="181" dataDxfId="180"/>
    <tableColumn id="55" name="Column55" headerRowDxfId="179" dataDxfId="178"/>
    <tableColumn id="56" name="Column56" headerRowDxfId="177" dataDxfId="176"/>
    <tableColumn id="72" name="Column68" headerRowDxfId="175" dataDxfId="174"/>
    <tableColumn id="71" name="Column67" headerRowDxfId="173" dataDxfId="172"/>
    <tableColumn id="70" name="Column66" headerRowDxfId="171" dataDxfId="170"/>
    <tableColumn id="74" name="Column71" headerRowDxfId="169" dataDxfId="168"/>
    <tableColumn id="73" name="Column70" headerRowDxfId="167" dataDxfId="166"/>
    <tableColumn id="69" name="Column69" headerRowDxfId="165" dataDxfId="164"/>
    <tableColumn id="39" name="Column39" headerRowDxfId="163" dataDxfId="162"/>
    <tableColumn id="40" name="Column40" headerRowDxfId="161" dataDxfId="160"/>
    <tableColumn id="41" name="Column41" headerRowDxfId="159" dataDxfId="158"/>
    <tableColumn id="42" name="Column42" headerRowDxfId="157" dataDxfId="156"/>
    <tableColumn id="43" name="Column43" headerRowDxfId="155" dataDxfId="154"/>
    <tableColumn id="44" name="Column44" headerRowDxfId="153" dataDxfId="152"/>
    <tableColumn id="45" name="Column45" headerRowDxfId="151" dataDxfId="150"/>
    <tableColumn id="46" name="Column46" headerRowDxfId="149" dataDxfId="148"/>
    <tableColumn id="47" name="Column47" headerRowDxfId="147" dataDxfId="146"/>
    <tableColumn id="48" name="Column48" headerRowDxfId="145" dataDxfId="144"/>
    <tableColumn id="49" name="Column49" headerRowDxfId="143" dataDxfId="142"/>
    <tableColumn id="50" name="Column50" headerRowDxfId="141" dataDxfId="140"/>
    <tableColumn id="66" name="Column482" headerRowDxfId="139" dataDxfId="138"/>
    <tableColumn id="67" name="Column493" headerRowDxfId="137" dataDxfId="136"/>
    <tableColumn id="68" name="Column504" headerRowDxfId="135" dataDxfId="134"/>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ivotTable" Target="../pivotTables/pivotTable1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4" Type="http://schemas.openxmlformats.org/officeDocument/2006/relationships/pivotTable" Target="../pivotTables/pivotTable16.xml"/></Relationships>
</file>

<file path=xl/worksheets/_rels/sheet14.xml.rels><?xml version="1.0" encoding="UTF-8" standalone="yes"?>
<Relationships xmlns="http://schemas.openxmlformats.org/package/2006/relationships"><Relationship Id="rId2" Type="http://schemas.openxmlformats.org/officeDocument/2006/relationships/pivotTable" Target="../pivotTables/pivotTable18.xml"/><Relationship Id="rId1" Type="http://schemas.openxmlformats.org/officeDocument/2006/relationships/pivotTable" Target="../pivotTables/pivotTable1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table" Target="../tables/table8.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openxmlformats.org/officeDocument/2006/relationships/comments" Target="../comments3.xml"/><Relationship Id="rId4" Type="http://schemas.openxmlformats.org/officeDocument/2006/relationships/table" Target="../tables/table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openxmlformats.org/officeDocument/2006/relationships/comments" Target="../comments4.xml"/><Relationship Id="rId4" Type="http://schemas.openxmlformats.org/officeDocument/2006/relationships/table" Target="../tables/table10.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printerSettings" Target="../printerSettings/printerSettings13.bin"/><Relationship Id="rId1" Type="http://schemas.openxmlformats.org/officeDocument/2006/relationships/pivotTable" Target="../pivotTables/pivotTable19.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22.xml"/><Relationship Id="rId7" Type="http://schemas.openxmlformats.org/officeDocument/2006/relationships/drawing" Target="../drawings/drawing12.xml"/><Relationship Id="rId2" Type="http://schemas.openxmlformats.org/officeDocument/2006/relationships/pivotTable" Target="../pivotTables/pivotTable21.xml"/><Relationship Id="rId1" Type="http://schemas.openxmlformats.org/officeDocument/2006/relationships/pivotTable" Target="../pivotTables/pivotTable20.xml"/><Relationship Id="rId6" Type="http://schemas.openxmlformats.org/officeDocument/2006/relationships/printerSettings" Target="../printerSettings/printerSettings14.bin"/><Relationship Id="rId5" Type="http://schemas.openxmlformats.org/officeDocument/2006/relationships/pivotTable" Target="../pivotTables/pivotTable24.xml"/><Relationship Id="rId4" Type="http://schemas.openxmlformats.org/officeDocument/2006/relationships/pivotTable" Target="../pivotTables/pivotTable2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2.bin"/><Relationship Id="rId4" Type="http://schemas.openxmlformats.org/officeDocument/2006/relationships/table" Target="../tables/table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ctrlProp" Target="../ctrlProps/ctrlProp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vmlDrawing" Target="../drawings/vmlDrawing2.vml"/><Relationship Id="rId5" Type="http://schemas.openxmlformats.org/officeDocument/2006/relationships/pivotTable" Target="../pivotTables/pivotTable5.xml"/><Relationship Id="rId10" Type="http://schemas.openxmlformats.org/officeDocument/2006/relationships/drawing" Target="../drawings/drawing2.xml"/><Relationship Id="rId4" Type="http://schemas.openxmlformats.org/officeDocument/2006/relationships/pivotTable" Target="../pivotTables/pivotTable4.xml"/><Relationship Id="rId9"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3.vml"/><Relationship Id="rId7" Type="http://schemas.openxmlformats.org/officeDocument/2006/relationships/ctrlProp" Target="../ctrlProps/ctrlProp2.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image" Target="../media/image6.emf"/><Relationship Id="rId11" Type="http://schemas.openxmlformats.org/officeDocument/2006/relationships/table" Target="../tables/table6.xml"/><Relationship Id="rId5" Type="http://schemas.openxmlformats.org/officeDocument/2006/relationships/control" Target="../activeX/activeX1.xml"/><Relationship Id="rId10" Type="http://schemas.openxmlformats.org/officeDocument/2006/relationships/ctrlProp" Target="../ctrlProps/ctrlProp5.xml"/><Relationship Id="rId4" Type="http://schemas.openxmlformats.org/officeDocument/2006/relationships/vmlDrawing" Target="../drawings/vmlDrawing4.vml"/><Relationship Id="rId9" Type="http://schemas.openxmlformats.org/officeDocument/2006/relationships/ctrlProp" Target="../ctrlProps/ctrlProp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9" tint="0.59999389629810485"/>
  </sheetPr>
  <dimension ref="A1:AI310"/>
  <sheetViews>
    <sheetView showGridLines="0" showZeros="0" tabSelected="1" zoomScaleNormal="100" workbookViewId="0">
      <pane xSplit="2" ySplit="4" topLeftCell="C5" activePane="bottomRight" state="frozen"/>
      <selection pane="topRight" activeCell="C1" sqref="C1"/>
      <selection pane="bottomLeft" activeCell="A5" sqref="A5"/>
      <selection pane="bottomRight" activeCell="B49" sqref="B49"/>
    </sheetView>
  </sheetViews>
  <sheetFormatPr defaultColWidth="8.88671875" defaultRowHeight="15.6" customHeight="1" x14ac:dyDescent="0.3"/>
  <cols>
    <col min="1" max="1" width="1.33203125" style="172" customWidth="1"/>
    <col min="2" max="2" width="10.109375" style="235" customWidth="1"/>
    <col min="3" max="3" width="11.88671875" style="235" customWidth="1"/>
    <col min="4" max="4" width="12.88671875" style="571" customWidth="1"/>
    <col min="5" max="5" width="14.6640625" style="571" customWidth="1"/>
    <col min="6" max="6" width="13.33203125" style="571" bestFit="1" customWidth="1"/>
    <col min="7" max="7" width="14.109375" style="571" bestFit="1" customWidth="1"/>
    <col min="8" max="8" width="13" style="571" bestFit="1" customWidth="1"/>
    <col min="9" max="9" width="33.33203125" style="571" customWidth="1"/>
    <col min="10" max="10" width="15.33203125" style="571" bestFit="1" customWidth="1"/>
    <col min="11" max="11" width="19.88671875" style="571" customWidth="1"/>
    <col min="12" max="12" width="17.88671875" style="571" bestFit="1" customWidth="1"/>
    <col min="13" max="13" width="31.88671875" style="571" customWidth="1"/>
    <col min="14" max="14" width="15.6640625" style="571" bestFit="1" customWidth="1"/>
    <col min="15" max="15" width="14.44140625" style="572" bestFit="1" customWidth="1"/>
    <col min="16" max="17" width="12.88671875" style="572" bestFit="1" customWidth="1"/>
    <col min="18" max="18" width="8.6640625" style="183" customWidth="1"/>
    <col min="19" max="19" width="8" style="573" customWidth="1"/>
    <col min="20" max="20" width="7.88671875" style="574" customWidth="1"/>
    <col min="21" max="21" width="11.6640625" style="183" customWidth="1"/>
    <col min="22" max="22" width="14" style="183" customWidth="1"/>
    <col min="23" max="23" width="15.109375" style="183" customWidth="1"/>
    <col min="24" max="24" width="11" style="183" customWidth="1"/>
    <col min="25" max="25" width="15.109375" style="575" customWidth="1"/>
    <col min="26" max="26" width="15.33203125" style="576" customWidth="1"/>
    <col min="27" max="27" width="6.5546875" style="571" customWidth="1"/>
    <col min="28" max="28" width="12.44140625" style="572" customWidth="1"/>
    <col min="29" max="29" width="46.6640625" style="577" customWidth="1"/>
    <col min="30" max="30" width="16.6640625" style="183" customWidth="1"/>
    <col min="31" max="31" width="12.5546875" style="578" customWidth="1"/>
    <col min="32" max="32" width="23.33203125" style="572" customWidth="1"/>
    <col min="33" max="33" width="9.109375" style="172"/>
    <col min="34" max="34" width="9.109375" style="171"/>
    <col min="35" max="35" width="8.88671875" style="171"/>
    <col min="36" max="44" width="8.88671875" style="172"/>
    <col min="45" max="46" width="9.109375" style="172" customWidth="1"/>
    <col min="47" max="16384" width="8.88671875" style="172"/>
  </cols>
  <sheetData>
    <row r="1" spans="2:35" ht="8.4" customHeight="1" x14ac:dyDescent="0.3"/>
    <row r="2" spans="2:35" s="171" customFormat="1" ht="15.6" customHeight="1" x14ac:dyDescent="0.3">
      <c r="B2" s="558" t="s">
        <v>1286</v>
      </c>
      <c r="C2" s="559"/>
      <c r="D2" s="559"/>
      <c r="E2" s="559"/>
      <c r="F2" s="559"/>
      <c r="G2" s="559"/>
      <c r="H2" s="559"/>
      <c r="I2" s="559" t="s">
        <v>1377</v>
      </c>
      <c r="J2" s="559"/>
      <c r="K2" s="519"/>
      <c r="L2" s="559"/>
      <c r="M2" s="814" t="s">
        <v>1381</v>
      </c>
      <c r="N2" s="559"/>
      <c r="O2" s="560"/>
      <c r="P2" s="560"/>
      <c r="Q2" s="560"/>
      <c r="R2" s="519"/>
      <c r="S2" s="519"/>
      <c r="T2" s="561"/>
      <c r="U2" s="562"/>
      <c r="V2" s="562"/>
      <c r="W2" s="562"/>
      <c r="X2" s="562"/>
      <c r="Y2" s="563"/>
      <c r="Z2" s="564"/>
      <c r="AA2" s="559"/>
      <c r="AB2" s="560"/>
      <c r="AC2" s="579"/>
      <c r="AD2" s="580"/>
      <c r="AE2" s="581"/>
      <c r="AF2" s="582"/>
    </row>
    <row r="3" spans="2:35" s="171" customFormat="1" ht="45" customHeight="1" x14ac:dyDescent="0.3">
      <c r="B3" s="812">
        <f>Definition!B23</f>
        <v>43585</v>
      </c>
      <c r="C3" s="813"/>
      <c r="D3" s="813"/>
      <c r="G3" s="565"/>
      <c r="H3" s="565"/>
      <c r="I3" s="566" t="s">
        <v>1545</v>
      </c>
      <c r="J3" s="565"/>
      <c r="K3" s="567"/>
      <c r="L3" s="565"/>
      <c r="M3" s="815"/>
      <c r="N3" s="566"/>
      <c r="O3" s="568"/>
      <c r="P3" s="568"/>
      <c r="Q3" s="568"/>
      <c r="R3" s="520"/>
      <c r="S3" s="520"/>
      <c r="T3" s="569"/>
      <c r="U3" s="570"/>
      <c r="V3" s="570"/>
      <c r="W3" s="756"/>
      <c r="X3" s="816" t="s">
        <v>1832</v>
      </c>
      <c r="Y3" s="816"/>
      <c r="Z3" s="757"/>
      <c r="AA3" s="817" t="s">
        <v>1833</v>
      </c>
      <c r="AB3" s="817"/>
      <c r="AC3" s="817"/>
      <c r="AD3" s="583"/>
      <c r="AE3" s="584"/>
      <c r="AF3" s="585"/>
    </row>
    <row r="4" spans="2:35" s="591" customFormat="1" ht="15.75" customHeight="1" x14ac:dyDescent="0.3">
      <c r="B4" s="187" t="s">
        <v>458</v>
      </c>
      <c r="C4" s="187" t="s">
        <v>392</v>
      </c>
      <c r="D4" s="586" t="s">
        <v>827</v>
      </c>
      <c r="E4" s="187" t="s">
        <v>477</v>
      </c>
      <c r="F4" s="586" t="s">
        <v>828</v>
      </c>
      <c r="G4" s="187" t="s">
        <v>0</v>
      </c>
      <c r="H4" s="586" t="s">
        <v>829</v>
      </c>
      <c r="I4" s="187" t="s">
        <v>830</v>
      </c>
      <c r="J4" s="586" t="s">
        <v>831</v>
      </c>
      <c r="K4" s="187" t="s">
        <v>476</v>
      </c>
      <c r="L4" s="586" t="s">
        <v>832</v>
      </c>
      <c r="M4" s="187" t="s">
        <v>507</v>
      </c>
      <c r="N4" s="187" t="s">
        <v>833</v>
      </c>
      <c r="O4" s="187" t="s">
        <v>1</v>
      </c>
      <c r="P4" s="320" t="s">
        <v>1082</v>
      </c>
      <c r="Q4" s="587" t="s">
        <v>780</v>
      </c>
      <c r="R4" s="320" t="s">
        <v>2</v>
      </c>
      <c r="S4" s="193" t="s">
        <v>3</v>
      </c>
      <c r="T4" s="198" t="s">
        <v>451</v>
      </c>
      <c r="U4" s="187" t="s">
        <v>457</v>
      </c>
      <c r="V4" s="320" t="s">
        <v>1034</v>
      </c>
      <c r="W4" s="187" t="s">
        <v>398</v>
      </c>
      <c r="X4" s="320" t="s">
        <v>781</v>
      </c>
      <c r="Y4" s="592" t="s">
        <v>782</v>
      </c>
      <c r="Z4" s="320" t="s">
        <v>834</v>
      </c>
      <c r="AA4" s="298" t="s">
        <v>452</v>
      </c>
      <c r="AB4" s="199" t="s">
        <v>461</v>
      </c>
      <c r="AC4" s="200" t="s">
        <v>456</v>
      </c>
      <c r="AD4" s="187" t="s">
        <v>991</v>
      </c>
      <c r="AE4" s="521" t="s">
        <v>992</v>
      </c>
      <c r="AF4" s="521" t="s">
        <v>1013</v>
      </c>
      <c r="AH4" s="320"/>
      <c r="AI4" s="320"/>
    </row>
    <row r="5" spans="2:35" ht="15.75" customHeight="1" x14ac:dyDescent="0.3">
      <c r="B5" s="201" t="s">
        <v>1692</v>
      </c>
      <c r="C5" s="195" t="s">
        <v>378</v>
      </c>
      <c r="D5" s="195" t="s">
        <v>478</v>
      </c>
      <c r="E5" s="195" t="s">
        <v>237</v>
      </c>
      <c r="F5" s="195" t="s">
        <v>484</v>
      </c>
      <c r="G5" s="195" t="s">
        <v>237</v>
      </c>
      <c r="H5" s="195" t="s">
        <v>488</v>
      </c>
      <c r="I5" s="195" t="s">
        <v>611</v>
      </c>
      <c r="J5" s="195" t="s">
        <v>612</v>
      </c>
      <c r="K5" s="195" t="s">
        <v>616</v>
      </c>
      <c r="L5" s="195" t="s">
        <v>617</v>
      </c>
      <c r="M5" s="195" t="s">
        <v>238</v>
      </c>
      <c r="N5" s="195" t="s">
        <v>236</v>
      </c>
      <c r="O5" s="202">
        <v>97.386718999999999</v>
      </c>
      <c r="P5" s="202">
        <v>25.415482000000001</v>
      </c>
      <c r="Q5" s="203">
        <v>0</v>
      </c>
      <c r="R5" s="808">
        <v>78</v>
      </c>
      <c r="S5" s="808">
        <v>424</v>
      </c>
      <c r="T5" s="205">
        <f>IF(CampList[[#This Row],[HH]]&gt;0,CampList[[#This Row],[Total]]/CampList[[#This Row],[HH]],"NA")</f>
        <v>5.4358974358974361</v>
      </c>
      <c r="U5" s="197" t="s">
        <v>464</v>
      </c>
      <c r="V5" s="197" t="s">
        <v>993</v>
      </c>
      <c r="W5" s="197" t="s">
        <v>507</v>
      </c>
      <c r="X5" s="197" t="s">
        <v>742</v>
      </c>
      <c r="Y5" s="308">
        <v>40695</v>
      </c>
      <c r="Z5" s="206" t="s">
        <v>1835</v>
      </c>
      <c r="AA5" s="195" t="s">
        <v>774</v>
      </c>
      <c r="AB5" s="208">
        <v>43593</v>
      </c>
      <c r="AC5" s="209" t="s">
        <v>1969</v>
      </c>
      <c r="AD5" s="197" t="str">
        <f ca="1">IFERROR(OFFSET(DistanceToCamp[Nearest Town],MATCH(CampList[[#This Row],[CP_Pcode]],DistanceToCamp[CP_Pcode],0)-1,0,1,1),"")</f>
        <v>Myitkyina Town</v>
      </c>
      <c r="AE5" s="210">
        <f ca="1">IFERROR(OFFSET(DistanceToCamp[distance],MATCH(CampList[[#This Row],[CP_Pcode]],DistanceToCamp[CP_Pcode],0)-1,0,1,1),"")</f>
        <v>3.1341427522963001</v>
      </c>
      <c r="AF5" s="211">
        <f ca="1">IFERROR(INT(CampList[[#This Row],[Distance]]/5)+1,"")</f>
        <v>1</v>
      </c>
      <c r="AG5" s="211"/>
    </row>
    <row r="6" spans="2:35" ht="15.75" customHeight="1" x14ac:dyDescent="0.3">
      <c r="B6" s="201" t="s">
        <v>1692</v>
      </c>
      <c r="C6" s="195" t="s">
        <v>378</v>
      </c>
      <c r="D6" s="195" t="s">
        <v>478</v>
      </c>
      <c r="E6" s="195" t="s">
        <v>237</v>
      </c>
      <c r="F6" s="195" t="s">
        <v>484</v>
      </c>
      <c r="G6" s="195" t="s">
        <v>237</v>
      </c>
      <c r="H6" s="195" t="s">
        <v>488</v>
      </c>
      <c r="I6" s="195" t="s">
        <v>611</v>
      </c>
      <c r="J6" s="195" t="s">
        <v>612</v>
      </c>
      <c r="K6" s="195" t="s">
        <v>620</v>
      </c>
      <c r="L6" s="195"/>
      <c r="M6" s="195" t="s">
        <v>268</v>
      </c>
      <c r="N6" s="195" t="s">
        <v>267</v>
      </c>
      <c r="O6" s="202">
        <v>97.394547000000003</v>
      </c>
      <c r="P6" s="202">
        <v>25.422194000000001</v>
      </c>
      <c r="Q6" s="203">
        <v>0</v>
      </c>
      <c r="R6" s="270">
        <v>67</v>
      </c>
      <c r="S6" s="270">
        <v>291</v>
      </c>
      <c r="T6" s="205">
        <f>IF(CampList[[#This Row],[HH]]&gt;0,CampList[[#This Row],[Total]]/CampList[[#This Row],[HH]],"NA")</f>
        <v>4.3432835820895521</v>
      </c>
      <c r="U6" s="197" t="s">
        <v>464</v>
      </c>
      <c r="V6" s="197" t="s">
        <v>993</v>
      </c>
      <c r="W6" s="197" t="s">
        <v>507</v>
      </c>
      <c r="X6" s="197" t="s">
        <v>742</v>
      </c>
      <c r="Y6" s="308">
        <v>40695</v>
      </c>
      <c r="Z6" s="636" t="s">
        <v>1835</v>
      </c>
      <c r="AA6" s="195" t="s">
        <v>774</v>
      </c>
      <c r="AB6" s="208">
        <v>43593</v>
      </c>
      <c r="AC6" s="209" t="s">
        <v>1970</v>
      </c>
      <c r="AD6" s="197" t="str">
        <f ca="1">IFERROR(OFFSET(DistanceToCamp[Nearest Town],MATCH(CampList[[#This Row],[CP_Pcode]],DistanceToCamp[CP_Pcode],0)-1,0,1,1),"")</f>
        <v>Myitkyina Town</v>
      </c>
      <c r="AE6" s="210">
        <f ca="1">IFERROR(OFFSET(DistanceToCamp[distance],MATCH(CampList[[#This Row],[CP_Pcode]],DistanceToCamp[CP_Pcode],0)-1,0,1,1),"")</f>
        <v>3.8820329084732199</v>
      </c>
      <c r="AF6" s="211">
        <f ca="1">IFERROR(INT(CampList[[#This Row],[Distance]]/5)+1,"")</f>
        <v>1</v>
      </c>
    </row>
    <row r="7" spans="2:35" ht="15.75" customHeight="1" x14ac:dyDescent="0.3">
      <c r="B7" s="201" t="s">
        <v>1692</v>
      </c>
      <c r="C7" s="195" t="s">
        <v>378</v>
      </c>
      <c r="D7" s="195" t="s">
        <v>478</v>
      </c>
      <c r="E7" s="195" t="s">
        <v>237</v>
      </c>
      <c r="F7" s="195" t="s">
        <v>484</v>
      </c>
      <c r="G7" s="195" t="s">
        <v>237</v>
      </c>
      <c r="H7" s="195" t="s">
        <v>488</v>
      </c>
      <c r="I7" s="195" t="s">
        <v>611</v>
      </c>
      <c r="J7" s="195" t="s">
        <v>612</v>
      </c>
      <c r="K7" s="195" t="s">
        <v>616</v>
      </c>
      <c r="L7" s="195" t="s">
        <v>617</v>
      </c>
      <c r="M7" s="195" t="s">
        <v>250</v>
      </c>
      <c r="N7" s="195" t="s">
        <v>249</v>
      </c>
      <c r="O7" s="202">
        <v>97.377662999999998</v>
      </c>
      <c r="P7" s="202">
        <v>25.404752999999999</v>
      </c>
      <c r="Q7" s="203">
        <v>0</v>
      </c>
      <c r="R7" s="270">
        <v>33</v>
      </c>
      <c r="S7" s="270">
        <v>184</v>
      </c>
      <c r="T7" s="205">
        <f>IF(CampList[[#This Row],[HH]]&gt;0,CampList[[#This Row],[Total]]/CampList[[#This Row],[HH]],"NA")</f>
        <v>5.5757575757575761</v>
      </c>
      <c r="U7" s="197" t="s">
        <v>464</v>
      </c>
      <c r="V7" s="197" t="s">
        <v>993</v>
      </c>
      <c r="W7" s="197" t="s">
        <v>507</v>
      </c>
      <c r="X7" s="197" t="s">
        <v>742</v>
      </c>
      <c r="Y7" s="308">
        <v>40725</v>
      </c>
      <c r="Z7" s="636" t="s">
        <v>1835</v>
      </c>
      <c r="AA7" s="195" t="s">
        <v>774</v>
      </c>
      <c r="AB7" s="208">
        <v>43593</v>
      </c>
      <c r="AC7" s="209" t="s">
        <v>1971</v>
      </c>
      <c r="AD7" s="197" t="str">
        <f ca="1">IFERROR(OFFSET(DistanceToCamp[Nearest Town],MATCH(CampList[[#This Row],[CP_Pcode]],DistanceToCamp[CP_Pcode],0)-1,0,1,1),"")</f>
        <v>Myitkyina Town</v>
      </c>
      <c r="AE7" s="210">
        <f ca="1">IFERROR(OFFSET(DistanceToCamp[distance],MATCH(CampList[[#This Row],[CP_Pcode]],DistanceToCamp[CP_Pcode],0)-1,0,1,1),"")</f>
        <v>2.30454782591254</v>
      </c>
      <c r="AF7" s="211">
        <f ca="1">IFERROR(INT(CampList[[#This Row],[Distance]]/5)+1,"")</f>
        <v>1</v>
      </c>
    </row>
    <row r="8" spans="2:35" ht="15.75" customHeight="1" x14ac:dyDescent="0.3">
      <c r="B8" s="201" t="s">
        <v>1692</v>
      </c>
      <c r="C8" s="195" t="s">
        <v>378</v>
      </c>
      <c r="D8" s="195" t="s">
        <v>478</v>
      </c>
      <c r="E8" s="195" t="s">
        <v>237</v>
      </c>
      <c r="F8" s="195" t="s">
        <v>484</v>
      </c>
      <c r="G8" s="195" t="s">
        <v>237</v>
      </c>
      <c r="H8" s="195" t="s">
        <v>488</v>
      </c>
      <c r="I8" s="195" t="s">
        <v>611</v>
      </c>
      <c r="J8" s="195" t="s">
        <v>612</v>
      </c>
      <c r="K8" s="195" t="s">
        <v>616</v>
      </c>
      <c r="L8" s="195" t="s">
        <v>617</v>
      </c>
      <c r="M8" s="195" t="s">
        <v>248</v>
      </c>
      <c r="N8" s="195" t="s">
        <v>247</v>
      </c>
      <c r="O8" s="202">
        <v>97.389778000000007</v>
      </c>
      <c r="P8" s="202">
        <v>25.417733999999999</v>
      </c>
      <c r="Q8" s="203">
        <v>0</v>
      </c>
      <c r="R8" s="270">
        <v>17</v>
      </c>
      <c r="S8" s="270">
        <v>83</v>
      </c>
      <c r="T8" s="205">
        <f>IF(CampList[[#This Row],[HH]]&gt;0,CampList[[#This Row],[Total]]/CampList[[#This Row],[HH]],"NA")</f>
        <v>4.882352941176471</v>
      </c>
      <c r="U8" s="197" t="s">
        <v>464</v>
      </c>
      <c r="V8" s="197" t="s">
        <v>993</v>
      </c>
      <c r="W8" s="197" t="s">
        <v>507</v>
      </c>
      <c r="X8" s="197" t="s">
        <v>742</v>
      </c>
      <c r="Y8" s="308">
        <v>40756</v>
      </c>
      <c r="Z8" s="636" t="s">
        <v>462</v>
      </c>
      <c r="AA8" s="195" t="s">
        <v>774</v>
      </c>
      <c r="AB8" s="208">
        <v>43593</v>
      </c>
      <c r="AC8" s="209" t="s">
        <v>2069</v>
      </c>
      <c r="AD8" s="197" t="str">
        <f ca="1">IFERROR(OFFSET(DistanceToCamp[Nearest Town],MATCH(CampList[[#This Row],[CP_Pcode]],DistanceToCamp[CP_Pcode],0)-1,0,1,1),"")</f>
        <v>Myitkyina Town</v>
      </c>
      <c r="AE8" s="210">
        <f ca="1">IFERROR(OFFSET(DistanceToCamp[distance],MATCH(CampList[[#This Row],[CP_Pcode]],DistanceToCamp[CP_Pcode],0)-1,0,1,1),"")</f>
        <v>3.3637010801853577</v>
      </c>
      <c r="AF8" s="211">
        <f ca="1">IFERROR(INT(CampList[[#This Row],[Distance]]/5)+1,"")</f>
        <v>1</v>
      </c>
    </row>
    <row r="9" spans="2:35" ht="15.75" customHeight="1" x14ac:dyDescent="0.3">
      <c r="B9" s="201" t="s">
        <v>1692</v>
      </c>
      <c r="C9" s="195" t="s">
        <v>378</v>
      </c>
      <c r="D9" s="195" t="s">
        <v>478</v>
      </c>
      <c r="E9" s="195" t="s">
        <v>237</v>
      </c>
      <c r="F9" s="195" t="s">
        <v>484</v>
      </c>
      <c r="G9" s="195" t="s">
        <v>237</v>
      </c>
      <c r="H9" s="195" t="s">
        <v>488</v>
      </c>
      <c r="I9" s="195" t="s">
        <v>611</v>
      </c>
      <c r="J9" s="195" t="s">
        <v>612</v>
      </c>
      <c r="K9" s="195" t="s">
        <v>616</v>
      </c>
      <c r="L9" s="195" t="s">
        <v>617</v>
      </c>
      <c r="M9" s="195" t="s">
        <v>274</v>
      </c>
      <c r="N9" s="195" t="s">
        <v>273</v>
      </c>
      <c r="O9" s="202">
        <v>97.382192000000003</v>
      </c>
      <c r="P9" s="202">
        <v>25.404015000000001</v>
      </c>
      <c r="Q9" s="203">
        <v>0</v>
      </c>
      <c r="R9" s="270">
        <v>46</v>
      </c>
      <c r="S9" s="270">
        <v>242</v>
      </c>
      <c r="T9" s="205">
        <f>IF(CampList[[#This Row],[HH]]&gt;0,CampList[[#This Row],[Total]]/CampList[[#This Row],[HH]],"NA")</f>
        <v>5.2608695652173916</v>
      </c>
      <c r="U9" s="197" t="s">
        <v>464</v>
      </c>
      <c r="V9" s="197" t="s">
        <v>993</v>
      </c>
      <c r="W9" s="197" t="s">
        <v>507</v>
      </c>
      <c r="X9" s="197" t="s">
        <v>742</v>
      </c>
      <c r="Y9" s="308">
        <v>40817</v>
      </c>
      <c r="Z9" s="636" t="s">
        <v>1835</v>
      </c>
      <c r="AA9" s="195" t="s">
        <v>774</v>
      </c>
      <c r="AB9" s="208">
        <v>43593</v>
      </c>
      <c r="AC9" s="209" t="s">
        <v>1972</v>
      </c>
      <c r="AD9" s="197" t="str">
        <f ca="1">IFERROR(OFFSET(DistanceToCamp[Nearest Town],MATCH(CampList[[#This Row],[CP_Pcode]],DistanceToCamp[CP_Pcode],0)-1,0,1,1),"")</f>
        <v>Myitkyina Town</v>
      </c>
      <c r="AE9" s="210">
        <f ca="1">IFERROR(OFFSET(DistanceToCamp[distance],MATCH(CampList[[#This Row],[CP_Pcode]],DistanceToCamp[CP_Pcode],0)-1,0,1,1),"")</f>
        <v>2.0123527499589278</v>
      </c>
      <c r="AF9" s="211">
        <f ca="1">IFERROR(INT(CampList[[#This Row],[Distance]]/5)+1,"")</f>
        <v>1</v>
      </c>
    </row>
    <row r="10" spans="2:35" ht="15.75" customHeight="1" x14ac:dyDescent="0.3">
      <c r="B10" s="201" t="s">
        <v>1692</v>
      </c>
      <c r="C10" s="195" t="s">
        <v>378</v>
      </c>
      <c r="D10" s="195" t="s">
        <v>478</v>
      </c>
      <c r="E10" s="195" t="s">
        <v>237</v>
      </c>
      <c r="F10" s="195" t="s">
        <v>484</v>
      </c>
      <c r="G10" s="195" t="s">
        <v>237</v>
      </c>
      <c r="H10" s="195" t="s">
        <v>488</v>
      </c>
      <c r="I10" s="195" t="s">
        <v>611</v>
      </c>
      <c r="J10" s="195" t="s">
        <v>612</v>
      </c>
      <c r="K10" s="195" t="s">
        <v>621</v>
      </c>
      <c r="L10" s="195" t="s">
        <v>622</v>
      </c>
      <c r="M10" s="195" t="s">
        <v>276</v>
      </c>
      <c r="N10" s="195" t="s">
        <v>275</v>
      </c>
      <c r="O10" s="202">
        <v>97.399628000000007</v>
      </c>
      <c r="P10" s="202">
        <v>25.412313000000001</v>
      </c>
      <c r="Q10" s="203">
        <v>0</v>
      </c>
      <c r="R10" s="270">
        <v>124</v>
      </c>
      <c r="S10" s="270">
        <v>609</v>
      </c>
      <c r="T10" s="205">
        <f>IF(CampList[[#This Row],[HH]]&gt;0,CampList[[#This Row],[Total]]/CampList[[#This Row],[HH]],"NA")</f>
        <v>4.911290322580645</v>
      </c>
      <c r="U10" s="197" t="s">
        <v>464</v>
      </c>
      <c r="V10" s="197" t="s">
        <v>993</v>
      </c>
      <c r="W10" s="197" t="s">
        <v>507</v>
      </c>
      <c r="X10" s="197" t="s">
        <v>742</v>
      </c>
      <c r="Y10" s="308">
        <v>40756</v>
      </c>
      <c r="Z10" s="636" t="s">
        <v>1835</v>
      </c>
      <c r="AA10" s="195" t="s">
        <v>774</v>
      </c>
      <c r="AB10" s="208">
        <v>43593</v>
      </c>
      <c r="AC10" s="209" t="s">
        <v>1973</v>
      </c>
      <c r="AD10" s="197" t="str">
        <f ca="1">IFERROR(OFFSET(DistanceToCamp[Nearest Town],MATCH(CampList[[#This Row],[CP_Pcode]],DistanceToCamp[CP_Pcode],0)-1,0,1,1),"")</f>
        <v>Myitkyina Town</v>
      </c>
      <c r="AE10" s="210">
        <f ca="1">IFERROR(OFFSET(DistanceToCamp[distance],MATCH(CampList[[#This Row],[CP_Pcode]],DistanceToCamp[CP_Pcode],0)-1,0,1,1),"")</f>
        <v>2.9133254097712102</v>
      </c>
      <c r="AF10" s="211">
        <f ca="1">IFERROR(INT(CampList[[#This Row],[Distance]]/5)+1,"")</f>
        <v>1</v>
      </c>
    </row>
    <row r="11" spans="2:35" ht="15.75" customHeight="1" x14ac:dyDescent="0.3">
      <c r="B11" s="201" t="s">
        <v>1692</v>
      </c>
      <c r="C11" s="195" t="s">
        <v>378</v>
      </c>
      <c r="D11" s="195" t="s">
        <v>478</v>
      </c>
      <c r="E11" s="195" t="s">
        <v>237</v>
      </c>
      <c r="F11" s="195" t="s">
        <v>484</v>
      </c>
      <c r="G11" s="195" t="s">
        <v>237</v>
      </c>
      <c r="H11" s="195" t="s">
        <v>488</v>
      </c>
      <c r="I11" s="195" t="s">
        <v>611</v>
      </c>
      <c r="J11" s="195" t="s">
        <v>612</v>
      </c>
      <c r="K11" s="195" t="s">
        <v>621</v>
      </c>
      <c r="L11" s="195" t="s">
        <v>622</v>
      </c>
      <c r="M11" s="195" t="s">
        <v>278</v>
      </c>
      <c r="N11" s="195" t="s">
        <v>277</v>
      </c>
      <c r="O11" s="202">
        <v>97.418004999999994</v>
      </c>
      <c r="P11" s="202">
        <v>25.423817</v>
      </c>
      <c r="Q11" s="203">
        <v>0</v>
      </c>
      <c r="R11" s="270">
        <v>24</v>
      </c>
      <c r="S11" s="270">
        <v>111</v>
      </c>
      <c r="T11" s="205">
        <f>IF(CampList[[#This Row],[HH]]&gt;0,CampList[[#This Row],[Total]]/CampList[[#This Row],[HH]],"NA")</f>
        <v>4.625</v>
      </c>
      <c r="U11" s="197" t="s">
        <v>464</v>
      </c>
      <c r="V11" s="197" t="s">
        <v>993</v>
      </c>
      <c r="W11" s="197" t="s">
        <v>507</v>
      </c>
      <c r="X11" s="197" t="s">
        <v>742</v>
      </c>
      <c r="Y11" s="308">
        <v>40909</v>
      </c>
      <c r="Z11" s="206" t="s">
        <v>462</v>
      </c>
      <c r="AA11" s="195" t="s">
        <v>774</v>
      </c>
      <c r="AB11" s="208">
        <v>43593</v>
      </c>
      <c r="AC11" s="209" t="s">
        <v>2070</v>
      </c>
      <c r="AD11" s="197" t="str">
        <f ca="1">IFERROR(OFFSET(DistanceToCamp[Nearest Town],MATCH(CampList[[#This Row],[CP_Pcode]],DistanceToCamp[CP_Pcode],0)-1,0,1,1),"")</f>
        <v>Myitkyina Town</v>
      </c>
      <c r="AE11" s="210">
        <f ca="1">IFERROR(OFFSET(DistanceToCamp[distance],MATCH(CampList[[#This Row],[CP_Pcode]],DistanceToCamp[CP_Pcode],0)-1,0,1,1),"")</f>
        <v>4.9021696969220816</v>
      </c>
      <c r="AF11" s="211">
        <f ca="1">IFERROR(INT(CampList[[#This Row],[Distance]]/5)+1,"")</f>
        <v>1</v>
      </c>
    </row>
    <row r="12" spans="2:35" ht="15.75" customHeight="1" x14ac:dyDescent="0.3">
      <c r="B12" s="201" t="s">
        <v>1692</v>
      </c>
      <c r="C12" s="195" t="s">
        <v>378</v>
      </c>
      <c r="D12" s="195" t="s">
        <v>478</v>
      </c>
      <c r="E12" s="195" t="s">
        <v>237</v>
      </c>
      <c r="F12" s="195" t="s">
        <v>484</v>
      </c>
      <c r="G12" s="195" t="s">
        <v>237</v>
      </c>
      <c r="H12" s="195" t="s">
        <v>488</v>
      </c>
      <c r="I12" s="209" t="s">
        <v>611</v>
      </c>
      <c r="J12" s="209" t="s">
        <v>612</v>
      </c>
      <c r="K12" s="209" t="s">
        <v>629</v>
      </c>
      <c r="L12" s="209" t="s">
        <v>630</v>
      </c>
      <c r="M12" s="195" t="s">
        <v>260</v>
      </c>
      <c r="N12" s="195" t="s">
        <v>259</v>
      </c>
      <c r="O12" s="202">
        <v>97.418694000000002</v>
      </c>
      <c r="P12" s="202">
        <v>25.428910999999999</v>
      </c>
      <c r="Q12" s="203">
        <v>0</v>
      </c>
      <c r="R12" s="270">
        <v>103</v>
      </c>
      <c r="S12" s="270">
        <v>586</v>
      </c>
      <c r="T12" s="205">
        <f>IF(CampList[[#This Row],[HH]]&gt;0,CampList[[#This Row],[Total]]/CampList[[#This Row],[HH]],"NA")</f>
        <v>5.6893203883495147</v>
      </c>
      <c r="U12" s="197" t="s">
        <v>464</v>
      </c>
      <c r="V12" s="197" t="s">
        <v>993</v>
      </c>
      <c r="W12" s="197" t="s">
        <v>507</v>
      </c>
      <c r="X12" s="197" t="s">
        <v>742</v>
      </c>
      <c r="Y12" s="308">
        <v>40725</v>
      </c>
      <c r="Z12" s="636" t="s">
        <v>1835</v>
      </c>
      <c r="AA12" s="221" t="s">
        <v>774</v>
      </c>
      <c r="AB12" s="208">
        <v>43593</v>
      </c>
      <c r="AC12" s="201" t="s">
        <v>1974</v>
      </c>
      <c r="AD12" s="197" t="str">
        <f ca="1">IFERROR(OFFSET(DistanceToCamp[Nearest Town],MATCH(CampList[[#This Row],[CP_Pcode]],DistanceToCamp[CP_Pcode],0)-1,0,1,1),"")</f>
        <v>Myitkyina Town</v>
      </c>
      <c r="AE12" s="210">
        <f ca="1">IFERROR(OFFSET(DistanceToCamp[distance],MATCH(CampList[[#This Row],[CP_Pcode]],DistanceToCamp[CP_Pcode],0)-1,0,1,1),"")</f>
        <v>5.4145379230647226</v>
      </c>
      <c r="AF12" s="211">
        <f ca="1">IFERROR(INT(CampList[[#This Row],[Distance]]/5)+1,"")</f>
        <v>2</v>
      </c>
    </row>
    <row r="13" spans="2:35" ht="15.75" customHeight="1" x14ac:dyDescent="0.3">
      <c r="B13" s="201" t="s">
        <v>1692</v>
      </c>
      <c r="C13" s="195" t="s">
        <v>378</v>
      </c>
      <c r="D13" s="195" t="s">
        <v>478</v>
      </c>
      <c r="E13" s="195" t="s">
        <v>237</v>
      </c>
      <c r="F13" s="195" t="s">
        <v>484</v>
      </c>
      <c r="G13" s="195" t="s">
        <v>237</v>
      </c>
      <c r="H13" s="195" t="s">
        <v>488</v>
      </c>
      <c r="I13" s="195" t="s">
        <v>611</v>
      </c>
      <c r="J13" s="195" t="s">
        <v>612</v>
      </c>
      <c r="K13" s="195" t="s">
        <v>631</v>
      </c>
      <c r="L13" s="195" t="s">
        <v>632</v>
      </c>
      <c r="M13" s="195" t="s">
        <v>280</v>
      </c>
      <c r="N13" s="195" t="s">
        <v>279</v>
      </c>
      <c r="O13" s="202">
        <v>97.419403000000003</v>
      </c>
      <c r="P13" s="202">
        <v>25.440928</v>
      </c>
      <c r="Q13" s="203">
        <v>0</v>
      </c>
      <c r="R13" s="270">
        <v>95</v>
      </c>
      <c r="S13" s="270">
        <v>549</v>
      </c>
      <c r="T13" s="205">
        <f>IF(CampList[[#This Row],[HH]]&gt;0,CampList[[#This Row],[Total]]/CampList[[#This Row],[HH]],"NA")</f>
        <v>5.7789473684210524</v>
      </c>
      <c r="U13" s="197" t="s">
        <v>464</v>
      </c>
      <c r="V13" s="197" t="s">
        <v>993</v>
      </c>
      <c r="W13" s="197" t="s">
        <v>507</v>
      </c>
      <c r="X13" s="197" t="s">
        <v>742</v>
      </c>
      <c r="Y13" s="308">
        <v>40725</v>
      </c>
      <c r="Z13" s="636" t="s">
        <v>1835</v>
      </c>
      <c r="AA13" s="195" t="s">
        <v>774</v>
      </c>
      <c r="AB13" s="208">
        <v>43593</v>
      </c>
      <c r="AC13" s="209" t="s">
        <v>1975</v>
      </c>
      <c r="AD13" s="197" t="str">
        <f ca="1">IFERROR(OFFSET(DistanceToCamp[Nearest Town],MATCH(CampList[[#This Row],[CP_Pcode]],DistanceToCamp[CP_Pcode],0)-1,0,1,1),"")</f>
        <v>Myitkyina Town</v>
      </c>
      <c r="AE13" s="210">
        <f ca="1">IFERROR(OFFSET(DistanceToCamp[distance],MATCH(CampList[[#This Row],[CP_Pcode]],DistanceToCamp[CP_Pcode],0)-1,0,1,1),"")</f>
        <v>6.6198004689728469</v>
      </c>
      <c r="AF13" s="211">
        <f ca="1">IFERROR(INT(CampList[[#This Row],[Distance]]/5)+1,"")</f>
        <v>2</v>
      </c>
    </row>
    <row r="14" spans="2:35" ht="21" customHeight="1" x14ac:dyDescent="0.3">
      <c r="B14" s="201" t="s">
        <v>1692</v>
      </c>
      <c r="C14" s="195" t="s">
        <v>378</v>
      </c>
      <c r="D14" s="195" t="s">
        <v>478</v>
      </c>
      <c r="E14" s="195" t="s">
        <v>237</v>
      </c>
      <c r="F14" s="195" t="s">
        <v>484</v>
      </c>
      <c r="G14" s="195" t="s">
        <v>237</v>
      </c>
      <c r="H14" s="195" t="s">
        <v>488</v>
      </c>
      <c r="I14" s="209" t="s">
        <v>611</v>
      </c>
      <c r="J14" s="209" t="s">
        <v>612</v>
      </c>
      <c r="K14" s="209" t="s">
        <v>618</v>
      </c>
      <c r="L14" s="209" t="s">
        <v>619</v>
      </c>
      <c r="M14" s="195" t="s">
        <v>1503</v>
      </c>
      <c r="N14" s="195" t="s">
        <v>244</v>
      </c>
      <c r="O14" s="202">
        <v>97.382997575757599</v>
      </c>
      <c r="P14" s="202">
        <v>25.3959740909091</v>
      </c>
      <c r="Q14" s="203">
        <v>0</v>
      </c>
      <c r="R14" s="306">
        <v>44</v>
      </c>
      <c r="S14" s="307">
        <v>197</v>
      </c>
      <c r="T14" s="205">
        <f>IF(CampList[[#This Row],[HH]]&gt;0,CampList[[#This Row],[Total]]/CampList[[#This Row],[HH]],"NA")</f>
        <v>4.4772727272727275</v>
      </c>
      <c r="U14" s="197" t="s">
        <v>464</v>
      </c>
      <c r="V14" s="197" t="s">
        <v>993</v>
      </c>
      <c r="W14" s="197" t="s">
        <v>507</v>
      </c>
      <c r="X14" s="197" t="s">
        <v>742</v>
      </c>
      <c r="Y14" s="308">
        <v>40756</v>
      </c>
      <c r="Z14" s="636" t="s">
        <v>1835</v>
      </c>
      <c r="AA14" s="196" t="s">
        <v>774</v>
      </c>
      <c r="AB14" s="208">
        <v>43593</v>
      </c>
      <c r="AC14" s="201" t="s">
        <v>1976</v>
      </c>
      <c r="AD14" s="197" t="str">
        <f ca="1">IFERROR(OFFSET(DistanceToCamp[Nearest Town],MATCH(CampList[[#This Row],[CP_Pcode]],DistanceToCamp[CP_Pcode],0)-1,0,1,1),"")</f>
        <v>Myitkyina Town</v>
      </c>
      <c r="AE14" s="210">
        <f ca="1">IFERROR(OFFSET(DistanceToCamp[distance],MATCH(CampList[[#This Row],[CP_Pcode]],DistanceToCamp[CP_Pcode],0)-1,0,1,1),"")</f>
        <v>1.1985969617964649</v>
      </c>
      <c r="AF14" s="211">
        <f ca="1">IFERROR(INT(CampList[[#This Row],[Distance]]/5)+1,"")</f>
        <v>1</v>
      </c>
    </row>
    <row r="15" spans="2:35" ht="23.25" hidden="1" customHeight="1" x14ac:dyDescent="0.3">
      <c r="B15" s="201" t="s">
        <v>775</v>
      </c>
      <c r="C15" s="195" t="s">
        <v>378</v>
      </c>
      <c r="D15" s="195" t="s">
        <v>478</v>
      </c>
      <c r="E15" s="195" t="s">
        <v>237</v>
      </c>
      <c r="F15" s="195" t="s">
        <v>484</v>
      </c>
      <c r="G15" s="195" t="s">
        <v>237</v>
      </c>
      <c r="H15" s="195" t="s">
        <v>488</v>
      </c>
      <c r="I15" s="209" t="s">
        <v>611</v>
      </c>
      <c r="J15" s="209" t="s">
        <v>612</v>
      </c>
      <c r="K15" s="209" t="s">
        <v>625</v>
      </c>
      <c r="L15" s="209" t="s">
        <v>626</v>
      </c>
      <c r="M15" s="195" t="s">
        <v>256</v>
      </c>
      <c r="N15" s="195" t="s">
        <v>255</v>
      </c>
      <c r="O15" s="202">
        <v>97.405202777777802</v>
      </c>
      <c r="P15" s="202">
        <v>25.3660036111111</v>
      </c>
      <c r="Q15" s="203">
        <v>0</v>
      </c>
      <c r="R15" s="270">
        <v>45</v>
      </c>
      <c r="S15" s="270">
        <v>207</v>
      </c>
      <c r="T15" s="205">
        <f>IF(CampList[[#This Row],[HH]]&gt;0,CampList[[#This Row],[Total]]/CampList[[#This Row],[HH]],"NA")</f>
        <v>4.5999999999999996</v>
      </c>
      <c r="U15" s="197" t="s">
        <v>464</v>
      </c>
      <c r="V15" s="197" t="s">
        <v>993</v>
      </c>
      <c r="W15" s="197" t="s">
        <v>507</v>
      </c>
      <c r="X15" s="197" t="s">
        <v>742</v>
      </c>
      <c r="Y15" s="308">
        <v>40909</v>
      </c>
      <c r="Z15" s="636" t="s">
        <v>1813</v>
      </c>
      <c r="AA15" s="221" t="s">
        <v>774</v>
      </c>
      <c r="AB15" s="208">
        <v>43508</v>
      </c>
      <c r="AC15" s="201" t="s">
        <v>1814</v>
      </c>
      <c r="AD15" s="197" t="str">
        <f ca="1">IFERROR(OFFSET(DistanceToCamp[Nearest Town],MATCH(CampList[[#This Row],[CP_Pcode]],DistanceToCamp[CP_Pcode],0)-1,0,1,1),"")</f>
        <v>Myitkyina Town</v>
      </c>
      <c r="AE15" s="210">
        <f ca="1">IFERROR(OFFSET(DistanceToCamp[distance],MATCH(CampList[[#This Row],[CP_Pcode]],DistanceToCamp[CP_Pcode],0)-1,0,1,1),"")</f>
        <v>2.8164250706222882</v>
      </c>
      <c r="AF15" s="211">
        <f ca="1">IFERROR(INT(CampList[[#This Row],[Distance]]/5)+1,"")</f>
        <v>1</v>
      </c>
    </row>
    <row r="16" spans="2:35" ht="15.75" customHeight="1" x14ac:dyDescent="0.3">
      <c r="B16" s="201" t="s">
        <v>1692</v>
      </c>
      <c r="C16" s="195" t="s">
        <v>378</v>
      </c>
      <c r="D16" s="195" t="s">
        <v>478</v>
      </c>
      <c r="E16" s="195" t="s">
        <v>237</v>
      </c>
      <c r="F16" s="195" t="s">
        <v>484</v>
      </c>
      <c r="G16" s="195" t="s">
        <v>237</v>
      </c>
      <c r="H16" s="195" t="s">
        <v>488</v>
      </c>
      <c r="I16" s="209" t="s">
        <v>611</v>
      </c>
      <c r="J16" s="209" t="s">
        <v>612</v>
      </c>
      <c r="K16" s="209" t="s">
        <v>627</v>
      </c>
      <c r="L16" s="209" t="s">
        <v>628</v>
      </c>
      <c r="M16" s="195" t="s">
        <v>284</v>
      </c>
      <c r="N16" s="195" t="s">
        <v>283</v>
      </c>
      <c r="O16" s="202">
        <v>97.403402307692303</v>
      </c>
      <c r="P16" s="202">
        <v>25.3510167948718</v>
      </c>
      <c r="Q16" s="203">
        <v>0</v>
      </c>
      <c r="R16" s="270">
        <v>138</v>
      </c>
      <c r="S16" s="270">
        <v>709</v>
      </c>
      <c r="T16" s="205">
        <f>IF(CampList[[#This Row],[HH]]&gt;0,CampList[[#This Row],[Total]]/CampList[[#This Row],[HH]],"NA")</f>
        <v>5.13768115942029</v>
      </c>
      <c r="U16" s="197" t="s">
        <v>464</v>
      </c>
      <c r="V16" s="197" t="s">
        <v>993</v>
      </c>
      <c r="W16" s="197" t="s">
        <v>507</v>
      </c>
      <c r="X16" s="197" t="s">
        <v>742</v>
      </c>
      <c r="Y16" s="308">
        <v>40695</v>
      </c>
      <c r="Z16" s="636" t="s">
        <v>1835</v>
      </c>
      <c r="AA16" s="221" t="s">
        <v>774</v>
      </c>
      <c r="AB16" s="208">
        <v>43593</v>
      </c>
      <c r="AC16" s="201" t="s">
        <v>1977</v>
      </c>
      <c r="AD16" s="197" t="str">
        <f ca="1">IFERROR(OFFSET(DistanceToCamp[Nearest Town],MATCH(CampList[[#This Row],[CP_Pcode]],DistanceToCamp[CP_Pcode],0)-1,0,1,1),"")</f>
        <v>Myitkyina Town</v>
      </c>
      <c r="AE16" s="210">
        <f ca="1">IFERROR(OFFSET(DistanceToCamp[distance],MATCH(CampList[[#This Row],[CP_Pcode]],DistanceToCamp[CP_Pcode],0)-1,0,1,1),"")</f>
        <v>4.262018365878137</v>
      </c>
      <c r="AF16" s="211">
        <f ca="1">IFERROR(INT(CampList[[#This Row],[Distance]]/5)+1,"")</f>
        <v>1</v>
      </c>
    </row>
    <row r="17" spans="2:32" ht="15.75" customHeight="1" x14ac:dyDescent="0.3">
      <c r="B17" s="201" t="s">
        <v>1692</v>
      </c>
      <c r="C17" s="195" t="s">
        <v>378</v>
      </c>
      <c r="D17" s="195" t="s">
        <v>478</v>
      </c>
      <c r="E17" s="195" t="s">
        <v>237</v>
      </c>
      <c r="F17" s="195" t="s">
        <v>484</v>
      </c>
      <c r="G17" s="195" t="s">
        <v>237</v>
      </c>
      <c r="H17" s="195" t="s">
        <v>488</v>
      </c>
      <c r="I17" s="209" t="s">
        <v>611</v>
      </c>
      <c r="J17" s="209" t="s">
        <v>612</v>
      </c>
      <c r="K17" s="650" t="s">
        <v>627</v>
      </c>
      <c r="L17" s="650" t="s">
        <v>628</v>
      </c>
      <c r="M17" s="195" t="s">
        <v>258</v>
      </c>
      <c r="N17" s="195" t="s">
        <v>257</v>
      </c>
      <c r="O17" s="202">
        <v>97.4113064583333</v>
      </c>
      <c r="P17" s="202">
        <v>25.360463124999999</v>
      </c>
      <c r="Q17" s="203">
        <v>0</v>
      </c>
      <c r="R17" s="270">
        <v>61</v>
      </c>
      <c r="S17" s="270">
        <v>312</v>
      </c>
      <c r="T17" s="205">
        <f>IF(CampList[[#This Row],[HH]]&gt;0,CampList[[#This Row],[Total]]/CampList[[#This Row],[HH]],"NA")</f>
        <v>5.1147540983606561</v>
      </c>
      <c r="U17" s="197" t="s">
        <v>464</v>
      </c>
      <c r="V17" s="197" t="s">
        <v>993</v>
      </c>
      <c r="W17" s="197" t="s">
        <v>507</v>
      </c>
      <c r="X17" s="197" t="s">
        <v>742</v>
      </c>
      <c r="Y17" s="308">
        <v>40756</v>
      </c>
      <c r="Z17" s="636" t="s">
        <v>1835</v>
      </c>
      <c r="AA17" s="221" t="s">
        <v>774</v>
      </c>
      <c r="AB17" s="208">
        <v>43593</v>
      </c>
      <c r="AC17" s="201" t="s">
        <v>1978</v>
      </c>
      <c r="AD17" s="197" t="str">
        <f ca="1">IFERROR(OFFSET(DistanceToCamp[Nearest Town],MATCH(CampList[[#This Row],[CP_Pcode]],DistanceToCamp[CP_Pcode],0)-1,0,1,1),"")</f>
        <v>Waingmaw Town</v>
      </c>
      <c r="AE17" s="210">
        <f ca="1">IFERROR(OFFSET(DistanceToCamp[distance],MATCH(CampList[[#This Row],[CP_Pcode]],DistanceToCamp[CP_Pcode],0)-1,0,1,1),"")</f>
        <v>3.3362307375127798</v>
      </c>
      <c r="AF17" s="211">
        <f ca="1">IFERROR(INT(CampList[[#This Row],[Distance]]/5)+1,"")</f>
        <v>1</v>
      </c>
    </row>
    <row r="18" spans="2:32" ht="15.75" customHeight="1" x14ac:dyDescent="0.3">
      <c r="B18" s="201" t="s">
        <v>1692</v>
      </c>
      <c r="C18" s="195" t="s">
        <v>378</v>
      </c>
      <c r="D18" s="195" t="s">
        <v>478</v>
      </c>
      <c r="E18" s="195" t="s">
        <v>237</v>
      </c>
      <c r="F18" s="195" t="s">
        <v>484</v>
      </c>
      <c r="G18" s="195" t="s">
        <v>237</v>
      </c>
      <c r="H18" s="195" t="s">
        <v>488</v>
      </c>
      <c r="I18" s="209" t="s">
        <v>611</v>
      </c>
      <c r="J18" s="209" t="s">
        <v>612</v>
      </c>
      <c r="K18" s="651" t="s">
        <v>613</v>
      </c>
      <c r="L18" s="651"/>
      <c r="M18" s="195" t="s">
        <v>252</v>
      </c>
      <c r="N18" s="195" t="s">
        <v>251</v>
      </c>
      <c r="O18" s="202">
        <v>97.370900000000006</v>
      </c>
      <c r="P18" s="202">
        <v>25.397850999999999</v>
      </c>
      <c r="Q18" s="203">
        <v>0</v>
      </c>
      <c r="R18" s="270">
        <v>199</v>
      </c>
      <c r="S18" s="270">
        <v>1131</v>
      </c>
      <c r="T18" s="205">
        <f>IF(CampList[[#This Row],[HH]]&gt;0,CampList[[#This Row],[Total]]/CampList[[#This Row],[HH]],"NA")</f>
        <v>5.683417085427136</v>
      </c>
      <c r="U18" s="197" t="s">
        <v>464</v>
      </c>
      <c r="V18" s="197" t="s">
        <v>993</v>
      </c>
      <c r="W18" s="197" t="s">
        <v>507</v>
      </c>
      <c r="X18" s="197" t="s">
        <v>742</v>
      </c>
      <c r="Y18" s="308">
        <v>40725</v>
      </c>
      <c r="Z18" s="636" t="s">
        <v>1835</v>
      </c>
      <c r="AA18" s="221" t="s">
        <v>774</v>
      </c>
      <c r="AB18" s="208">
        <v>43593</v>
      </c>
      <c r="AC18" s="201" t="s">
        <v>1979</v>
      </c>
      <c r="AD18" s="197" t="str">
        <f ca="1">IFERROR(OFFSET(DistanceToCamp[Nearest Town],MATCH(CampList[[#This Row],[CP_Pcode]],DistanceToCamp[CP_Pcode],0)-1,0,1,1),"")</f>
        <v>Myitkyina Town</v>
      </c>
      <c r="AE18" s="210">
        <f ca="1">IFERROR(OFFSET(DistanceToCamp[distance],MATCH(CampList[[#This Row],[CP_Pcode]],DistanceToCamp[CP_Pcode],0)-1,0,1,1),"")</f>
        <v>2.4647367211404561</v>
      </c>
      <c r="AF18" s="211">
        <f ca="1">IFERROR(INT(CampList[[#This Row],[Distance]]/5)+1,"")</f>
        <v>1</v>
      </c>
    </row>
    <row r="19" spans="2:32" ht="15.75" hidden="1" customHeight="1" x14ac:dyDescent="0.3">
      <c r="B19" s="201" t="s">
        <v>775</v>
      </c>
      <c r="C19" s="195" t="s">
        <v>378</v>
      </c>
      <c r="D19" s="195" t="s">
        <v>478</v>
      </c>
      <c r="E19" s="195" t="s">
        <v>237</v>
      </c>
      <c r="F19" s="195" t="s">
        <v>484</v>
      </c>
      <c r="G19" s="195" t="s">
        <v>237</v>
      </c>
      <c r="H19" s="195" t="s">
        <v>488</v>
      </c>
      <c r="I19" s="209" t="s">
        <v>611</v>
      </c>
      <c r="J19" s="209" t="s">
        <v>612</v>
      </c>
      <c r="K19" s="209" t="s">
        <v>614</v>
      </c>
      <c r="L19" s="209" t="s">
        <v>615</v>
      </c>
      <c r="M19" s="195" t="s">
        <v>266</v>
      </c>
      <c r="N19" s="195" t="s">
        <v>265</v>
      </c>
      <c r="O19" s="202">
        <v>97.376671999999999</v>
      </c>
      <c r="P19" s="202">
        <v>25.387862999999999</v>
      </c>
      <c r="Q19" s="203">
        <v>0</v>
      </c>
      <c r="R19" s="280"/>
      <c r="S19" s="281"/>
      <c r="T19" s="205" t="str">
        <f>IF(CampList[[#This Row],[HH]]&gt;0,CampList[[#This Row],[Total]]/CampList[[#This Row],[HH]],"NA")</f>
        <v>NA</v>
      </c>
      <c r="U19" s="197" t="s">
        <v>464</v>
      </c>
      <c r="V19" s="197" t="s">
        <v>993</v>
      </c>
      <c r="W19" s="197" t="s">
        <v>507</v>
      </c>
      <c r="X19" s="197" t="s">
        <v>742</v>
      </c>
      <c r="Y19" s="206">
        <v>40817</v>
      </c>
      <c r="Z19" s="206" t="s">
        <v>462</v>
      </c>
      <c r="AA19" s="221" t="s">
        <v>774</v>
      </c>
      <c r="AB19" s="208">
        <v>42180</v>
      </c>
      <c r="AC19" s="201" t="s">
        <v>1045</v>
      </c>
      <c r="AD19" s="197" t="str">
        <f ca="1">IFERROR(OFFSET(DistanceToCamp[Nearest Town],MATCH(CampList[[#This Row],[CP_Pcode]],DistanceToCamp[CP_Pcode],0)-1,0,1,1),"")</f>
        <v>Myitkyina Town</v>
      </c>
      <c r="AE19" s="210">
        <f ca="1">IFERROR(OFFSET(DistanceToCamp[distance],MATCH(CampList[[#This Row],[CP_Pcode]],DistanceToCamp[CP_Pcode],0)-1,0,1,1),"")</f>
        <v>1.3751794210741128</v>
      </c>
      <c r="AF19" s="211">
        <f ca="1">IFERROR(INT(CampList[[#This Row],[Distance]]/5)+1,"")</f>
        <v>1</v>
      </c>
    </row>
    <row r="20" spans="2:32" ht="15.75" customHeight="1" x14ac:dyDescent="0.3">
      <c r="B20" s="201" t="s">
        <v>1692</v>
      </c>
      <c r="C20" s="196" t="s">
        <v>378</v>
      </c>
      <c r="D20" s="196" t="s">
        <v>478</v>
      </c>
      <c r="E20" s="196" t="s">
        <v>237</v>
      </c>
      <c r="F20" s="196" t="s">
        <v>484</v>
      </c>
      <c r="G20" s="196" t="s">
        <v>237</v>
      </c>
      <c r="H20" s="196" t="s">
        <v>488</v>
      </c>
      <c r="I20" s="196" t="s">
        <v>611</v>
      </c>
      <c r="J20" s="214" t="s">
        <v>612</v>
      </c>
      <c r="K20" s="196" t="s">
        <v>613</v>
      </c>
      <c r="L20" s="196"/>
      <c r="M20" s="196" t="s">
        <v>254</v>
      </c>
      <c r="N20" s="196" t="s">
        <v>253</v>
      </c>
      <c r="O20" s="229">
        <v>97.373361000000003</v>
      </c>
      <c r="P20" s="229">
        <v>25.403476999999999</v>
      </c>
      <c r="Q20" s="215"/>
      <c r="R20" s="270">
        <v>100</v>
      </c>
      <c r="S20" s="270">
        <v>485</v>
      </c>
      <c r="T20" s="205">
        <f>IF(CampList[[#This Row],[HH]]&gt;0,CampList[[#This Row],[Total]]/CampList[[#This Row],[HH]],"NA")</f>
        <v>4.8499999999999996</v>
      </c>
      <c r="U20" s="181" t="s">
        <v>464</v>
      </c>
      <c r="V20" s="197" t="s">
        <v>993</v>
      </c>
      <c r="W20" s="181" t="s">
        <v>507</v>
      </c>
      <c r="X20" s="181" t="s">
        <v>742</v>
      </c>
      <c r="Y20" s="309">
        <v>40725</v>
      </c>
      <c r="Z20" s="215" t="s">
        <v>934</v>
      </c>
      <c r="AA20" s="196" t="s">
        <v>774</v>
      </c>
      <c r="AB20" s="208">
        <v>43593</v>
      </c>
      <c r="AC20" s="217" t="s">
        <v>2045</v>
      </c>
      <c r="AD20" s="218" t="str">
        <f ca="1">IFERROR(OFFSET(DistanceToCamp[Nearest Town],MATCH(CampList[[#This Row],[CP_Pcode]],DistanceToCamp[CP_Pcode],0)-1,0,1,1),"")</f>
        <v>Myitkyina Town</v>
      </c>
      <c r="AE20" s="210">
        <f ca="1">IFERROR(OFFSET(DistanceToCamp[distance],MATCH(CampList[[#This Row],[CP_Pcode]],DistanceToCamp[CP_Pcode],0)-1,0,1,1),"")</f>
        <v>1.8563710010113432</v>
      </c>
      <c r="AF20" s="219">
        <f ca="1">IFERROR(INT(CampList[[#This Row],[Distance]]/5)+1,"")</f>
        <v>1</v>
      </c>
    </row>
    <row r="21" spans="2:32" ht="15.75" customHeight="1" x14ac:dyDescent="0.3">
      <c r="B21" s="201" t="s">
        <v>1692</v>
      </c>
      <c r="C21" s="195" t="s">
        <v>378</v>
      </c>
      <c r="D21" s="195" t="s">
        <v>478</v>
      </c>
      <c r="E21" s="195" t="s">
        <v>237</v>
      </c>
      <c r="F21" s="195" t="s">
        <v>484</v>
      </c>
      <c r="G21" s="195" t="s">
        <v>237</v>
      </c>
      <c r="H21" s="195" t="s">
        <v>488</v>
      </c>
      <c r="I21" s="209" t="s">
        <v>588</v>
      </c>
      <c r="J21" s="209" t="s">
        <v>589</v>
      </c>
      <c r="K21" s="209" t="s">
        <v>588</v>
      </c>
      <c r="L21" s="209">
        <v>165698</v>
      </c>
      <c r="M21" s="195" t="s">
        <v>262</v>
      </c>
      <c r="N21" s="195" t="s">
        <v>261</v>
      </c>
      <c r="O21" s="202">
        <v>97.2843958974359</v>
      </c>
      <c r="P21" s="202">
        <v>25.374343974359</v>
      </c>
      <c r="Q21" s="203">
        <v>0</v>
      </c>
      <c r="R21" s="270">
        <v>22</v>
      </c>
      <c r="S21" s="270">
        <v>92</v>
      </c>
      <c r="T21" s="205">
        <f>IF(CampList[[#This Row],[HH]]&gt;0,CampList[[#This Row],[Total]]/CampList[[#This Row],[HH]],"NA")</f>
        <v>4.1818181818181817</v>
      </c>
      <c r="U21" s="197" t="s">
        <v>464</v>
      </c>
      <c r="V21" s="197" t="s">
        <v>993</v>
      </c>
      <c r="W21" s="197" t="s">
        <v>507</v>
      </c>
      <c r="X21" s="197" t="s">
        <v>784</v>
      </c>
      <c r="Y21" s="308">
        <v>40817</v>
      </c>
      <c r="Z21" s="636" t="s">
        <v>462</v>
      </c>
      <c r="AA21" s="221" t="s">
        <v>774</v>
      </c>
      <c r="AB21" s="208">
        <v>43593</v>
      </c>
      <c r="AC21" s="201" t="s">
        <v>2071</v>
      </c>
      <c r="AD21" s="197" t="str">
        <f ca="1">IFERROR(OFFSET(DistanceToCamp[Nearest Town],MATCH(CampList[[#This Row],[CP_Pcode]],DistanceToCamp[CP_Pcode],0)-1,0,1,1),"")</f>
        <v>Myitkyina Town</v>
      </c>
      <c r="AE21" s="210">
        <f ca="1">IFERROR(OFFSET(DistanceToCamp[distance],MATCH(CampList[[#This Row],[CP_Pcode]],DistanceToCamp[CP_Pcode],0)-1,0,1,1),"")</f>
        <v>10.744749696609457</v>
      </c>
      <c r="AF21" s="211">
        <f ca="1">IFERROR(INT(CampList[[#This Row],[Distance]]/5)+1,"")</f>
        <v>3</v>
      </c>
    </row>
    <row r="22" spans="2:32" ht="15.75" customHeight="1" x14ac:dyDescent="0.3">
      <c r="B22" s="201" t="s">
        <v>1692</v>
      </c>
      <c r="C22" s="195" t="s">
        <v>378</v>
      </c>
      <c r="D22" s="195" t="s">
        <v>478</v>
      </c>
      <c r="E22" s="195" t="s">
        <v>237</v>
      </c>
      <c r="F22" s="195" t="s">
        <v>484</v>
      </c>
      <c r="G22" s="195" t="s">
        <v>237</v>
      </c>
      <c r="H22" s="195" t="s">
        <v>488</v>
      </c>
      <c r="I22" s="209" t="s">
        <v>588</v>
      </c>
      <c r="J22" s="209" t="s">
        <v>589</v>
      </c>
      <c r="K22" s="209" t="s">
        <v>588</v>
      </c>
      <c r="L22" s="209">
        <v>165698</v>
      </c>
      <c r="M22" s="195" t="s">
        <v>264</v>
      </c>
      <c r="N22" s="195" t="s">
        <v>263</v>
      </c>
      <c r="O22" s="202">
        <v>97.290952037037002</v>
      </c>
      <c r="P22" s="202">
        <v>25.371049444444399</v>
      </c>
      <c r="Q22" s="203">
        <v>476</v>
      </c>
      <c r="R22" s="270">
        <v>21</v>
      </c>
      <c r="S22" s="270">
        <v>123</v>
      </c>
      <c r="T22" s="205">
        <f>IF(CampList[[#This Row],[HH]]&gt;0,CampList[[#This Row],[Total]]/CampList[[#This Row],[HH]],"NA")</f>
        <v>5.8571428571428568</v>
      </c>
      <c r="U22" s="197" t="s">
        <v>464</v>
      </c>
      <c r="V22" s="197" t="s">
        <v>993</v>
      </c>
      <c r="W22" s="197" t="s">
        <v>507</v>
      </c>
      <c r="X22" s="197" t="s">
        <v>784</v>
      </c>
      <c r="Y22" s="308">
        <v>40817</v>
      </c>
      <c r="Z22" s="206" t="s">
        <v>462</v>
      </c>
      <c r="AA22" s="221" t="s">
        <v>774</v>
      </c>
      <c r="AB22" s="208">
        <v>43593</v>
      </c>
      <c r="AC22" s="201" t="s">
        <v>2072</v>
      </c>
      <c r="AD22" s="197" t="str">
        <f ca="1">IFERROR(OFFSET(DistanceToCamp[Nearest Town],MATCH(CampList[[#This Row],[CP_Pcode]],DistanceToCamp[CP_Pcode],0)-1,0,1,1),"")</f>
        <v>Myitkyina Town</v>
      </c>
      <c r="AE22" s="210">
        <f ca="1">IFERROR(OFFSET(DistanceToCamp[distance],MATCH(CampList[[#This Row],[CP_Pcode]],DistanceToCamp[CP_Pcode],0)-1,0,1,1),"")</f>
        <v>10.15228229456989</v>
      </c>
      <c r="AF22" s="211">
        <f ca="1">IFERROR(INT(CampList[[#This Row],[Distance]]/5)+1,"")</f>
        <v>3</v>
      </c>
    </row>
    <row r="23" spans="2:32" ht="15.75" customHeight="1" x14ac:dyDescent="0.3">
      <c r="B23" s="201" t="s">
        <v>1692</v>
      </c>
      <c r="C23" s="195" t="s">
        <v>378</v>
      </c>
      <c r="D23" s="195" t="s">
        <v>478</v>
      </c>
      <c r="E23" s="195" t="s">
        <v>237</v>
      </c>
      <c r="F23" s="195" t="s">
        <v>484</v>
      </c>
      <c r="G23" s="195" t="s">
        <v>237</v>
      </c>
      <c r="H23" s="195" t="s">
        <v>488</v>
      </c>
      <c r="I23" s="195" t="s">
        <v>611</v>
      </c>
      <c r="J23" s="195" t="s">
        <v>612</v>
      </c>
      <c r="K23" s="195" t="s">
        <v>616</v>
      </c>
      <c r="L23" s="195" t="s">
        <v>617</v>
      </c>
      <c r="M23" s="195" t="s">
        <v>1029</v>
      </c>
      <c r="N23" s="195" t="s">
        <v>241</v>
      </c>
      <c r="O23" s="202">
        <v>97.379987</v>
      </c>
      <c r="P23" s="202">
        <v>25.423209</v>
      </c>
      <c r="Q23" s="203">
        <v>0</v>
      </c>
      <c r="R23" s="270">
        <v>54</v>
      </c>
      <c r="S23" s="270">
        <v>250</v>
      </c>
      <c r="T23" s="205">
        <f>IF(CampList[[#This Row],[HH]]&gt;0,CampList[[#This Row],[Total]]/CampList[[#This Row],[HH]],"NA")</f>
        <v>4.6296296296296298</v>
      </c>
      <c r="U23" s="197" t="s">
        <v>464</v>
      </c>
      <c r="V23" s="197" t="s">
        <v>993</v>
      </c>
      <c r="W23" s="197" t="s">
        <v>507</v>
      </c>
      <c r="X23" s="197" t="s">
        <v>742</v>
      </c>
      <c r="Y23" s="308">
        <v>41000</v>
      </c>
      <c r="Z23" s="206" t="s">
        <v>462</v>
      </c>
      <c r="AA23" s="195" t="s">
        <v>774</v>
      </c>
      <c r="AB23" s="208">
        <v>43593</v>
      </c>
      <c r="AC23" s="209" t="s">
        <v>2073</v>
      </c>
      <c r="AD23" s="197" t="str">
        <f ca="1">IFERROR(OFFSET(DistanceToCamp[Nearest Town],MATCH(CampList[[#This Row],[CP_Pcode]],DistanceToCamp[CP_Pcode],0)-1,0,1,1),"")</f>
        <v>Myitkyina Town</v>
      </c>
      <c r="AE23" s="210">
        <f ca="1">IFERROR(OFFSET(DistanceToCamp[distance],MATCH(CampList[[#This Row],[CP_Pcode]],DistanceToCamp[CP_Pcode],0)-1,0,1,1),"")</f>
        <v>2.6190942927115026</v>
      </c>
      <c r="AF23" s="211">
        <f ca="1">IFERROR(INT(CampList[[#This Row],[Distance]]/5)+1,"")</f>
        <v>1</v>
      </c>
    </row>
    <row r="24" spans="2:32" ht="15.75" hidden="1" customHeight="1" x14ac:dyDescent="0.3">
      <c r="B24" s="201" t="s">
        <v>775</v>
      </c>
      <c r="C24" s="195" t="s">
        <v>378</v>
      </c>
      <c r="D24" s="195" t="s">
        <v>478</v>
      </c>
      <c r="E24" s="195" t="s">
        <v>237</v>
      </c>
      <c r="F24" s="195" t="s">
        <v>484</v>
      </c>
      <c r="G24" s="195" t="s">
        <v>237</v>
      </c>
      <c r="H24" s="195" t="s">
        <v>488</v>
      </c>
      <c r="I24" s="195" t="s">
        <v>611</v>
      </c>
      <c r="J24" s="195" t="s">
        <v>612</v>
      </c>
      <c r="K24" s="195" t="s">
        <v>623</v>
      </c>
      <c r="L24" s="195" t="s">
        <v>624</v>
      </c>
      <c r="M24" s="195" t="s">
        <v>282</v>
      </c>
      <c r="N24" s="195" t="s">
        <v>281</v>
      </c>
      <c r="O24" s="202">
        <v>97.403878500000005</v>
      </c>
      <c r="P24" s="202">
        <v>25.377038166666701</v>
      </c>
      <c r="Q24" s="203">
        <v>0</v>
      </c>
      <c r="R24" s="270">
        <v>7</v>
      </c>
      <c r="S24" s="270">
        <v>37</v>
      </c>
      <c r="T24" s="205">
        <f>IF(CampList[[#This Row],[HH]]&gt;0,CampList[[#This Row],[Total]]/CampList[[#This Row],[HH]],"NA")</f>
        <v>5.2857142857142856</v>
      </c>
      <c r="U24" s="197" t="s">
        <v>464</v>
      </c>
      <c r="V24" s="197" t="s">
        <v>993</v>
      </c>
      <c r="W24" s="197" t="s">
        <v>507</v>
      </c>
      <c r="X24" s="197" t="s">
        <v>742</v>
      </c>
      <c r="Y24" s="308">
        <v>41000</v>
      </c>
      <c r="Z24" s="206" t="s">
        <v>462</v>
      </c>
      <c r="AA24" s="195" t="s">
        <v>774</v>
      </c>
      <c r="AB24" s="208">
        <v>42915</v>
      </c>
      <c r="AC24" s="209" t="s">
        <v>1504</v>
      </c>
      <c r="AD24" s="197" t="str">
        <f ca="1">IFERROR(OFFSET(DistanceToCamp[Nearest Town],MATCH(CampList[[#This Row],[CP_Pcode]],DistanceToCamp[CP_Pcode],0)-1,0,1,1),"")</f>
        <v>Myitkyina Town</v>
      </c>
      <c r="AE24" s="210">
        <f ca="1">IFERROR(OFFSET(DistanceToCamp[distance],MATCH(CampList[[#This Row],[CP_Pcode]],DistanceToCamp[CP_Pcode],0)-1,0,1,1),"")</f>
        <v>1.7877148351104664</v>
      </c>
      <c r="AF24" s="211">
        <f ca="1">IFERROR(INT(CampList[[#This Row],[Distance]]/5)+1,"")</f>
        <v>1</v>
      </c>
    </row>
    <row r="25" spans="2:32" ht="15.75" customHeight="1" x14ac:dyDescent="0.3">
      <c r="B25" s="201" t="s">
        <v>1692</v>
      </c>
      <c r="C25" s="196" t="s">
        <v>378</v>
      </c>
      <c r="D25" s="196" t="s">
        <v>478</v>
      </c>
      <c r="E25" s="196" t="s">
        <v>237</v>
      </c>
      <c r="F25" s="196" t="s">
        <v>484</v>
      </c>
      <c r="G25" s="196" t="s">
        <v>237</v>
      </c>
      <c r="H25" s="196" t="s">
        <v>488</v>
      </c>
      <c r="I25" s="196" t="s">
        <v>609</v>
      </c>
      <c r="J25" s="214" t="s">
        <v>610</v>
      </c>
      <c r="K25" s="196" t="s">
        <v>609</v>
      </c>
      <c r="L25" s="196">
        <v>165695</v>
      </c>
      <c r="M25" s="196" t="s">
        <v>270</v>
      </c>
      <c r="N25" s="196" t="s">
        <v>269</v>
      </c>
      <c r="O25" s="204">
        <v>97.359320179999997</v>
      </c>
      <c r="P25" s="204">
        <v>25.410569299999999</v>
      </c>
      <c r="Q25" s="215"/>
      <c r="R25" s="270">
        <v>60</v>
      </c>
      <c r="S25" s="270">
        <v>316</v>
      </c>
      <c r="T25" s="205">
        <f>IF(CampList[[#This Row],[HH]]&gt;0,CampList[[#This Row],[Total]]/CampList[[#This Row],[HH]],"NA")</f>
        <v>5.2666666666666666</v>
      </c>
      <c r="U25" s="181" t="s">
        <v>464</v>
      </c>
      <c r="V25" s="197" t="s">
        <v>993</v>
      </c>
      <c r="W25" s="181" t="s">
        <v>507</v>
      </c>
      <c r="X25" s="181" t="s">
        <v>742</v>
      </c>
      <c r="Y25" s="309">
        <v>40909</v>
      </c>
      <c r="Z25" s="215" t="s">
        <v>934</v>
      </c>
      <c r="AA25" s="196" t="s">
        <v>774</v>
      </c>
      <c r="AB25" s="208">
        <v>43593</v>
      </c>
      <c r="AC25" s="217" t="s">
        <v>2046</v>
      </c>
      <c r="AD25" s="218" t="str">
        <f ca="1">IFERROR(OFFSET(DistanceToCamp[Nearest Town],MATCH(CampList[[#This Row],[CP_Pcode]],DistanceToCamp[CP_Pcode],0)-1,0,1,1),"")</f>
        <v>Myitkyina Town</v>
      </c>
      <c r="AE25" s="210">
        <f ca="1">IFERROR(OFFSET(DistanceToCamp[distance],MATCH(CampList[[#This Row],[CP_Pcode]],DistanceToCamp[CP_Pcode],0)-1,0,1,1),"")</f>
        <v>4.037940696665812</v>
      </c>
      <c r="AF25" s="219">
        <f ca="1">IFERROR(INT(CampList[[#This Row],[Distance]]/5)+1,"")</f>
        <v>1</v>
      </c>
    </row>
    <row r="26" spans="2:32" ht="15.75" customHeight="1" x14ac:dyDescent="0.3">
      <c r="B26" s="201" t="s">
        <v>1692</v>
      </c>
      <c r="C26" s="195" t="s">
        <v>378</v>
      </c>
      <c r="D26" s="195" t="s">
        <v>478</v>
      </c>
      <c r="E26" s="195" t="s">
        <v>237</v>
      </c>
      <c r="F26" s="195" t="s">
        <v>484</v>
      </c>
      <c r="G26" s="195" t="s">
        <v>309</v>
      </c>
      <c r="H26" s="195" t="s">
        <v>485</v>
      </c>
      <c r="I26" s="195" t="s">
        <v>635</v>
      </c>
      <c r="J26" s="195" t="s">
        <v>636</v>
      </c>
      <c r="K26" s="195" t="s">
        <v>656</v>
      </c>
      <c r="L26" s="195" t="s">
        <v>657</v>
      </c>
      <c r="M26" s="195" t="s">
        <v>340</v>
      </c>
      <c r="N26" s="195" t="s">
        <v>339</v>
      </c>
      <c r="O26" s="202">
        <v>97.438432380952406</v>
      </c>
      <c r="P26" s="202">
        <v>25.351724999999998</v>
      </c>
      <c r="Q26" s="203">
        <v>0</v>
      </c>
      <c r="R26" s="270">
        <v>67</v>
      </c>
      <c r="S26" s="270">
        <v>341</v>
      </c>
      <c r="T26" s="205">
        <f>IF(CampList[[#This Row],[HH]]&gt;0,CampList[[#This Row],[Total]]/CampList[[#This Row],[HH]],"NA")</f>
        <v>5.08955223880597</v>
      </c>
      <c r="U26" s="197" t="s">
        <v>464</v>
      </c>
      <c r="V26" s="197" t="s">
        <v>993</v>
      </c>
      <c r="W26" s="197" t="s">
        <v>507</v>
      </c>
      <c r="X26" s="197" t="s">
        <v>742</v>
      </c>
      <c r="Y26" s="308">
        <v>40695</v>
      </c>
      <c r="Z26" s="636" t="s">
        <v>1835</v>
      </c>
      <c r="AA26" s="195" t="s">
        <v>774</v>
      </c>
      <c r="AB26" s="208">
        <v>43593</v>
      </c>
      <c r="AC26" s="209" t="s">
        <v>1980</v>
      </c>
      <c r="AD26" s="197" t="str">
        <f ca="1">IFERROR(OFFSET(DistanceToCamp[Nearest Town],MATCH(CampList[[#This Row],[CP_Pcode]],DistanceToCamp[CP_Pcode],0)-1,0,1,1),"")</f>
        <v>Waingmaw Town</v>
      </c>
      <c r="AE26" s="210">
        <f ca="1">IFERROR(OFFSET(DistanceToCamp[distance],MATCH(CampList[[#This Row],[CP_Pcode]],DistanceToCamp[CP_Pcode],0)-1,0,1,1),"")</f>
        <v>0.4474205416025816</v>
      </c>
      <c r="AF26" s="211">
        <f ca="1">IFERROR(INT(CampList[[#This Row],[Distance]]/5)+1,"")</f>
        <v>1</v>
      </c>
    </row>
    <row r="27" spans="2:32" ht="15.75" customHeight="1" x14ac:dyDescent="0.3">
      <c r="B27" s="201" t="s">
        <v>1692</v>
      </c>
      <c r="C27" s="195" t="s">
        <v>378</v>
      </c>
      <c r="D27" s="195" t="s">
        <v>478</v>
      </c>
      <c r="E27" s="195" t="s">
        <v>237</v>
      </c>
      <c r="F27" s="195" t="s">
        <v>484</v>
      </c>
      <c r="G27" s="195" t="s">
        <v>309</v>
      </c>
      <c r="H27" s="195" t="s">
        <v>485</v>
      </c>
      <c r="I27" s="195" t="s">
        <v>659</v>
      </c>
      <c r="J27" s="195" t="s">
        <v>660</v>
      </c>
      <c r="K27" s="195" t="s">
        <v>661</v>
      </c>
      <c r="L27" s="195">
        <v>165730</v>
      </c>
      <c r="M27" s="195" t="s">
        <v>319</v>
      </c>
      <c r="N27" s="195" t="s">
        <v>318</v>
      </c>
      <c r="O27" s="202">
        <v>97.451965000000001</v>
      </c>
      <c r="P27" s="202">
        <v>25.356632000000001</v>
      </c>
      <c r="Q27" s="203">
        <v>0</v>
      </c>
      <c r="R27" s="270">
        <v>32</v>
      </c>
      <c r="S27" s="270">
        <v>196</v>
      </c>
      <c r="T27" s="205">
        <f>IF(CampList[[#This Row],[HH]]&gt;0,CampList[[#This Row],[Total]]/CampList[[#This Row],[HH]],"NA")</f>
        <v>6.125</v>
      </c>
      <c r="U27" s="197" t="s">
        <v>464</v>
      </c>
      <c r="V27" s="197" t="s">
        <v>993</v>
      </c>
      <c r="W27" s="197" t="s">
        <v>507</v>
      </c>
      <c r="X27" s="197" t="s">
        <v>742</v>
      </c>
      <c r="Y27" s="308">
        <v>41030</v>
      </c>
      <c r="Z27" s="636" t="s">
        <v>1835</v>
      </c>
      <c r="AA27" s="221" t="s">
        <v>774</v>
      </c>
      <c r="AB27" s="208">
        <v>43593</v>
      </c>
      <c r="AC27" s="201" t="s">
        <v>1981</v>
      </c>
      <c r="AD27" s="197" t="str">
        <f ca="1">IFERROR(OFFSET(DistanceToCamp[Nearest Town],MATCH(CampList[[#This Row],[CP_Pcode]],DistanceToCamp[CP_Pcode],0)-1,0,1,1),"")</f>
        <v>Waingmaw Town</v>
      </c>
      <c r="AE27" s="210">
        <f ca="1">IFERROR(OFFSET(DistanceToCamp[distance],MATCH(CampList[[#This Row],[CP_Pcode]],DistanceToCamp[CP_Pcode],0)-1,0,1,1),"")</f>
        <v>1.1134935940025397</v>
      </c>
      <c r="AF27" s="211">
        <f ca="1">IFERROR(INT(CampList[[#This Row],[Distance]]/5)+1,"")</f>
        <v>1</v>
      </c>
    </row>
    <row r="28" spans="2:32" ht="15.75" hidden="1" customHeight="1" x14ac:dyDescent="0.3">
      <c r="B28" s="201" t="s">
        <v>775</v>
      </c>
      <c r="C28" s="195" t="s">
        <v>378</v>
      </c>
      <c r="D28" s="195" t="s">
        <v>478</v>
      </c>
      <c r="E28" s="195" t="s">
        <v>237</v>
      </c>
      <c r="F28" s="195" t="s">
        <v>484</v>
      </c>
      <c r="G28" s="195" t="s">
        <v>309</v>
      </c>
      <c r="H28" s="195" t="s">
        <v>485</v>
      </c>
      <c r="I28" s="195" t="s">
        <v>635</v>
      </c>
      <c r="J28" s="195" t="s">
        <v>636</v>
      </c>
      <c r="K28" s="195" t="s">
        <v>637</v>
      </c>
      <c r="L28" s="195" t="s">
        <v>638</v>
      </c>
      <c r="M28" s="195" t="s">
        <v>349</v>
      </c>
      <c r="N28" s="195" t="s">
        <v>348</v>
      </c>
      <c r="O28" s="202">
        <v>97.432495000000003</v>
      </c>
      <c r="P28" s="202">
        <v>25.350809000000002</v>
      </c>
      <c r="Q28" s="203">
        <v>0</v>
      </c>
      <c r="R28" s="270">
        <v>92</v>
      </c>
      <c r="S28" s="270">
        <v>505</v>
      </c>
      <c r="T28" s="205">
        <f>IF(CampList[[#This Row],[HH]]&gt;0,CampList[[#This Row],[Total]]/CampList[[#This Row],[HH]],"NA")</f>
        <v>5.4891304347826084</v>
      </c>
      <c r="U28" s="197" t="s">
        <v>464</v>
      </c>
      <c r="V28" s="197" t="s">
        <v>993</v>
      </c>
      <c r="W28" s="197" t="s">
        <v>507</v>
      </c>
      <c r="X28" s="197" t="s">
        <v>742</v>
      </c>
      <c r="Y28" s="308">
        <v>40940</v>
      </c>
      <c r="Z28" s="206" t="s">
        <v>462</v>
      </c>
      <c r="AA28" s="195" t="s">
        <v>774</v>
      </c>
      <c r="AB28" s="208">
        <v>43281</v>
      </c>
      <c r="AC28" s="209" t="s">
        <v>1680</v>
      </c>
      <c r="AD28" s="197" t="str">
        <f ca="1">IFERROR(OFFSET(DistanceToCamp[Nearest Town],MATCH(CampList[[#This Row],[CP_Pcode]],DistanceToCamp[CP_Pcode],0)-1,0,1,1),"")</f>
        <v>Waingmaw Town</v>
      </c>
      <c r="AE28" s="210">
        <f ca="1">IFERROR(OFFSET(DistanceToCamp[distance],MATCH(CampList[[#This Row],[CP_Pcode]],DistanceToCamp[CP_Pcode],0)-1,0,1,1),"")</f>
        <v>1.0367202051285227</v>
      </c>
      <c r="AF28" s="211">
        <f ca="1">IFERROR(INT(CampList[[#This Row],[Distance]]/5)+1,"")</f>
        <v>1</v>
      </c>
    </row>
    <row r="29" spans="2:32" ht="15.75" customHeight="1" x14ac:dyDescent="0.3">
      <c r="B29" s="201" t="s">
        <v>1692</v>
      </c>
      <c r="C29" s="195" t="s">
        <v>378</v>
      </c>
      <c r="D29" s="195" t="s">
        <v>478</v>
      </c>
      <c r="E29" s="195" t="s">
        <v>237</v>
      </c>
      <c r="F29" s="195" t="s">
        <v>484</v>
      </c>
      <c r="G29" s="195" t="s">
        <v>309</v>
      </c>
      <c r="H29" s="195" t="s">
        <v>485</v>
      </c>
      <c r="I29" s="195" t="s">
        <v>564</v>
      </c>
      <c r="J29" s="195" t="s">
        <v>565</v>
      </c>
      <c r="K29" s="195" t="s">
        <v>564</v>
      </c>
      <c r="L29" s="195">
        <v>165735</v>
      </c>
      <c r="M29" s="195" t="s">
        <v>312</v>
      </c>
      <c r="N29" s="195" t="s">
        <v>311</v>
      </c>
      <c r="O29" s="202">
        <v>97.404195925926004</v>
      </c>
      <c r="P29" s="202">
        <v>25.321710740740698</v>
      </c>
      <c r="Q29" s="203">
        <v>0</v>
      </c>
      <c r="R29" s="270">
        <v>92</v>
      </c>
      <c r="S29" s="270">
        <v>448</v>
      </c>
      <c r="T29" s="205">
        <f>IF(CampList[[#This Row],[HH]]&gt;0,CampList[[#This Row],[Total]]/CampList[[#This Row],[HH]],"NA")</f>
        <v>4.8695652173913047</v>
      </c>
      <c r="U29" s="197" t="s">
        <v>464</v>
      </c>
      <c r="V29" s="197" t="s">
        <v>993</v>
      </c>
      <c r="W29" s="197" t="s">
        <v>507</v>
      </c>
      <c r="X29" s="197" t="s">
        <v>784</v>
      </c>
      <c r="Y29" s="308">
        <v>40695</v>
      </c>
      <c r="Z29" s="206" t="s">
        <v>462</v>
      </c>
      <c r="AA29" s="221" t="s">
        <v>774</v>
      </c>
      <c r="AB29" s="208">
        <v>43593</v>
      </c>
      <c r="AC29" s="201" t="s">
        <v>2074</v>
      </c>
      <c r="AD29" s="197" t="str">
        <f ca="1">IFERROR(OFFSET(DistanceToCamp[Nearest Town],MATCH(CampList[[#This Row],[CP_Pcode]],DistanceToCamp[CP_Pcode],0)-1,0,1,1),"")</f>
        <v>Waingmaw Town</v>
      </c>
      <c r="AE29" s="210">
        <f ca="1">IFERROR(OFFSET(DistanceToCamp[distance],MATCH(CampList[[#This Row],[CP_Pcode]],DistanceToCamp[CP_Pcode],0)-1,0,1,1),"")</f>
        <v>5.0655036329811631</v>
      </c>
      <c r="AF29" s="211">
        <f ca="1">IFERROR(INT(CampList[[#This Row],[Distance]]/5)+1,"")</f>
        <v>2</v>
      </c>
    </row>
    <row r="30" spans="2:32" ht="15.75" customHeight="1" x14ac:dyDescent="0.3">
      <c r="B30" s="201" t="s">
        <v>1692</v>
      </c>
      <c r="C30" s="196" t="s">
        <v>378</v>
      </c>
      <c r="D30" s="196" t="s">
        <v>478</v>
      </c>
      <c r="E30" s="196" t="s">
        <v>237</v>
      </c>
      <c r="F30" s="196" t="s">
        <v>484</v>
      </c>
      <c r="G30" s="196" t="s">
        <v>309</v>
      </c>
      <c r="H30" s="196" t="s">
        <v>485</v>
      </c>
      <c r="I30" s="196" t="s">
        <v>633</v>
      </c>
      <c r="J30" s="214" t="s">
        <v>634</v>
      </c>
      <c r="K30" s="196" t="s">
        <v>633</v>
      </c>
      <c r="L30" s="196">
        <v>165740</v>
      </c>
      <c r="M30" s="196" t="s">
        <v>329</v>
      </c>
      <c r="N30" s="196" t="s">
        <v>328</v>
      </c>
      <c r="O30" s="204">
        <v>97.437782499999997</v>
      </c>
      <c r="P30" s="204">
        <v>25.415667500000001</v>
      </c>
      <c r="Q30" s="215"/>
      <c r="R30" s="270">
        <v>327</v>
      </c>
      <c r="S30" s="270">
        <v>1785</v>
      </c>
      <c r="T30" s="205">
        <f>IF(CampList[[#This Row],[HH]]&gt;0,CampList[[#This Row],[Total]]/CampList[[#This Row],[HH]],"NA")</f>
        <v>5.4587155963302756</v>
      </c>
      <c r="U30" s="181" t="s">
        <v>464</v>
      </c>
      <c r="V30" s="197" t="s">
        <v>993</v>
      </c>
      <c r="W30" s="181" t="s">
        <v>507</v>
      </c>
      <c r="X30" s="181" t="s">
        <v>742</v>
      </c>
      <c r="Y30" s="309">
        <v>41426</v>
      </c>
      <c r="Z30" s="215" t="s">
        <v>934</v>
      </c>
      <c r="AA30" s="196" t="s">
        <v>774</v>
      </c>
      <c r="AB30" s="208">
        <v>43593</v>
      </c>
      <c r="AC30" s="217" t="s">
        <v>2047</v>
      </c>
      <c r="AD30" s="218" t="str">
        <f ca="1">IFERROR(OFFSET(DistanceToCamp[Nearest Town],MATCH(CampList[[#This Row],[CP_Pcode]],DistanceToCamp[CP_Pcode],0)-1,0,1,1),"")</f>
        <v>Myitkyina Town</v>
      </c>
      <c r="AE30" s="210">
        <f ca="1">IFERROR(OFFSET(DistanceToCamp[distance],MATCH(CampList[[#This Row],[CP_Pcode]],DistanceToCamp[CP_Pcode],0)-1,0,1,1),"")</f>
        <v>5.7019834469756479</v>
      </c>
      <c r="AF30" s="219">
        <f ca="1">IFERROR(INT(CampList[[#This Row],[Distance]]/5)+1,"")</f>
        <v>2</v>
      </c>
    </row>
    <row r="31" spans="2:32" ht="15.75" customHeight="1" x14ac:dyDescent="0.3">
      <c r="B31" s="201" t="s">
        <v>1692</v>
      </c>
      <c r="C31" s="195" t="s">
        <v>378</v>
      </c>
      <c r="D31" s="195" t="s">
        <v>478</v>
      </c>
      <c r="E31" s="195" t="s">
        <v>237</v>
      </c>
      <c r="F31" s="195" t="s">
        <v>484</v>
      </c>
      <c r="G31" s="195" t="s">
        <v>309</v>
      </c>
      <c r="H31" s="195" t="s">
        <v>485</v>
      </c>
      <c r="I31" s="195" t="s">
        <v>635</v>
      </c>
      <c r="J31" s="195" t="s">
        <v>636</v>
      </c>
      <c r="K31" s="195" t="s">
        <v>654</v>
      </c>
      <c r="L31" s="195" t="s">
        <v>655</v>
      </c>
      <c r="M31" s="195" t="s">
        <v>337</v>
      </c>
      <c r="N31" s="195" t="s">
        <v>336</v>
      </c>
      <c r="O31" s="202">
        <v>97.437472666666693</v>
      </c>
      <c r="P31" s="202">
        <v>25.345918166666699</v>
      </c>
      <c r="Q31" s="203"/>
      <c r="R31" s="270">
        <v>36</v>
      </c>
      <c r="S31" s="270">
        <v>189</v>
      </c>
      <c r="T31" s="205">
        <f>IF(CampList[[#This Row],[HH]]&gt;0,CampList[[#This Row],[Total]]/CampList[[#This Row],[HH]],"NA")</f>
        <v>5.25</v>
      </c>
      <c r="U31" s="197" t="s">
        <v>464</v>
      </c>
      <c r="V31" s="197" t="s">
        <v>993</v>
      </c>
      <c r="W31" s="197" t="s">
        <v>507</v>
      </c>
      <c r="X31" s="197" t="s">
        <v>742</v>
      </c>
      <c r="Y31" s="308">
        <v>40695</v>
      </c>
      <c r="Z31" s="636" t="s">
        <v>462</v>
      </c>
      <c r="AA31" s="195" t="s">
        <v>774</v>
      </c>
      <c r="AB31" s="208">
        <v>43593</v>
      </c>
      <c r="AC31" s="209" t="s">
        <v>2072</v>
      </c>
      <c r="AD31" s="197" t="str">
        <f ca="1">IFERROR(OFFSET(DistanceToCamp[Nearest Town],MATCH(CampList[[#This Row],[CP_Pcode]],DistanceToCamp[CP_Pcode],0)-1,0,1,1),"")</f>
        <v>Waingmaw Town</v>
      </c>
      <c r="AE31" s="210">
        <f ca="1">IFERROR(OFFSET(DistanceToCamp[distance],MATCH(CampList[[#This Row],[CP_Pcode]],DistanceToCamp[CP_Pcode],0)-1,0,1,1),"")</f>
        <v>0.77827912736780092</v>
      </c>
      <c r="AF31" s="211">
        <f ca="1">IFERROR(INT(CampList[[#This Row],[Distance]]/5)+1,"")</f>
        <v>1</v>
      </c>
    </row>
    <row r="32" spans="2:32" ht="15.75" customHeight="1" x14ac:dyDescent="0.3">
      <c r="B32" s="201" t="s">
        <v>1692</v>
      </c>
      <c r="C32" s="195" t="s">
        <v>378</v>
      </c>
      <c r="D32" s="195" t="s">
        <v>478</v>
      </c>
      <c r="E32" s="195" t="s">
        <v>237</v>
      </c>
      <c r="F32" s="195" t="s">
        <v>484</v>
      </c>
      <c r="G32" s="195" t="s">
        <v>309</v>
      </c>
      <c r="H32" s="195" t="s">
        <v>485</v>
      </c>
      <c r="I32" s="195" t="s">
        <v>633</v>
      </c>
      <c r="J32" s="195" t="s">
        <v>634</v>
      </c>
      <c r="K32" s="195" t="s">
        <v>633</v>
      </c>
      <c r="L32" s="195">
        <v>165740</v>
      </c>
      <c r="M32" s="195" t="s">
        <v>327</v>
      </c>
      <c r="N32" s="195" t="s">
        <v>326</v>
      </c>
      <c r="O32" s="202">
        <v>97.433419259259296</v>
      </c>
      <c r="P32" s="202">
        <v>25.424529444444399</v>
      </c>
      <c r="Q32" s="203">
        <v>0</v>
      </c>
      <c r="R32" s="270">
        <v>346</v>
      </c>
      <c r="S32" s="270">
        <v>2059</v>
      </c>
      <c r="T32" s="205">
        <f>IF(CampList[[#This Row],[HH]]&gt;0,CampList[[#This Row],[Total]]/CampList[[#This Row],[HH]],"NA")</f>
        <v>5.9508670520231215</v>
      </c>
      <c r="U32" s="197" t="s">
        <v>464</v>
      </c>
      <c r="V32" s="197" t="s">
        <v>993</v>
      </c>
      <c r="W32" s="197" t="s">
        <v>507</v>
      </c>
      <c r="X32" s="197" t="s">
        <v>784</v>
      </c>
      <c r="Y32" s="308">
        <v>41456</v>
      </c>
      <c r="Z32" s="636" t="s">
        <v>462</v>
      </c>
      <c r="AA32" s="221" t="s">
        <v>774</v>
      </c>
      <c r="AB32" s="208">
        <v>43593</v>
      </c>
      <c r="AC32" s="201" t="s">
        <v>2075</v>
      </c>
      <c r="AD32" s="197" t="str">
        <f ca="1">IFERROR(OFFSET(DistanceToCamp[Nearest Town],MATCH(CampList[[#This Row],[CP_Pcode]],DistanceToCamp[CP_Pcode],0)-1,0,1,1),"")</f>
        <v>Myitkyina Town</v>
      </c>
      <c r="AE32" s="210">
        <f ca="1">IFERROR(OFFSET(DistanceToCamp[distance],MATCH(CampList[[#This Row],[CP_Pcode]],DistanceToCamp[CP_Pcode],0)-1,0,1,1),"")</f>
        <v>5.9727739497559158</v>
      </c>
      <c r="AF32" s="211">
        <f ca="1">IFERROR(INT(CampList[[#This Row],[Distance]]/5)+1,"")</f>
        <v>2</v>
      </c>
    </row>
    <row r="33" spans="2:32" ht="15.75" customHeight="1" x14ac:dyDescent="0.3">
      <c r="B33" s="201" t="s">
        <v>1692</v>
      </c>
      <c r="C33" s="195" t="s">
        <v>378</v>
      </c>
      <c r="D33" s="195" t="s">
        <v>478</v>
      </c>
      <c r="E33" s="195" t="s">
        <v>237</v>
      </c>
      <c r="F33" s="195" t="s">
        <v>484</v>
      </c>
      <c r="G33" s="195" t="s">
        <v>309</v>
      </c>
      <c r="H33" s="195" t="s">
        <v>485</v>
      </c>
      <c r="I33" s="195" t="s">
        <v>635</v>
      </c>
      <c r="J33" s="195" t="s">
        <v>636</v>
      </c>
      <c r="K33" s="195" t="s">
        <v>656</v>
      </c>
      <c r="L33" s="195" t="s">
        <v>657</v>
      </c>
      <c r="M33" s="195" t="s">
        <v>317</v>
      </c>
      <c r="N33" s="195" t="s">
        <v>316</v>
      </c>
      <c r="O33" s="202">
        <v>97.441166388888902</v>
      </c>
      <c r="P33" s="202">
        <v>25.3540362037037</v>
      </c>
      <c r="Q33" s="203">
        <v>0</v>
      </c>
      <c r="R33" s="270">
        <v>115</v>
      </c>
      <c r="S33" s="270">
        <v>493</v>
      </c>
      <c r="T33" s="205">
        <f>IF(CampList[[#This Row],[HH]]&gt;0,CampList[[#This Row],[Total]]/CampList[[#This Row],[HH]],"NA")</f>
        <v>4.2869565217391301</v>
      </c>
      <c r="U33" s="197" t="s">
        <v>464</v>
      </c>
      <c r="V33" s="197" t="s">
        <v>993</v>
      </c>
      <c r="W33" s="197" t="s">
        <v>507</v>
      </c>
      <c r="X33" s="197" t="s">
        <v>742</v>
      </c>
      <c r="Y33" s="308">
        <v>40725</v>
      </c>
      <c r="Z33" s="206" t="s">
        <v>462</v>
      </c>
      <c r="AA33" s="195" t="s">
        <v>774</v>
      </c>
      <c r="AB33" s="208">
        <v>43593</v>
      </c>
      <c r="AC33" s="209" t="s">
        <v>2076</v>
      </c>
      <c r="AD33" s="197" t="str">
        <f ca="1">IFERROR(OFFSET(DistanceToCamp[Nearest Town],MATCH(CampList[[#This Row],[CP_Pcode]],DistanceToCamp[CP_Pcode],0)-1,0,1,1),"")</f>
        <v>Waingmaw Town</v>
      </c>
      <c r="AE33" s="210">
        <f ca="1">IFERROR(OFFSET(DistanceToCamp[distance],MATCH(CampList[[#This Row],[CP_Pcode]],DistanceToCamp[CP_Pcode],0)-1,0,1,1),"")</f>
        <v>0.37684287609457234</v>
      </c>
      <c r="AF33" s="211">
        <f ca="1">IFERROR(INT(CampList[[#This Row],[Distance]]/5)+1,"")</f>
        <v>1</v>
      </c>
    </row>
    <row r="34" spans="2:32" ht="15.75" customHeight="1" x14ac:dyDescent="0.3">
      <c r="B34" s="201" t="s">
        <v>1692</v>
      </c>
      <c r="C34" s="195" t="s">
        <v>378</v>
      </c>
      <c r="D34" s="195" t="s">
        <v>478</v>
      </c>
      <c r="E34" s="195" t="s">
        <v>237</v>
      </c>
      <c r="F34" s="195" t="s">
        <v>484</v>
      </c>
      <c r="G34" s="195" t="s">
        <v>309</v>
      </c>
      <c r="H34" s="195" t="s">
        <v>485</v>
      </c>
      <c r="I34" s="195" t="s">
        <v>959</v>
      </c>
      <c r="J34" s="195" t="s">
        <v>1035</v>
      </c>
      <c r="K34" s="195" t="s">
        <v>606</v>
      </c>
      <c r="L34" s="195">
        <v>165745</v>
      </c>
      <c r="M34" s="195" t="s">
        <v>342</v>
      </c>
      <c r="N34" s="195" t="s">
        <v>341</v>
      </c>
      <c r="O34" s="202">
        <v>97.345039</v>
      </c>
      <c r="P34" s="202">
        <v>25.351965</v>
      </c>
      <c r="Q34" s="203"/>
      <c r="R34" s="270">
        <v>19</v>
      </c>
      <c r="S34" s="270">
        <v>82</v>
      </c>
      <c r="T34" s="205">
        <f>IF(CampList[[#This Row],[HH]]&gt;0,CampList[[#This Row],[Total]]/CampList[[#This Row],[HH]],"NA")</f>
        <v>4.3157894736842106</v>
      </c>
      <c r="U34" s="197" t="s">
        <v>464</v>
      </c>
      <c r="V34" s="197" t="s">
        <v>993</v>
      </c>
      <c r="W34" s="197" t="s">
        <v>507</v>
      </c>
      <c r="X34" s="197" t="s">
        <v>784</v>
      </c>
      <c r="Y34" s="308">
        <v>41030</v>
      </c>
      <c r="Z34" s="206" t="s">
        <v>462</v>
      </c>
      <c r="AA34" s="195" t="s">
        <v>774</v>
      </c>
      <c r="AB34" s="208">
        <v>43593</v>
      </c>
      <c r="AC34" s="209" t="s">
        <v>2077</v>
      </c>
      <c r="AD34" s="197" t="str">
        <f ca="1">IFERROR(OFFSET(DistanceToCamp[Nearest Town],MATCH(CampList[[#This Row],[CP_Pcode]],DistanceToCamp[CP_Pcode],0)-1,0,1,1),"")</f>
        <v>Myitkyina Town</v>
      </c>
      <c r="AE34" s="210">
        <f ca="1">IFERROR(OFFSET(DistanceToCamp[distance],MATCH(CampList[[#This Row],[CP_Pcode]],DistanceToCamp[CP_Pcode],0)-1,0,1,1),"")</f>
        <v>6.0275881703713861</v>
      </c>
      <c r="AF34" s="211">
        <f ca="1">IFERROR(INT(CampList[[#This Row],[Distance]]/5)+1,"")</f>
        <v>2</v>
      </c>
    </row>
    <row r="35" spans="2:32" ht="15.75" customHeight="1" x14ac:dyDescent="0.3">
      <c r="B35" s="201" t="s">
        <v>1692</v>
      </c>
      <c r="C35" s="195" t="s">
        <v>378</v>
      </c>
      <c r="D35" s="195" t="s">
        <v>478</v>
      </c>
      <c r="E35" s="195" t="s">
        <v>237</v>
      </c>
      <c r="F35" s="195" t="s">
        <v>484</v>
      </c>
      <c r="G35" s="195" t="s">
        <v>309</v>
      </c>
      <c r="H35" s="195" t="s">
        <v>485</v>
      </c>
      <c r="I35" s="195" t="s">
        <v>635</v>
      </c>
      <c r="J35" s="195" t="s">
        <v>636</v>
      </c>
      <c r="K35" s="195" t="s">
        <v>637</v>
      </c>
      <c r="L35" s="195" t="s">
        <v>638</v>
      </c>
      <c r="M35" s="195" t="s">
        <v>347</v>
      </c>
      <c r="N35" s="195" t="s">
        <v>346</v>
      </c>
      <c r="O35" s="202">
        <v>97.428251153846105</v>
      </c>
      <c r="P35" s="202">
        <v>25.333683333333301</v>
      </c>
      <c r="Q35" s="203"/>
      <c r="R35" s="270">
        <v>46</v>
      </c>
      <c r="S35" s="270">
        <v>190</v>
      </c>
      <c r="T35" s="205">
        <f>IF(CampList[[#This Row],[HH]]&gt;0,CampList[[#This Row],[Total]]/CampList[[#This Row],[HH]],"NA")</f>
        <v>4.1304347826086953</v>
      </c>
      <c r="U35" s="197" t="s">
        <v>464</v>
      </c>
      <c r="V35" s="197" t="s">
        <v>993</v>
      </c>
      <c r="W35" s="197" t="s">
        <v>507</v>
      </c>
      <c r="X35" s="197" t="s">
        <v>742</v>
      </c>
      <c r="Y35" s="308">
        <v>40848</v>
      </c>
      <c r="Z35" s="206" t="s">
        <v>462</v>
      </c>
      <c r="AA35" s="195" t="s">
        <v>774</v>
      </c>
      <c r="AB35" s="208">
        <v>43593</v>
      </c>
      <c r="AC35" s="209" t="s">
        <v>2078</v>
      </c>
      <c r="AD35" s="197" t="str">
        <f ca="1">IFERROR(OFFSET(DistanceToCamp[Nearest Town],MATCH(CampList[[#This Row],[CP_Pcode]],DistanceToCamp[CP_Pcode],0)-1,0,1,1),"")</f>
        <v>Waingmaw Town</v>
      </c>
      <c r="AE35" s="210">
        <f ca="1">IFERROR(OFFSET(DistanceToCamp[distance],MATCH(CampList[[#This Row],[CP_Pcode]],DistanceToCamp[CP_Pcode],0)-1,0,1,1),"")</f>
        <v>2.4174307716662291</v>
      </c>
      <c r="AF35" s="211">
        <f ca="1">IFERROR(INT(CampList[[#This Row],[Distance]]/5)+1,"")</f>
        <v>1</v>
      </c>
    </row>
    <row r="36" spans="2:32" ht="15.75" hidden="1" customHeight="1" x14ac:dyDescent="0.3">
      <c r="B36" s="201" t="s">
        <v>775</v>
      </c>
      <c r="C36" s="195" t="s">
        <v>378</v>
      </c>
      <c r="D36" s="195" t="s">
        <v>478</v>
      </c>
      <c r="E36" s="195" t="s">
        <v>237</v>
      </c>
      <c r="F36" s="195" t="s">
        <v>484</v>
      </c>
      <c r="G36" s="195" t="s">
        <v>309</v>
      </c>
      <c r="H36" s="195" t="s">
        <v>485</v>
      </c>
      <c r="I36" s="209" t="s">
        <v>689</v>
      </c>
      <c r="J36" s="209" t="s">
        <v>690</v>
      </c>
      <c r="K36" s="209" t="s">
        <v>689</v>
      </c>
      <c r="L36" s="209">
        <v>165750</v>
      </c>
      <c r="M36" s="195" t="s">
        <v>1032</v>
      </c>
      <c r="N36" s="195" t="s">
        <v>358</v>
      </c>
      <c r="O36" s="202"/>
      <c r="P36" s="202"/>
      <c r="Q36" s="215"/>
      <c r="R36" s="280"/>
      <c r="S36" s="281"/>
      <c r="T36" s="205" t="str">
        <f>IF(CampList[[#This Row],[HH]]&gt;0,CampList[[#This Row],[Total]]/CampList[[#This Row],[HH]],"NA")</f>
        <v>NA</v>
      </c>
      <c r="U36" s="197" t="s">
        <v>464</v>
      </c>
      <c r="V36" s="197" t="s">
        <v>993</v>
      </c>
      <c r="W36" s="197" t="s">
        <v>507</v>
      </c>
      <c r="X36" s="197"/>
      <c r="Y36" s="216"/>
      <c r="Z36" s="207"/>
      <c r="AA36" s="221"/>
      <c r="AB36" s="224"/>
      <c r="AC36" s="201" t="s">
        <v>541</v>
      </c>
      <c r="AD36" s="197" t="str">
        <f ca="1">IFERROR(OFFSET(DistanceToCamp[Nearest Town],MATCH(CampList[[#This Row],[CP_Pcode]],DistanceToCamp[CP_Pcode],0)-1,0,1,1),"")</f>
        <v/>
      </c>
      <c r="AE36" s="210" t="str">
        <f ca="1">IFERROR(OFFSET(DistanceToCamp[distance],MATCH(CampList[[#This Row],[CP_Pcode]],DistanceToCamp[CP_Pcode],0)-1,0,1,1),"")</f>
        <v/>
      </c>
      <c r="AF36" s="211" t="str">
        <f ca="1">IFERROR(INT(CampList[[#This Row],[Distance]]/5)+1,"")</f>
        <v/>
      </c>
    </row>
    <row r="37" spans="2:32" ht="15.75" hidden="1" customHeight="1" x14ac:dyDescent="0.3">
      <c r="B37" s="201" t="s">
        <v>775</v>
      </c>
      <c r="C37" s="195" t="s">
        <v>378</v>
      </c>
      <c r="D37" s="195" t="s">
        <v>478</v>
      </c>
      <c r="E37" s="195" t="s">
        <v>237</v>
      </c>
      <c r="F37" s="195" t="s">
        <v>484</v>
      </c>
      <c r="G37" s="195" t="s">
        <v>309</v>
      </c>
      <c r="H37" s="195" t="s">
        <v>485</v>
      </c>
      <c r="I37" s="209" t="s">
        <v>564</v>
      </c>
      <c r="J37" s="195" t="s">
        <v>565</v>
      </c>
      <c r="K37" s="209" t="s">
        <v>564</v>
      </c>
      <c r="L37" s="209">
        <v>165735</v>
      </c>
      <c r="M37" s="195" t="s">
        <v>1031</v>
      </c>
      <c r="N37" s="195" t="s">
        <v>357</v>
      </c>
      <c r="O37" s="202">
        <v>97.421104</v>
      </c>
      <c r="P37" s="202">
        <v>25.328987000000001</v>
      </c>
      <c r="Q37" s="215"/>
      <c r="R37" s="280"/>
      <c r="S37" s="281"/>
      <c r="T37" s="205" t="str">
        <f>IF(CampList[[#This Row],[HH]]&gt;0,CampList[[#This Row],[Total]]/CampList[[#This Row],[HH]],"NA")</f>
        <v>NA</v>
      </c>
      <c r="U37" s="197" t="s">
        <v>464</v>
      </c>
      <c r="V37" s="197" t="s">
        <v>993</v>
      </c>
      <c r="W37" s="197" t="s">
        <v>507</v>
      </c>
      <c r="X37" s="197"/>
      <c r="Y37" s="216"/>
      <c r="Z37" s="207"/>
      <c r="AA37" s="221"/>
      <c r="AB37" s="224"/>
      <c r="AC37" s="201" t="s">
        <v>541</v>
      </c>
      <c r="AD37" s="197" t="str">
        <f ca="1">IFERROR(OFFSET(DistanceToCamp[Nearest Town],MATCH(CampList[[#This Row],[CP_Pcode]],DistanceToCamp[CP_Pcode],0)-1,0,1,1),"")</f>
        <v/>
      </c>
      <c r="AE37" s="210" t="str">
        <f ca="1">IFERROR(OFFSET(DistanceToCamp[distance],MATCH(CampList[[#This Row],[CP_Pcode]],DistanceToCamp[CP_Pcode],0)-1,0,1,1),"")</f>
        <v/>
      </c>
      <c r="AF37" s="211" t="str">
        <f ca="1">IFERROR(INT(CampList[[#This Row],[Distance]]/5)+1,"")</f>
        <v/>
      </c>
    </row>
    <row r="38" spans="2:32" ht="15.75" hidden="1" customHeight="1" x14ac:dyDescent="0.3">
      <c r="B38" s="201" t="s">
        <v>775</v>
      </c>
      <c r="C38" s="195" t="s">
        <v>378</v>
      </c>
      <c r="D38" s="195" t="s">
        <v>478</v>
      </c>
      <c r="E38" s="195" t="s">
        <v>237</v>
      </c>
      <c r="F38" s="195" t="s">
        <v>484</v>
      </c>
      <c r="G38" s="195" t="s">
        <v>309</v>
      </c>
      <c r="H38" s="195" t="s">
        <v>485</v>
      </c>
      <c r="I38" s="195" t="s">
        <v>635</v>
      </c>
      <c r="J38" s="195" t="s">
        <v>636</v>
      </c>
      <c r="K38" s="195" t="s">
        <v>656</v>
      </c>
      <c r="L38" s="195" t="s">
        <v>657</v>
      </c>
      <c r="M38" s="195" t="s">
        <v>310</v>
      </c>
      <c r="N38" s="195" t="s">
        <v>308</v>
      </c>
      <c r="O38" s="202">
        <v>97.438259000000002</v>
      </c>
      <c r="P38" s="202">
        <v>25.355841999999999</v>
      </c>
      <c r="Q38" s="203">
        <v>0</v>
      </c>
      <c r="R38" s="218"/>
      <c r="S38" s="223"/>
      <c r="T38" s="205" t="str">
        <f>IF(CampList[[#This Row],[HH]]&gt;0,CampList[[#This Row],[Total]]/CampList[[#This Row],[HH]],"NA")</f>
        <v>NA</v>
      </c>
      <c r="U38" s="197" t="s">
        <v>464</v>
      </c>
      <c r="V38" s="197" t="s">
        <v>993</v>
      </c>
      <c r="W38" s="197" t="s">
        <v>847</v>
      </c>
      <c r="X38" s="197" t="s">
        <v>742</v>
      </c>
      <c r="Y38" s="636">
        <v>40848</v>
      </c>
      <c r="Z38" s="636" t="s">
        <v>424</v>
      </c>
      <c r="AA38" s="195" t="s">
        <v>774</v>
      </c>
      <c r="AB38" s="208">
        <v>42432</v>
      </c>
      <c r="AC38" s="209" t="s">
        <v>1085</v>
      </c>
      <c r="AD38" s="197" t="str">
        <f ca="1">IFERROR(OFFSET(DistanceToCamp[Nearest Town],MATCH(CampList[[#This Row],[CP_Pcode]],DistanceToCamp[CP_Pcode],0)-1,0,1,1),"")</f>
        <v>Waingmaw Town</v>
      </c>
      <c r="AE38" s="210">
        <f ca="1">IFERROR(OFFSET(DistanceToCamp[distance],MATCH(CampList[[#This Row],[CP_Pcode]],DistanceToCamp[CP_Pcode],0)-1,0,1,1),"")</f>
        <v>0.70725493400809891</v>
      </c>
      <c r="AF38" s="211">
        <f ca="1">IFERROR(INT(CampList[[#This Row],[Distance]]/5)+1,"")</f>
        <v>1</v>
      </c>
    </row>
    <row r="39" spans="2:32" ht="15.75" customHeight="1" x14ac:dyDescent="0.3">
      <c r="B39" s="201" t="s">
        <v>1692</v>
      </c>
      <c r="C39" s="195" t="s">
        <v>378</v>
      </c>
      <c r="D39" s="195" t="s">
        <v>478</v>
      </c>
      <c r="E39" s="195" t="s">
        <v>237</v>
      </c>
      <c r="F39" s="195" t="s">
        <v>484</v>
      </c>
      <c r="G39" s="195" t="s">
        <v>309</v>
      </c>
      <c r="H39" s="195" t="s">
        <v>485</v>
      </c>
      <c r="I39" s="195" t="s">
        <v>635</v>
      </c>
      <c r="J39" s="195" t="s">
        <v>636</v>
      </c>
      <c r="K39" s="195" t="s">
        <v>654</v>
      </c>
      <c r="L39" s="195" t="s">
        <v>655</v>
      </c>
      <c r="M39" s="195" t="s">
        <v>315</v>
      </c>
      <c r="N39" s="195" t="s">
        <v>314</v>
      </c>
      <c r="O39" s="202">
        <v>97.444283730158702</v>
      </c>
      <c r="P39" s="202">
        <v>25.351250396825399</v>
      </c>
      <c r="Q39" s="203">
        <v>476</v>
      </c>
      <c r="R39" s="270">
        <v>67</v>
      </c>
      <c r="S39" s="775">
        <v>283</v>
      </c>
      <c r="T39" s="205">
        <f>IF(CampList[[#This Row],[HH]]&gt;0,CampList[[#This Row],[Total]]/CampList[[#This Row],[HH]],"NA")</f>
        <v>4.2238805970149258</v>
      </c>
      <c r="U39" s="197" t="s">
        <v>464</v>
      </c>
      <c r="V39" s="197" t="s">
        <v>993</v>
      </c>
      <c r="W39" s="197" t="s">
        <v>507</v>
      </c>
      <c r="X39" s="197" t="s">
        <v>742</v>
      </c>
      <c r="Y39" s="308">
        <v>40848</v>
      </c>
      <c r="Z39" s="636" t="s">
        <v>462</v>
      </c>
      <c r="AA39" s="195" t="s">
        <v>774</v>
      </c>
      <c r="AB39" s="208">
        <v>43593</v>
      </c>
      <c r="AC39" s="209" t="s">
        <v>2078</v>
      </c>
      <c r="AD39" s="197" t="str">
        <f ca="1">IFERROR(OFFSET(DistanceToCamp[Nearest Town],MATCH(CampList[[#This Row],[CP_Pcode]],DistanceToCamp[CP_Pcode],0)-1,0,1,1),"")</f>
        <v>Waingmaw Town</v>
      </c>
      <c r="AE39" s="210">
        <f ca="1">IFERROR(OFFSET(DistanceToCamp[distance],MATCH(CampList[[#This Row],[CP_Pcode]],DistanceToCamp[CP_Pcode],0)-1,0,1,1),"")</f>
        <v>0.15089472113650237</v>
      </c>
      <c r="AF39" s="211">
        <f ca="1">IFERROR(INT(CampList[[#This Row],[Distance]]/5)+1,"")</f>
        <v>1</v>
      </c>
    </row>
    <row r="40" spans="2:32" ht="15.75" customHeight="1" x14ac:dyDescent="0.3">
      <c r="B40" s="201" t="s">
        <v>1692</v>
      </c>
      <c r="C40" s="195" t="s">
        <v>378</v>
      </c>
      <c r="D40" s="195" t="s">
        <v>478</v>
      </c>
      <c r="E40" s="195" t="s">
        <v>237</v>
      </c>
      <c r="F40" s="195" t="s">
        <v>484</v>
      </c>
      <c r="G40" s="195" t="s">
        <v>27</v>
      </c>
      <c r="H40" s="195" t="s">
        <v>487</v>
      </c>
      <c r="I40" s="195" t="s">
        <v>731</v>
      </c>
      <c r="J40" s="195" t="s">
        <v>732</v>
      </c>
      <c r="K40" s="195" t="s">
        <v>1093</v>
      </c>
      <c r="L40" s="213" t="s">
        <v>1092</v>
      </c>
      <c r="M40" s="195" t="s">
        <v>28</v>
      </c>
      <c r="N40" s="195" t="s">
        <v>30</v>
      </c>
      <c r="O40" s="202">
        <v>98.131550000000004</v>
      </c>
      <c r="P40" s="202">
        <v>25.889410000000002</v>
      </c>
      <c r="Q40" s="203">
        <v>304</v>
      </c>
      <c r="R40" s="270">
        <v>163</v>
      </c>
      <c r="S40" s="270">
        <v>830</v>
      </c>
      <c r="T40" s="205">
        <f>IF(CampList[[#This Row],[HH]]&gt;0,CampList[[#This Row],[Total]]/CampList[[#This Row],[HH]],"NA")</f>
        <v>5.0920245398773005</v>
      </c>
      <c r="U40" s="197" t="s">
        <v>464</v>
      </c>
      <c r="V40" s="197" t="s">
        <v>993</v>
      </c>
      <c r="W40" s="197" t="s">
        <v>507</v>
      </c>
      <c r="X40" s="197" t="s">
        <v>742</v>
      </c>
      <c r="Y40" s="308">
        <v>41244</v>
      </c>
      <c r="Z40" s="206" t="s">
        <v>462</v>
      </c>
      <c r="AA40" s="221" t="s">
        <v>774</v>
      </c>
      <c r="AB40" s="208">
        <v>43593</v>
      </c>
      <c r="AC40" s="201" t="s">
        <v>2079</v>
      </c>
      <c r="AD40" s="197" t="str">
        <f ca="1">IFERROR(OFFSET(DistanceToCamp[Nearest Town],MATCH(CampList[[#This Row],[CP_Pcode]],DistanceToCamp[CP_Pcode],0)-1,0,1,1),"")</f>
        <v>Chipwi Town</v>
      </c>
      <c r="AE40" s="210">
        <f ca="1">IFERROR(OFFSET(DistanceToCamp[distance],MATCH(CampList[[#This Row],[CP_Pcode]],DistanceToCamp[CP_Pcode],0)-1,0,1,1),"")</f>
        <v>0.15809623370782155</v>
      </c>
      <c r="AF40" s="211">
        <f ca="1">IFERROR(INT(CampList[[#This Row],[Distance]]/5)+1,"")</f>
        <v>1</v>
      </c>
    </row>
    <row r="41" spans="2:32" ht="15.75" customHeight="1" x14ac:dyDescent="0.3">
      <c r="B41" s="201" t="s">
        <v>1692</v>
      </c>
      <c r="C41" s="195" t="s">
        <v>378</v>
      </c>
      <c r="D41" s="195" t="s">
        <v>478</v>
      </c>
      <c r="E41" s="195" t="s">
        <v>5</v>
      </c>
      <c r="F41" s="195" t="s">
        <v>482</v>
      </c>
      <c r="G41" s="195" t="s">
        <v>5</v>
      </c>
      <c r="H41" s="195" t="s">
        <v>483</v>
      </c>
      <c r="I41" s="209" t="s">
        <v>1088</v>
      </c>
      <c r="J41" s="209" t="s">
        <v>1089</v>
      </c>
      <c r="K41" s="209" t="s">
        <v>1088</v>
      </c>
      <c r="L41" s="220">
        <v>166836</v>
      </c>
      <c r="M41" s="195" t="s">
        <v>18</v>
      </c>
      <c r="N41" s="195" t="s">
        <v>17</v>
      </c>
      <c r="O41" s="202">
        <v>97.240183461538507</v>
      </c>
      <c r="P41" s="202">
        <v>24.2631743589744</v>
      </c>
      <c r="Q41" s="203">
        <v>0</v>
      </c>
      <c r="R41" s="775">
        <v>139</v>
      </c>
      <c r="S41" s="775">
        <v>777</v>
      </c>
      <c r="T41" s="205">
        <f>IF(CampList[[#This Row],[HH]]&gt;0,CampList[[#This Row],[Total]]/CampList[[#This Row],[HH]],"NA")</f>
        <v>5.5899280575539567</v>
      </c>
      <c r="U41" s="197" t="s">
        <v>464</v>
      </c>
      <c r="V41" s="197" t="s">
        <v>993</v>
      </c>
      <c r="W41" s="197" t="s">
        <v>507</v>
      </c>
      <c r="X41" s="197" t="s">
        <v>742</v>
      </c>
      <c r="Y41" s="308">
        <v>40695</v>
      </c>
      <c r="Z41" s="206" t="s">
        <v>462</v>
      </c>
      <c r="AA41" s="221" t="s">
        <v>774</v>
      </c>
      <c r="AB41" s="208">
        <v>43593</v>
      </c>
      <c r="AC41" s="201" t="s">
        <v>2080</v>
      </c>
      <c r="AD41" s="197" t="str">
        <f ca="1">IFERROR(OFFSET(DistanceToCamp[Nearest Town],MATCH(CampList[[#This Row],[CP_Pcode]],DistanceToCamp[CP_Pcode],0)-1,0,1,1),"")</f>
        <v>Bhamo Town</v>
      </c>
      <c r="AE41" s="210">
        <f ca="1">IFERROR(OFFSET(DistanceToCamp[distance],MATCH(CampList[[#This Row],[CP_Pcode]],DistanceToCamp[CP_Pcode],0)-1,0,1,1),"")</f>
        <v>1.0876401420946245</v>
      </c>
      <c r="AF41" s="211">
        <f ca="1">IFERROR(INT(CampList[[#This Row],[Distance]]/5)+1,"")</f>
        <v>1</v>
      </c>
    </row>
    <row r="42" spans="2:32" ht="15.75" customHeight="1" x14ac:dyDescent="0.3">
      <c r="B42" s="201" t="s">
        <v>1692</v>
      </c>
      <c r="C42" s="196" t="s">
        <v>378</v>
      </c>
      <c r="D42" s="196" t="s">
        <v>478</v>
      </c>
      <c r="E42" s="196" t="s">
        <v>5</v>
      </c>
      <c r="F42" s="196" t="s">
        <v>482</v>
      </c>
      <c r="G42" s="196" t="s">
        <v>5</v>
      </c>
      <c r="H42" s="196" t="s">
        <v>483</v>
      </c>
      <c r="I42" s="196" t="s">
        <v>1088</v>
      </c>
      <c r="J42" s="214" t="s">
        <v>1089</v>
      </c>
      <c r="K42" s="196" t="s">
        <v>1088</v>
      </c>
      <c r="L42" s="196">
        <v>166836</v>
      </c>
      <c r="M42" s="196" t="s">
        <v>6</v>
      </c>
      <c r="N42" s="196" t="s">
        <v>4</v>
      </c>
      <c r="O42" s="204">
        <v>97.238829999999993</v>
      </c>
      <c r="P42" s="204">
        <v>24.260719999999999</v>
      </c>
      <c r="Q42" s="215"/>
      <c r="R42" s="204">
        <v>218</v>
      </c>
      <c r="S42" s="204">
        <v>1067</v>
      </c>
      <c r="T42" s="205">
        <f>IF(CampList[[#This Row],[HH]]&gt;0,CampList[[#This Row],[Total]]/CampList[[#This Row],[HH]],"NA")</f>
        <v>4.8944954128440363</v>
      </c>
      <c r="U42" s="181" t="s">
        <v>464</v>
      </c>
      <c r="V42" s="197" t="s">
        <v>993</v>
      </c>
      <c r="W42" s="181" t="s">
        <v>507</v>
      </c>
      <c r="X42" s="181" t="s">
        <v>742</v>
      </c>
      <c r="Y42" s="309">
        <v>40848</v>
      </c>
      <c r="Z42" s="215" t="s">
        <v>933</v>
      </c>
      <c r="AA42" s="196" t="s">
        <v>774</v>
      </c>
      <c r="AB42" s="208">
        <v>43593</v>
      </c>
      <c r="AC42" s="217" t="s">
        <v>2023</v>
      </c>
      <c r="AD42" s="218" t="str">
        <f ca="1">IFERROR(OFFSET(DistanceToCamp[Nearest Town],MATCH(CampList[[#This Row],[CP_Pcode]],DistanceToCamp[CP_Pcode],0)-1,0,1,1),"")</f>
        <v>Bhamo Town</v>
      </c>
      <c r="AE42" s="210">
        <f ca="1">IFERROR(OFFSET(DistanceToCamp[distance],MATCH(CampList[[#This Row],[CP_Pcode]],DistanceToCamp[CP_Pcode],0)-1,0,1,1),"")</f>
        <v>0.78440046838596356</v>
      </c>
      <c r="AF42" s="219">
        <f ca="1">IFERROR(INT(CampList[[#This Row],[Distance]]/5)+1,"")</f>
        <v>1</v>
      </c>
    </row>
    <row r="43" spans="2:32" ht="15.75" customHeight="1" x14ac:dyDescent="0.3">
      <c r="B43" s="201" t="s">
        <v>1692</v>
      </c>
      <c r="C43" s="195" t="s">
        <v>378</v>
      </c>
      <c r="D43" s="195" t="s">
        <v>478</v>
      </c>
      <c r="E43" s="195" t="s">
        <v>5</v>
      </c>
      <c r="F43" s="195" t="s">
        <v>482</v>
      </c>
      <c r="G43" s="195" t="s">
        <v>5</v>
      </c>
      <c r="H43" s="195" t="s">
        <v>483</v>
      </c>
      <c r="I43" s="209" t="s">
        <v>577</v>
      </c>
      <c r="J43" s="209" t="s">
        <v>578</v>
      </c>
      <c r="K43" s="209" t="s">
        <v>583</v>
      </c>
      <c r="L43" s="209" t="s">
        <v>584</v>
      </c>
      <c r="M43" s="195" t="s">
        <v>8</v>
      </c>
      <c r="N43" s="195" t="s">
        <v>7</v>
      </c>
      <c r="O43" s="202">
        <v>97.234200000000001</v>
      </c>
      <c r="P43" s="202">
        <v>24.253067000000001</v>
      </c>
      <c r="Q43" s="203">
        <v>0</v>
      </c>
      <c r="R43" s="270">
        <v>14</v>
      </c>
      <c r="S43" s="270">
        <v>55</v>
      </c>
      <c r="T43" s="205">
        <f>IF(CampList[[#This Row],[HH]]&gt;0,CampList[[#This Row],[Total]]/CampList[[#This Row],[HH]],"NA")</f>
        <v>3.9285714285714284</v>
      </c>
      <c r="U43" s="197" t="s">
        <v>464</v>
      </c>
      <c r="V43" s="197" t="s">
        <v>993</v>
      </c>
      <c r="W43" s="197" t="s">
        <v>507</v>
      </c>
      <c r="X43" s="197" t="s">
        <v>742</v>
      </c>
      <c r="Y43" s="308">
        <v>41183</v>
      </c>
      <c r="Z43" s="206" t="s">
        <v>462</v>
      </c>
      <c r="AA43" s="221" t="s">
        <v>774</v>
      </c>
      <c r="AB43" s="208">
        <v>43593</v>
      </c>
      <c r="AC43" s="201" t="s">
        <v>2081</v>
      </c>
      <c r="AD43" s="197" t="str">
        <f ca="1">IFERROR(OFFSET(DistanceToCamp[Nearest Town],MATCH(CampList[[#This Row],[CP_Pcode]],DistanceToCamp[CP_Pcode],0)-1,0,1,1),"")</f>
        <v>Bhamo Town</v>
      </c>
      <c r="AE43" s="210">
        <f ca="1">IFERROR(OFFSET(DistanceToCamp[distance],MATCH(CampList[[#This Row],[CP_Pcode]],DistanceToCamp[CP_Pcode],0)-1,0,1,1),"")</f>
        <v>0.20824727902294948</v>
      </c>
      <c r="AF43" s="211">
        <f ca="1">IFERROR(INT(CampList[[#This Row],[Distance]]/5)+1,"")</f>
        <v>1</v>
      </c>
    </row>
    <row r="44" spans="2:32" ht="15.75" customHeight="1" x14ac:dyDescent="0.3">
      <c r="B44" s="201" t="s">
        <v>1692</v>
      </c>
      <c r="C44" s="195" t="s">
        <v>378</v>
      </c>
      <c r="D44" s="195" t="s">
        <v>478</v>
      </c>
      <c r="E44" s="195" t="s">
        <v>5</v>
      </c>
      <c r="F44" s="195" t="s">
        <v>482</v>
      </c>
      <c r="G44" s="195" t="s">
        <v>5</v>
      </c>
      <c r="H44" s="195" t="s">
        <v>483</v>
      </c>
      <c r="I44" s="209" t="s">
        <v>577</v>
      </c>
      <c r="J44" s="209" t="s">
        <v>578</v>
      </c>
      <c r="K44" s="209" t="s">
        <v>583</v>
      </c>
      <c r="L44" s="209" t="s">
        <v>584</v>
      </c>
      <c r="M44" s="195" t="s">
        <v>14</v>
      </c>
      <c r="N44" s="195" t="s">
        <v>13</v>
      </c>
      <c r="O44" s="202">
        <v>97.236919999999998</v>
      </c>
      <c r="P44" s="202">
        <v>24.24766</v>
      </c>
      <c r="Q44" s="203">
        <v>0</v>
      </c>
      <c r="R44" s="270">
        <v>40</v>
      </c>
      <c r="S44" s="270">
        <v>232</v>
      </c>
      <c r="T44" s="205">
        <f>IF(CampList[[#This Row],[HH]]&gt;0,CampList[[#This Row],[Total]]/CampList[[#This Row],[HH]],"NA")</f>
        <v>5.8</v>
      </c>
      <c r="U44" s="197" t="s">
        <v>464</v>
      </c>
      <c r="V44" s="197" t="s">
        <v>993</v>
      </c>
      <c r="W44" s="197" t="s">
        <v>507</v>
      </c>
      <c r="X44" s="197" t="s">
        <v>742</v>
      </c>
      <c r="Y44" s="308">
        <v>40878</v>
      </c>
      <c r="Z44" s="206" t="s">
        <v>1834</v>
      </c>
      <c r="AA44" s="221" t="s">
        <v>774</v>
      </c>
      <c r="AB44" s="208">
        <v>43593</v>
      </c>
      <c r="AC44" s="201" t="s">
        <v>1968</v>
      </c>
      <c r="AD44" s="197" t="str">
        <f ca="1">IFERROR(OFFSET(DistanceToCamp[Nearest Town],MATCH(CampList[[#This Row],[CP_Pcode]],DistanceToCamp[CP_Pcode],0)-1,0,1,1),"")</f>
        <v>Bhamo Town</v>
      </c>
      <c r="AE44" s="210">
        <f ca="1">IFERROR(OFFSET(DistanceToCamp[distance],MATCH(CampList[[#This Row],[CP_Pcode]],DistanceToCamp[CP_Pcode],0)-1,0,1,1),"")</f>
        <v>0.84749304721635399</v>
      </c>
      <c r="AF44" s="211">
        <f ca="1">IFERROR(INT(CampList[[#This Row],[Distance]]/5)+1,"")</f>
        <v>1</v>
      </c>
    </row>
    <row r="45" spans="2:32" ht="15.75" hidden="1" customHeight="1" x14ac:dyDescent="0.3">
      <c r="B45" s="201" t="s">
        <v>775</v>
      </c>
      <c r="C45" s="195" t="s">
        <v>378</v>
      </c>
      <c r="D45" s="195" t="s">
        <v>478</v>
      </c>
      <c r="E45" s="195" t="s">
        <v>5</v>
      </c>
      <c r="F45" s="195" t="s">
        <v>482</v>
      </c>
      <c r="G45" s="195" t="s">
        <v>5</v>
      </c>
      <c r="H45" s="195" t="s">
        <v>483</v>
      </c>
      <c r="I45" s="209" t="s">
        <v>585</v>
      </c>
      <c r="J45" s="209" t="s">
        <v>586</v>
      </c>
      <c r="K45" s="195" t="s">
        <v>585</v>
      </c>
      <c r="L45" s="214">
        <v>166851</v>
      </c>
      <c r="M45" s="195" t="s">
        <v>26</v>
      </c>
      <c r="N45" s="195" t="s">
        <v>25</v>
      </c>
      <c r="O45" s="202">
        <v>97.240639999999999</v>
      </c>
      <c r="P45" s="202">
        <v>24.24953</v>
      </c>
      <c r="Q45" s="203">
        <v>0</v>
      </c>
      <c r="R45" s="270">
        <v>11</v>
      </c>
      <c r="S45" s="270">
        <v>63</v>
      </c>
      <c r="T45" s="205">
        <f>IF(CampList[[#This Row],[HH]]&gt;0,CampList[[#This Row],[Total]]/CampList[[#This Row],[HH]],"NA")</f>
        <v>5.7272727272727275</v>
      </c>
      <c r="U45" s="197" t="s">
        <v>464</v>
      </c>
      <c r="V45" s="197" t="s">
        <v>993</v>
      </c>
      <c r="W45" s="197" t="s">
        <v>507</v>
      </c>
      <c r="X45" s="197" t="s">
        <v>742</v>
      </c>
      <c r="Y45" s="308">
        <v>41122</v>
      </c>
      <c r="Z45" s="206" t="s">
        <v>462</v>
      </c>
      <c r="AA45" s="195" t="s">
        <v>774</v>
      </c>
      <c r="AB45" s="208">
        <v>43532</v>
      </c>
      <c r="AC45" s="209" t="s">
        <v>1903</v>
      </c>
      <c r="AD45" s="197" t="str">
        <f ca="1">IFERROR(OFFSET(DistanceToCamp[Nearest Town],MATCH(CampList[[#This Row],[CP_Pcode]],DistanceToCamp[CP_Pcode],0)-1,0,1,1),"")</f>
        <v>Bhamo Town</v>
      </c>
      <c r="AE45" s="210">
        <f ca="1">IFERROR(OFFSET(DistanceToCamp[distance],MATCH(CampList[[#This Row],[CP_Pcode]],DistanceToCamp[CP_Pcode],0)-1,0,1,1),"")</f>
        <v>0.87147615879849294</v>
      </c>
      <c r="AF45" s="211">
        <f ca="1">IFERROR(INT(CampList[[#This Row],[Distance]]/5)+1,"")</f>
        <v>1</v>
      </c>
    </row>
    <row r="46" spans="2:32" ht="15.75" hidden="1" customHeight="1" x14ac:dyDescent="0.3">
      <c r="B46" s="201" t="s">
        <v>775</v>
      </c>
      <c r="C46" s="195" t="s">
        <v>378</v>
      </c>
      <c r="D46" s="195" t="s">
        <v>478</v>
      </c>
      <c r="E46" s="195" t="s">
        <v>237</v>
      </c>
      <c r="F46" s="195" t="s">
        <v>484</v>
      </c>
      <c r="G46" s="195" t="s">
        <v>27</v>
      </c>
      <c r="H46" s="195" t="s">
        <v>487</v>
      </c>
      <c r="I46" s="195"/>
      <c r="J46" s="195"/>
      <c r="K46" s="195"/>
      <c r="L46" s="195"/>
      <c r="M46" s="195" t="s">
        <v>37</v>
      </c>
      <c r="N46" s="195" t="s">
        <v>36</v>
      </c>
      <c r="O46" s="202"/>
      <c r="P46" s="202"/>
      <c r="Q46" s="215"/>
      <c r="R46" s="280"/>
      <c r="S46" s="281"/>
      <c r="T46" s="205" t="str">
        <f>IF(CampList[[#This Row],[HH]]&gt;0,CampList[[#This Row],[Total]]/CampList[[#This Row],[HH]],"NA")</f>
        <v>NA</v>
      </c>
      <c r="U46" s="197" t="s">
        <v>464</v>
      </c>
      <c r="V46" s="197" t="s">
        <v>993</v>
      </c>
      <c r="W46" s="197" t="s">
        <v>507</v>
      </c>
      <c r="X46" s="197"/>
      <c r="Y46" s="216"/>
      <c r="Z46" s="207"/>
      <c r="AA46" s="299"/>
      <c r="AB46" s="224"/>
      <c r="AC46" s="201" t="s">
        <v>541</v>
      </c>
      <c r="AD46" s="197" t="str">
        <f ca="1">IFERROR(OFFSET(DistanceToCamp[Nearest Town],MATCH(CampList[[#This Row],[CP_Pcode]],DistanceToCamp[CP_Pcode],0)-1,0,1,1),"")</f>
        <v/>
      </c>
      <c r="AE46" s="210" t="str">
        <f ca="1">IFERROR(OFFSET(DistanceToCamp[distance],MATCH(CampList[[#This Row],[CP_Pcode]],DistanceToCamp[CP_Pcode],0)-1,0,1,1),"")</f>
        <v/>
      </c>
      <c r="AF46" s="211" t="str">
        <f ca="1">IFERROR(INT(CampList[[#This Row],[Distance]]/5)+1,"")</f>
        <v/>
      </c>
    </row>
    <row r="47" spans="2:32" ht="15.75" hidden="1" customHeight="1" x14ac:dyDescent="0.3">
      <c r="B47" s="201" t="s">
        <v>775</v>
      </c>
      <c r="C47" s="195" t="s">
        <v>378</v>
      </c>
      <c r="D47" s="195" t="s">
        <v>478</v>
      </c>
      <c r="E47" s="195" t="s">
        <v>237</v>
      </c>
      <c r="F47" s="195" t="s">
        <v>484</v>
      </c>
      <c r="G47" s="195" t="s">
        <v>27</v>
      </c>
      <c r="H47" s="195" t="s">
        <v>487</v>
      </c>
      <c r="I47" s="209" t="s">
        <v>728</v>
      </c>
      <c r="J47" s="209" t="s">
        <v>729</v>
      </c>
      <c r="K47" s="209" t="s">
        <v>730</v>
      </c>
      <c r="L47" s="209">
        <v>166337</v>
      </c>
      <c r="M47" s="195" t="s">
        <v>34</v>
      </c>
      <c r="N47" s="195" t="s">
        <v>33</v>
      </c>
      <c r="O47" s="202">
        <v>98.354146999999998</v>
      </c>
      <c r="P47" s="202">
        <v>25.708763000000001</v>
      </c>
      <c r="Q47" s="215"/>
      <c r="R47" s="306"/>
      <c r="S47" s="307"/>
      <c r="T47" s="205" t="str">
        <f>IF(CampList[[#This Row],[HH]]&gt;0,CampList[[#This Row],[Total]]/CampList[[#This Row],[HH]],"NA")</f>
        <v>NA</v>
      </c>
      <c r="U47" s="197" t="s">
        <v>464</v>
      </c>
      <c r="V47" s="197" t="s">
        <v>993</v>
      </c>
      <c r="W47" s="225" t="s">
        <v>1898</v>
      </c>
      <c r="X47" s="197" t="s">
        <v>784</v>
      </c>
      <c r="Y47" s="309"/>
      <c r="Z47" s="207"/>
      <c r="AA47" s="299" t="s">
        <v>774</v>
      </c>
      <c r="AB47" s="319">
        <v>42927</v>
      </c>
      <c r="AC47" s="201" t="s">
        <v>1275</v>
      </c>
      <c r="AD47" s="197" t="str">
        <f ca="1">IFERROR(OFFSET(DistanceToCamp[Nearest Town],MATCH(CampList[[#This Row],[CP_Pcode]],DistanceToCamp[CP_Pcode],0)-1,0,1,1),"")</f>
        <v>Pang War Town</v>
      </c>
      <c r="AE47" s="210">
        <f ca="1">IFERROR(OFFSET(DistanceToCamp[distance],MATCH(CampList[[#This Row],[CP_Pcode]],DistanceToCamp[CP_Pcode],0)-1,0,1,1),"")</f>
        <v>12.486065224161463</v>
      </c>
      <c r="AF47" s="211">
        <f ca="1">IFERROR(INT(CampList[[#This Row],[Distance]]/5)+1,"")</f>
        <v>3</v>
      </c>
    </row>
    <row r="48" spans="2:32" ht="15.75" hidden="1" customHeight="1" x14ac:dyDescent="0.3">
      <c r="B48" s="201" t="s">
        <v>775</v>
      </c>
      <c r="C48" s="195" t="s">
        <v>378</v>
      </c>
      <c r="D48" s="195" t="s">
        <v>478</v>
      </c>
      <c r="E48" s="195" t="s">
        <v>237</v>
      </c>
      <c r="F48" s="195" t="s">
        <v>484</v>
      </c>
      <c r="G48" s="195" t="s">
        <v>27</v>
      </c>
      <c r="H48" s="195" t="s">
        <v>487</v>
      </c>
      <c r="I48" s="195"/>
      <c r="J48" s="195"/>
      <c r="K48" s="195"/>
      <c r="L48" s="195"/>
      <c r="M48" s="195" t="s">
        <v>32</v>
      </c>
      <c r="N48" s="195" t="s">
        <v>31</v>
      </c>
      <c r="O48" s="202"/>
      <c r="P48" s="202"/>
      <c r="Q48" s="215"/>
      <c r="R48" s="280"/>
      <c r="S48" s="281"/>
      <c r="T48" s="205" t="str">
        <f>IF(CampList[[#This Row],[HH]]&gt;0,CampList[[#This Row],[Total]]/CampList[[#This Row],[HH]],"NA")</f>
        <v>NA</v>
      </c>
      <c r="U48" s="197" t="s">
        <v>464</v>
      </c>
      <c r="V48" s="197" t="s">
        <v>993</v>
      </c>
      <c r="W48" s="197" t="s">
        <v>507</v>
      </c>
      <c r="X48" s="197" t="s">
        <v>784</v>
      </c>
      <c r="Y48" s="216"/>
      <c r="Z48" s="636" t="s">
        <v>934</v>
      </c>
      <c r="AA48" s="221" t="s">
        <v>774</v>
      </c>
      <c r="AB48" s="208">
        <v>42096</v>
      </c>
      <c r="AC48" s="201" t="s">
        <v>1026</v>
      </c>
      <c r="AD48" s="197" t="str">
        <f ca="1">IFERROR(OFFSET(DistanceToCamp[Nearest Town],MATCH(CampList[[#This Row],[CP_Pcode]],DistanceToCamp[CP_Pcode],0)-1,0,1,1),"")</f>
        <v/>
      </c>
      <c r="AE48" s="210" t="str">
        <f ca="1">IFERROR(OFFSET(DistanceToCamp[distance],MATCH(CampList[[#This Row],[CP_Pcode]],DistanceToCamp[CP_Pcode],0)-1,0,1,1),"")</f>
        <v/>
      </c>
      <c r="AF48" s="211" t="str">
        <f ca="1">IFERROR(INT(CampList[[#This Row],[Distance]]/5)+1,"")</f>
        <v/>
      </c>
    </row>
    <row r="49" spans="2:32" ht="15.75" hidden="1" customHeight="1" x14ac:dyDescent="0.3">
      <c r="B49" s="201" t="s">
        <v>775</v>
      </c>
      <c r="C49" s="196" t="s">
        <v>378</v>
      </c>
      <c r="D49" s="196" t="s">
        <v>478</v>
      </c>
      <c r="E49" s="196" t="s">
        <v>5</v>
      </c>
      <c r="F49" s="196" t="s">
        <v>482</v>
      </c>
      <c r="G49" s="196" t="s">
        <v>5</v>
      </c>
      <c r="H49" s="196" t="s">
        <v>483</v>
      </c>
      <c r="I49" s="196" t="s">
        <v>594</v>
      </c>
      <c r="J49" s="214" t="s">
        <v>595</v>
      </c>
      <c r="K49" s="196" t="s">
        <v>594</v>
      </c>
      <c r="L49" s="196">
        <v>166844</v>
      </c>
      <c r="M49" s="196" t="s">
        <v>20</v>
      </c>
      <c r="N49" s="196" t="s">
        <v>19</v>
      </c>
      <c r="O49" s="204">
        <v>97.315860000000001</v>
      </c>
      <c r="P49" s="204">
        <v>24.32638</v>
      </c>
      <c r="Q49" s="215"/>
      <c r="R49" s="204">
        <v>17</v>
      </c>
      <c r="S49" s="204">
        <v>75</v>
      </c>
      <c r="T49" s="205">
        <f>IF(CampList[[#This Row],[HH]]&gt;0,CampList[[#This Row],[Total]]/CampList[[#This Row],[HH]],"NA")</f>
        <v>4.4117647058823533</v>
      </c>
      <c r="U49" s="181" t="s">
        <v>464</v>
      </c>
      <c r="V49" s="197" t="s">
        <v>993</v>
      </c>
      <c r="W49" s="181" t="s">
        <v>507</v>
      </c>
      <c r="X49" s="181" t="s">
        <v>742</v>
      </c>
      <c r="Y49" s="309">
        <v>40848</v>
      </c>
      <c r="Z49" s="215" t="s">
        <v>933</v>
      </c>
      <c r="AA49" s="196" t="s">
        <v>774</v>
      </c>
      <c r="AB49" s="208">
        <v>43593</v>
      </c>
      <c r="AC49" s="217" t="s">
        <v>2103</v>
      </c>
      <c r="AD49" s="218" t="str">
        <f ca="1">IFERROR(OFFSET(DistanceToCamp[Nearest Town],MATCH(CampList[[#This Row],[CP_Pcode]],DistanceToCamp[CP_Pcode],0)-1,0,1,1),"")</f>
        <v>Momauk Town</v>
      </c>
      <c r="AE49" s="210">
        <f ca="1">IFERROR(OFFSET(DistanceToCamp[distance],MATCH(CampList[[#This Row],[CP_Pcode]],DistanceToCamp[CP_Pcode],0)-1,0,1,1),"")</f>
        <v>8.3788619521763046</v>
      </c>
      <c r="AF49" s="219">
        <f ca="1">IFERROR(INT(CampList[[#This Row],[Distance]]/5)+1,"")</f>
        <v>2</v>
      </c>
    </row>
    <row r="50" spans="2:32" ht="15.75" hidden="1" customHeight="1" x14ac:dyDescent="0.3">
      <c r="B50" s="201" t="s">
        <v>775</v>
      </c>
      <c r="C50" s="195" t="s">
        <v>378</v>
      </c>
      <c r="D50" s="195" t="s">
        <v>478</v>
      </c>
      <c r="E50" s="195" t="s">
        <v>5</v>
      </c>
      <c r="F50" s="195" t="s">
        <v>482</v>
      </c>
      <c r="G50" s="195" t="s">
        <v>5</v>
      </c>
      <c r="H50" s="195" t="s">
        <v>483</v>
      </c>
      <c r="I50" s="195"/>
      <c r="J50" s="195"/>
      <c r="K50" s="195"/>
      <c r="L50" s="195"/>
      <c r="M50" s="195" t="s">
        <v>16</v>
      </c>
      <c r="N50" s="195" t="s">
        <v>15</v>
      </c>
      <c r="O50" s="202">
        <v>97.221556500999995</v>
      </c>
      <c r="P50" s="202">
        <v>24.262418020999998</v>
      </c>
      <c r="Q50" s="215"/>
      <c r="R50" s="280"/>
      <c r="S50" s="281"/>
      <c r="T50" s="205" t="str">
        <f>IF(CampList[[#This Row],[HH]]&gt;0,CampList[[#This Row],[Total]]/CampList[[#This Row],[HH]],"NA")</f>
        <v>NA</v>
      </c>
      <c r="U50" s="197" t="s">
        <v>464</v>
      </c>
      <c r="V50" s="197" t="s">
        <v>993</v>
      </c>
      <c r="W50" s="197" t="s">
        <v>507</v>
      </c>
      <c r="X50" s="197"/>
      <c r="Y50" s="216"/>
      <c r="Z50" s="207"/>
      <c r="AA50" s="221" t="s">
        <v>774</v>
      </c>
      <c r="AB50" s="208">
        <v>41661</v>
      </c>
      <c r="AC50" s="201" t="s">
        <v>841</v>
      </c>
      <c r="AD50" s="197" t="str">
        <f ca="1">IFERROR(OFFSET(DistanceToCamp[Nearest Town],MATCH(CampList[[#This Row],[CP_Pcode]],DistanceToCamp[CP_Pcode],0)-1,0,1,1),"")</f>
        <v/>
      </c>
      <c r="AE50" s="210" t="str">
        <f ca="1">IFERROR(OFFSET(DistanceToCamp[distance],MATCH(CampList[[#This Row],[CP_Pcode]],DistanceToCamp[CP_Pcode],0)-1,0,1,1),"")</f>
        <v/>
      </c>
      <c r="AF50" s="211" t="str">
        <f ca="1">IFERROR(INT(CampList[[#This Row],[Distance]]/5)+1,"")</f>
        <v/>
      </c>
    </row>
    <row r="51" spans="2:32" ht="15.75" customHeight="1" x14ac:dyDescent="0.3">
      <c r="B51" s="201" t="s">
        <v>1692</v>
      </c>
      <c r="C51" s="195" t="s">
        <v>378</v>
      </c>
      <c r="D51" s="195" t="s">
        <v>478</v>
      </c>
      <c r="E51" s="195" t="s">
        <v>5</v>
      </c>
      <c r="F51" s="195" t="s">
        <v>482</v>
      </c>
      <c r="G51" s="195" t="s">
        <v>185</v>
      </c>
      <c r="H51" s="195" t="s">
        <v>486</v>
      </c>
      <c r="I51" s="209" t="s">
        <v>602</v>
      </c>
      <c r="J51" s="209" t="s">
        <v>603</v>
      </c>
      <c r="K51" s="209" t="s">
        <v>604</v>
      </c>
      <c r="L51" s="209" t="s">
        <v>605</v>
      </c>
      <c r="M51" s="195" t="s">
        <v>209</v>
      </c>
      <c r="N51" s="195" t="s">
        <v>208</v>
      </c>
      <c r="O51" s="202">
        <v>97.344359999999995</v>
      </c>
      <c r="P51" s="202">
        <v>24.250689999999999</v>
      </c>
      <c r="Q51" s="203">
        <v>0</v>
      </c>
      <c r="R51" s="270">
        <v>427</v>
      </c>
      <c r="S51" s="770">
        <v>2006</v>
      </c>
      <c r="T51" s="205">
        <f>IF(CampList[[#This Row],[HH]]&gt;0,CampList[[#This Row],[Total]]/CampList[[#This Row],[HH]],"NA")</f>
        <v>4.6978922716627638</v>
      </c>
      <c r="U51" s="197" t="s">
        <v>464</v>
      </c>
      <c r="V51" s="197" t="s">
        <v>993</v>
      </c>
      <c r="W51" s="197" t="s">
        <v>507</v>
      </c>
      <c r="X51" s="197" t="s">
        <v>742</v>
      </c>
      <c r="Y51" s="308">
        <v>40695</v>
      </c>
      <c r="Z51" s="636" t="s">
        <v>1834</v>
      </c>
      <c r="AA51" s="221" t="s">
        <v>774</v>
      </c>
      <c r="AB51" s="208">
        <v>43593</v>
      </c>
      <c r="AC51" s="201" t="s">
        <v>1958</v>
      </c>
      <c r="AD51" s="197" t="str">
        <f ca="1">IFERROR(OFFSET(DistanceToCamp[Nearest Town],MATCH(CampList[[#This Row],[CP_Pcode]],DistanceToCamp[CP_Pcode],0)-1,0,1,1),"")</f>
        <v>Momauk Town</v>
      </c>
      <c r="AE51" s="210">
        <f ca="1">IFERROR(OFFSET(DistanceToCamp[distance],MATCH(CampList[[#This Row],[CP_Pcode]],DistanceToCamp[CP_Pcode],0)-1,0,1,1),"")</f>
        <v>0.62513510418653162</v>
      </c>
      <c r="AF51" s="211">
        <f ca="1">IFERROR(INT(CampList[[#This Row],[Distance]]/5)+1,"")</f>
        <v>1</v>
      </c>
    </row>
    <row r="52" spans="2:32" ht="15.75" customHeight="1" x14ac:dyDescent="0.3">
      <c r="B52" s="201" t="s">
        <v>1692</v>
      </c>
      <c r="C52" s="195" t="s">
        <v>378</v>
      </c>
      <c r="D52" s="195" t="s">
        <v>478</v>
      </c>
      <c r="E52" s="195" t="s">
        <v>5</v>
      </c>
      <c r="F52" s="195" t="s">
        <v>482</v>
      </c>
      <c r="G52" s="195" t="s">
        <v>185</v>
      </c>
      <c r="H52" s="195" t="s">
        <v>486</v>
      </c>
      <c r="I52" s="209" t="s">
        <v>738</v>
      </c>
      <c r="J52" s="209" t="s">
        <v>739</v>
      </c>
      <c r="K52" s="209" t="s">
        <v>738</v>
      </c>
      <c r="L52" s="209">
        <v>167048</v>
      </c>
      <c r="M52" s="195" t="s">
        <v>213</v>
      </c>
      <c r="N52" s="195" t="s">
        <v>212</v>
      </c>
      <c r="O52" s="202">
        <v>97.407787999999996</v>
      </c>
      <c r="P52" s="202">
        <v>24.404876999999999</v>
      </c>
      <c r="Q52" s="215"/>
      <c r="R52" s="306">
        <v>26</v>
      </c>
      <c r="S52" s="307">
        <v>137</v>
      </c>
      <c r="T52" s="205">
        <f>IF(CampList[[#This Row],[HH]]&gt;0,CampList[[#This Row],[Total]]/CampList[[#This Row],[HH]],"NA")</f>
        <v>5.2692307692307692</v>
      </c>
      <c r="U52" s="197" t="s">
        <v>464</v>
      </c>
      <c r="V52" s="197" t="s">
        <v>993</v>
      </c>
      <c r="W52" s="225" t="s">
        <v>1881</v>
      </c>
      <c r="X52" s="197" t="s">
        <v>784</v>
      </c>
      <c r="Y52" s="309"/>
      <c r="Z52" s="207" t="s">
        <v>1311</v>
      </c>
      <c r="AA52" s="221" t="s">
        <v>1164</v>
      </c>
      <c r="AB52" s="227">
        <v>43542</v>
      </c>
      <c r="AC52" s="201" t="s">
        <v>1922</v>
      </c>
      <c r="AD52" s="197" t="str">
        <f ca="1">IFERROR(OFFSET(DistanceToCamp[Nearest Town],MATCH(CampList[[#This Row],[CP_Pcode]],DistanceToCamp[CP_Pcode],0)-1,0,1,1),"")</f>
        <v>Momauk Town</v>
      </c>
      <c r="AE52" s="210">
        <f ca="1">IFERROR(OFFSET(DistanceToCamp[distance],MATCH(CampList[[#This Row],[CP_Pcode]],DistanceToCamp[CP_Pcode],0)-1,0,1,1),"")</f>
        <v>17.689123339899055</v>
      </c>
      <c r="AF52" s="211">
        <f ca="1">IFERROR(INT(CampList[[#This Row],[Distance]]/5)+1,"")</f>
        <v>4</v>
      </c>
    </row>
    <row r="53" spans="2:32" ht="15.75" customHeight="1" x14ac:dyDescent="0.3">
      <c r="B53" s="201" t="s">
        <v>1692</v>
      </c>
      <c r="C53" s="196" t="s">
        <v>378</v>
      </c>
      <c r="D53" s="196" t="s">
        <v>478</v>
      </c>
      <c r="E53" s="196" t="s">
        <v>5</v>
      </c>
      <c r="F53" s="196" t="s">
        <v>482</v>
      </c>
      <c r="G53" s="196" t="s">
        <v>185</v>
      </c>
      <c r="H53" s="196" t="s">
        <v>486</v>
      </c>
      <c r="I53" s="196" t="s">
        <v>598</v>
      </c>
      <c r="J53" s="214" t="s">
        <v>599</v>
      </c>
      <c r="K53" s="196" t="s">
        <v>598</v>
      </c>
      <c r="L53" s="196">
        <v>167009</v>
      </c>
      <c r="M53" s="196" t="s">
        <v>202</v>
      </c>
      <c r="N53" s="196" t="s">
        <v>201</v>
      </c>
      <c r="O53" s="204">
        <v>97.325019999999995</v>
      </c>
      <c r="P53" s="204">
        <v>24.245100000000001</v>
      </c>
      <c r="Q53" s="215"/>
      <c r="R53" s="204">
        <v>299</v>
      </c>
      <c r="S53" s="204">
        <v>1373</v>
      </c>
      <c r="T53" s="205">
        <f>IF(CampList[[#This Row],[HH]]&gt;0,CampList[[#This Row],[Total]]/CampList[[#This Row],[HH]],"NA")</f>
        <v>4.591973244147157</v>
      </c>
      <c r="U53" s="181" t="s">
        <v>464</v>
      </c>
      <c r="V53" s="197" t="s">
        <v>993</v>
      </c>
      <c r="W53" s="181" t="s">
        <v>507</v>
      </c>
      <c r="X53" s="181" t="s">
        <v>742</v>
      </c>
      <c r="Y53" s="309">
        <v>41030</v>
      </c>
      <c r="Z53" s="215" t="s">
        <v>933</v>
      </c>
      <c r="AA53" s="196" t="s">
        <v>774</v>
      </c>
      <c r="AB53" s="208">
        <v>43593</v>
      </c>
      <c r="AC53" s="217" t="s">
        <v>2024</v>
      </c>
      <c r="AD53" s="218" t="str">
        <f ca="1">IFERROR(OFFSET(DistanceToCamp[Nearest Town],MATCH(CampList[[#This Row],[CP_Pcode]],DistanceToCamp[CP_Pcode],0)-1,0,1,1),"")</f>
        <v>Momauk Town</v>
      </c>
      <c r="AE53" s="210">
        <f ca="1">IFERROR(OFFSET(DistanceToCamp[distance],MATCH(CampList[[#This Row],[CP_Pcode]],DistanceToCamp[CP_Pcode],0)-1,0,1,1),"")</f>
        <v>2.4411071835305544</v>
      </c>
      <c r="AF53" s="219">
        <f ca="1">IFERROR(INT(CampList[[#This Row],[Distance]]/5)+1,"")</f>
        <v>1</v>
      </c>
    </row>
    <row r="54" spans="2:32" ht="15.75" customHeight="1" x14ac:dyDescent="0.3">
      <c r="B54" s="201" t="s">
        <v>1692</v>
      </c>
      <c r="C54" s="195" t="s">
        <v>378</v>
      </c>
      <c r="D54" s="195" t="s">
        <v>478</v>
      </c>
      <c r="E54" s="195" t="s">
        <v>5</v>
      </c>
      <c r="F54" s="195" t="s">
        <v>482</v>
      </c>
      <c r="G54" s="195" t="s">
        <v>151</v>
      </c>
      <c r="H54" s="195" t="s">
        <v>492</v>
      </c>
      <c r="I54" s="209" t="s">
        <v>590</v>
      </c>
      <c r="J54" s="209" t="s">
        <v>591</v>
      </c>
      <c r="K54" s="209" t="s">
        <v>592</v>
      </c>
      <c r="L54" s="209" t="s">
        <v>593</v>
      </c>
      <c r="M54" s="195" t="s">
        <v>152</v>
      </c>
      <c r="N54" s="195" t="s">
        <v>150</v>
      </c>
      <c r="O54" s="202">
        <v>97.291820000000001</v>
      </c>
      <c r="P54" s="202">
        <v>24.129059999999999</v>
      </c>
      <c r="Q54" s="203">
        <v>0</v>
      </c>
      <c r="R54" s="270">
        <v>190</v>
      </c>
      <c r="S54" s="270">
        <v>853</v>
      </c>
      <c r="T54" s="205">
        <f>IF(CampList[[#This Row],[HH]]&gt;0,CampList[[#This Row],[Total]]/CampList[[#This Row],[HH]],"NA")</f>
        <v>4.4894736842105267</v>
      </c>
      <c r="U54" s="197" t="s">
        <v>464</v>
      </c>
      <c r="V54" s="197" t="s">
        <v>993</v>
      </c>
      <c r="W54" s="197" t="s">
        <v>507</v>
      </c>
      <c r="X54" s="197" t="s">
        <v>742</v>
      </c>
      <c r="Y54" s="308">
        <v>41579</v>
      </c>
      <c r="Z54" s="636" t="s">
        <v>1834</v>
      </c>
      <c r="AA54" s="221" t="s">
        <v>774</v>
      </c>
      <c r="AB54" s="208">
        <v>43593</v>
      </c>
      <c r="AC54" s="201" t="s">
        <v>1959</v>
      </c>
      <c r="AD54" s="197" t="str">
        <f ca="1">IFERROR(OFFSET(DistanceToCamp[Nearest Town],MATCH(CampList[[#This Row],[CP_Pcode]],DistanceToCamp[CP_Pcode],0)-1,0,1,1),"")</f>
        <v>Mansi Town</v>
      </c>
      <c r="AE54" s="210">
        <f ca="1">IFERROR(OFFSET(DistanceToCamp[distance],MATCH(CampList[[#This Row],[CP_Pcode]],DistanceToCamp[CP_Pcode],0)-1,0,1,1),"")</f>
        <v>1.0576516850656514</v>
      </c>
      <c r="AF54" s="211">
        <f ca="1">IFERROR(INT(CampList[[#This Row],[Distance]]/5)+1,"")</f>
        <v>1</v>
      </c>
    </row>
    <row r="55" spans="2:32" ht="15.75" customHeight="1" x14ac:dyDescent="0.3">
      <c r="B55" s="201" t="s">
        <v>1692</v>
      </c>
      <c r="C55" s="195" t="s">
        <v>378</v>
      </c>
      <c r="D55" s="195" t="s">
        <v>478</v>
      </c>
      <c r="E55" s="195" t="s">
        <v>5</v>
      </c>
      <c r="F55" s="195" t="s">
        <v>482</v>
      </c>
      <c r="G55" s="195" t="s">
        <v>301</v>
      </c>
      <c r="H55" s="195" t="s">
        <v>493</v>
      </c>
      <c r="I55" s="195" t="s">
        <v>561</v>
      </c>
      <c r="J55" s="195" t="s">
        <v>562</v>
      </c>
      <c r="K55" s="195" t="s">
        <v>561</v>
      </c>
      <c r="L55" s="195" t="s">
        <v>563</v>
      </c>
      <c r="M55" s="195" t="s">
        <v>305</v>
      </c>
      <c r="N55" s="195" t="s">
        <v>304</v>
      </c>
      <c r="O55" s="202">
        <v>96.807353000000006</v>
      </c>
      <c r="P55" s="202">
        <v>24.200361000000001</v>
      </c>
      <c r="Q55" s="203">
        <v>0</v>
      </c>
      <c r="R55" s="270">
        <v>47</v>
      </c>
      <c r="S55" s="270">
        <v>276</v>
      </c>
      <c r="T55" s="205">
        <f>IF(CampList[[#This Row],[HH]]&gt;0,CampList[[#This Row],[Total]]/CampList[[#This Row],[HH]],"NA")</f>
        <v>5.8723404255319149</v>
      </c>
      <c r="U55" s="197" t="s">
        <v>464</v>
      </c>
      <c r="V55" s="197" t="s">
        <v>993</v>
      </c>
      <c r="W55" s="197" t="s">
        <v>507</v>
      </c>
      <c r="X55" s="197" t="s">
        <v>742</v>
      </c>
      <c r="Y55" s="308">
        <v>40725</v>
      </c>
      <c r="Z55" s="636" t="s">
        <v>1834</v>
      </c>
      <c r="AA55" s="195" t="s">
        <v>774</v>
      </c>
      <c r="AB55" s="208">
        <v>43593</v>
      </c>
      <c r="AC55" s="209" t="s">
        <v>1960</v>
      </c>
      <c r="AD55" s="197" t="str">
        <f ca="1">IFERROR(OFFSET(DistanceToCamp[Nearest Town],MATCH(CampList[[#This Row],[CP_Pcode]],DistanceToCamp[CP_Pcode],0)-1,0,1,1),"")</f>
        <v>Shwegu Town</v>
      </c>
      <c r="AE55" s="210">
        <f ca="1">IFERROR(OFFSET(DistanceToCamp[distance],MATCH(CampList[[#This Row],[CP_Pcode]],DistanceToCamp[CP_Pcode],0)-1,0,1,1),"")</f>
        <v>0.74396039478864395</v>
      </c>
      <c r="AF55" s="211">
        <f ca="1">IFERROR(INT(CampList[[#This Row],[Distance]]/5)+1,"")</f>
        <v>1</v>
      </c>
    </row>
    <row r="56" spans="2:32" ht="15.75" customHeight="1" x14ac:dyDescent="0.3">
      <c r="B56" s="201" t="s">
        <v>1692</v>
      </c>
      <c r="C56" s="196" t="s">
        <v>378</v>
      </c>
      <c r="D56" s="196" t="s">
        <v>478</v>
      </c>
      <c r="E56" s="196" t="s">
        <v>5</v>
      </c>
      <c r="F56" s="196" t="s">
        <v>482</v>
      </c>
      <c r="G56" s="196" t="s">
        <v>301</v>
      </c>
      <c r="H56" s="196" t="s">
        <v>493</v>
      </c>
      <c r="I56" s="196" t="s">
        <v>561</v>
      </c>
      <c r="J56" s="214" t="s">
        <v>562</v>
      </c>
      <c r="K56" s="196" t="s">
        <v>561</v>
      </c>
      <c r="L56" s="196" t="s">
        <v>563</v>
      </c>
      <c r="M56" s="196" t="s">
        <v>307</v>
      </c>
      <c r="N56" s="196" t="s">
        <v>306</v>
      </c>
      <c r="O56" s="204">
        <v>96.807353000000006</v>
      </c>
      <c r="P56" s="204">
        <v>24.200367</v>
      </c>
      <c r="Q56" s="215"/>
      <c r="R56" s="204">
        <v>47</v>
      </c>
      <c r="S56" s="204">
        <v>194</v>
      </c>
      <c r="T56" s="205">
        <f>IF(CampList[[#This Row],[HH]]&gt;0,CampList[[#This Row],[Total]]/CampList[[#This Row],[HH]],"NA")</f>
        <v>4.1276595744680851</v>
      </c>
      <c r="U56" s="181" t="s">
        <v>464</v>
      </c>
      <c r="V56" s="197" t="s">
        <v>993</v>
      </c>
      <c r="W56" s="181" t="s">
        <v>507</v>
      </c>
      <c r="X56" s="181" t="s">
        <v>742</v>
      </c>
      <c r="Y56" s="309">
        <v>40725</v>
      </c>
      <c r="Z56" s="215" t="s">
        <v>933</v>
      </c>
      <c r="AA56" s="196" t="s">
        <v>774</v>
      </c>
      <c r="AB56" s="208">
        <v>43593</v>
      </c>
      <c r="AC56" s="217" t="s">
        <v>2025</v>
      </c>
      <c r="AD56" s="218" t="str">
        <f ca="1">IFERROR(OFFSET(DistanceToCamp[Nearest Town],MATCH(CampList[[#This Row],[CP_Pcode]],DistanceToCamp[CP_Pcode],0)-1,0,1,1),"")</f>
        <v>Shwegu Town</v>
      </c>
      <c r="AE56" s="210">
        <f ca="1">IFERROR(OFFSET(DistanceToCamp[distance],MATCH(CampList[[#This Row],[CP_Pcode]],DistanceToCamp[CP_Pcode],0)-1,0,1,1),"")</f>
        <v>0.74330366237812662</v>
      </c>
      <c r="AF56" s="219">
        <f ca="1">IFERROR(INT(CampList[[#This Row],[Distance]]/5)+1,"")</f>
        <v>1</v>
      </c>
    </row>
    <row r="57" spans="2:32" ht="15.75" hidden="1" customHeight="1" x14ac:dyDescent="0.3">
      <c r="B57" s="201" t="s">
        <v>775</v>
      </c>
      <c r="C57" s="195" t="s">
        <v>378</v>
      </c>
      <c r="D57" s="195" t="s">
        <v>478</v>
      </c>
      <c r="E57" s="195" t="s">
        <v>5</v>
      </c>
      <c r="F57" s="195" t="s">
        <v>482</v>
      </c>
      <c r="G57" s="195" t="s">
        <v>5</v>
      </c>
      <c r="H57" s="195" t="s">
        <v>483</v>
      </c>
      <c r="I57" s="195" t="s">
        <v>577</v>
      </c>
      <c r="J57" s="195" t="s">
        <v>578</v>
      </c>
      <c r="K57" s="195" t="s">
        <v>579</v>
      </c>
      <c r="L57" s="195" t="s">
        <v>580</v>
      </c>
      <c r="M57" s="195" t="s">
        <v>24</v>
      </c>
      <c r="N57" s="195" t="s">
        <v>23</v>
      </c>
      <c r="O57" s="202">
        <v>97.227789999999999</v>
      </c>
      <c r="P57" s="202">
        <v>24.29138</v>
      </c>
      <c r="Q57" s="203">
        <v>0</v>
      </c>
      <c r="R57" s="270">
        <v>20</v>
      </c>
      <c r="S57" s="270">
        <v>95</v>
      </c>
      <c r="T57" s="205">
        <f>IF(CampList[[#This Row],[HH]]&gt;0,CampList[[#This Row],[Total]]/CampList[[#This Row],[HH]],"NA")</f>
        <v>4.75</v>
      </c>
      <c r="U57" s="197" t="s">
        <v>464</v>
      </c>
      <c r="V57" s="197" t="s">
        <v>993</v>
      </c>
      <c r="W57" s="197" t="s">
        <v>507</v>
      </c>
      <c r="X57" s="197" t="s">
        <v>742</v>
      </c>
      <c r="Y57" s="308">
        <v>41030</v>
      </c>
      <c r="Z57" s="636" t="s">
        <v>462</v>
      </c>
      <c r="AA57" s="195" t="s">
        <v>774</v>
      </c>
      <c r="AB57" s="208">
        <v>43251</v>
      </c>
      <c r="AC57" s="209" t="s">
        <v>1675</v>
      </c>
      <c r="AD57" s="197" t="str">
        <f ca="1">IFERROR(OFFSET(DistanceToCamp[Nearest Town],MATCH(CampList[[#This Row],[CP_Pcode]],DistanceToCamp[CP_Pcode],0)-1,0,1,1),"")</f>
        <v>Bhamo Town</v>
      </c>
      <c r="AE57" s="210">
        <f ca="1">IFERROR(OFFSET(DistanceToCamp[distance],MATCH(CampList[[#This Row],[CP_Pcode]],DistanceToCamp[CP_Pcode],0)-1,0,1,1),"")</f>
        <v>4.108228790802368</v>
      </c>
      <c r="AF57" s="211">
        <f ca="1">IFERROR(INT(CampList[[#This Row],[Distance]]/5)+1,"")</f>
        <v>1</v>
      </c>
    </row>
    <row r="58" spans="2:32" ht="15.75" customHeight="1" x14ac:dyDescent="0.3">
      <c r="B58" s="201" t="s">
        <v>1692</v>
      </c>
      <c r="C58" s="196" t="s">
        <v>378</v>
      </c>
      <c r="D58" s="196" t="s">
        <v>478</v>
      </c>
      <c r="E58" s="196" t="s">
        <v>5</v>
      </c>
      <c r="F58" s="196" t="s">
        <v>482</v>
      </c>
      <c r="G58" s="196" t="s">
        <v>185</v>
      </c>
      <c r="H58" s="196" t="s">
        <v>486</v>
      </c>
      <c r="I58" s="196" t="s">
        <v>693</v>
      </c>
      <c r="J58" s="214" t="s">
        <v>694</v>
      </c>
      <c r="K58" s="226" t="s">
        <v>1099</v>
      </c>
      <c r="L58" s="226" t="s">
        <v>1100</v>
      </c>
      <c r="M58" s="196" t="s">
        <v>223</v>
      </c>
      <c r="N58" s="196" t="s">
        <v>222</v>
      </c>
      <c r="O58" s="204">
        <v>97.724566999999993</v>
      </c>
      <c r="P58" s="204">
        <v>24.205417000000001</v>
      </c>
      <c r="Q58" s="215"/>
      <c r="R58" s="204">
        <v>129</v>
      </c>
      <c r="S58" s="797">
        <v>646</v>
      </c>
      <c r="T58" s="205">
        <f>IF(CampList[[#This Row],[HH]]&gt;0,CampList[[#This Row],[Total]]/CampList[[#This Row],[HH]],"NA")</f>
        <v>5.0077519379844961</v>
      </c>
      <c r="U58" s="181" t="s">
        <v>464</v>
      </c>
      <c r="V58" s="197" t="s">
        <v>993</v>
      </c>
      <c r="W58" s="181" t="s">
        <v>507</v>
      </c>
      <c r="X58" s="181" t="s">
        <v>742</v>
      </c>
      <c r="Y58" s="309">
        <v>40848</v>
      </c>
      <c r="Z58" s="215" t="s">
        <v>933</v>
      </c>
      <c r="AA58" s="196" t="s">
        <v>774</v>
      </c>
      <c r="AB58" s="208">
        <v>43593</v>
      </c>
      <c r="AC58" s="217" t="s">
        <v>2026</v>
      </c>
      <c r="AD58" s="218" t="str">
        <f ca="1">IFERROR(OFFSET(DistanceToCamp[Nearest Town],MATCH(CampList[[#This Row],[CP_Pcode]],DistanceToCamp[CP_Pcode],0)-1,0,1,1),"")</f>
        <v>Lwegel Town</v>
      </c>
      <c r="AE58" s="210">
        <f ca="1">IFERROR(OFFSET(DistanceToCamp[distance],MATCH(CampList[[#This Row],[CP_Pcode]],DistanceToCamp[CP_Pcode],0)-1,0,1,1),"")</f>
        <v>0.77978735578277303</v>
      </c>
      <c r="AF58" s="219">
        <f ca="1">IFERROR(INT(CampList[[#This Row],[Distance]]/5)+1,"")</f>
        <v>1</v>
      </c>
    </row>
    <row r="59" spans="2:32" ht="15.75" hidden="1" customHeight="1" x14ac:dyDescent="0.3">
      <c r="B59" s="201" t="s">
        <v>775</v>
      </c>
      <c r="C59" s="195" t="s">
        <v>378</v>
      </c>
      <c r="D59" s="195" t="s">
        <v>478</v>
      </c>
      <c r="E59" s="195" t="s">
        <v>5</v>
      </c>
      <c r="F59" s="195" t="s">
        <v>482</v>
      </c>
      <c r="G59" s="195" t="s">
        <v>185</v>
      </c>
      <c r="H59" s="195" t="s">
        <v>486</v>
      </c>
      <c r="I59" s="209" t="s">
        <v>602</v>
      </c>
      <c r="J59" s="209" t="s">
        <v>603</v>
      </c>
      <c r="K59" s="209" t="s">
        <v>607</v>
      </c>
      <c r="L59" s="209" t="s">
        <v>608</v>
      </c>
      <c r="M59" s="195" t="s">
        <v>211</v>
      </c>
      <c r="N59" s="195" t="s">
        <v>210</v>
      </c>
      <c r="O59" s="202">
        <v>97.346950000000007</v>
      </c>
      <c r="P59" s="202">
        <v>24.25177</v>
      </c>
      <c r="Q59" s="203">
        <v>0</v>
      </c>
      <c r="R59" s="280"/>
      <c r="S59" s="281"/>
      <c r="T59" s="205" t="str">
        <f>IF(CampList[[#This Row],[HH]]&gt;0,CampList[[#This Row],[Total]]/CampList[[#This Row],[HH]],"NA")</f>
        <v>NA</v>
      </c>
      <c r="U59" s="197" t="s">
        <v>464</v>
      </c>
      <c r="V59" s="197" t="s">
        <v>993</v>
      </c>
      <c r="W59" s="197" t="s">
        <v>507</v>
      </c>
      <c r="X59" s="197" t="s">
        <v>742</v>
      </c>
      <c r="Y59" s="636">
        <v>40756</v>
      </c>
      <c r="Z59" s="206" t="s">
        <v>933</v>
      </c>
      <c r="AA59" s="221" t="s">
        <v>774</v>
      </c>
      <c r="AB59" s="208">
        <v>41971</v>
      </c>
      <c r="AC59" s="201" t="s">
        <v>953</v>
      </c>
      <c r="AD59" s="197" t="str">
        <f ca="1">IFERROR(OFFSET(DistanceToCamp[Nearest Town],MATCH(CampList[[#This Row],[CP_Pcode]],DistanceToCamp[CP_Pcode],0)-1,0,1,1),"")</f>
        <v/>
      </c>
      <c r="AE59" s="210" t="str">
        <f ca="1">IFERROR(OFFSET(DistanceToCamp[distance],MATCH(CampList[[#This Row],[CP_Pcode]],DistanceToCamp[CP_Pcode],0)-1,0,1,1),"")</f>
        <v/>
      </c>
      <c r="AF59" s="211" t="str">
        <f ca="1">IFERROR(INT(CampList[[#This Row],[Distance]]/5)+1,"")</f>
        <v/>
      </c>
    </row>
    <row r="60" spans="2:32" ht="15.75" hidden="1" customHeight="1" x14ac:dyDescent="0.3">
      <c r="B60" s="201" t="s">
        <v>775</v>
      </c>
      <c r="C60" s="195" t="s">
        <v>378</v>
      </c>
      <c r="D60" s="195" t="s">
        <v>478</v>
      </c>
      <c r="E60" s="195" t="s">
        <v>5</v>
      </c>
      <c r="F60" s="195" t="s">
        <v>482</v>
      </c>
      <c r="G60" s="195" t="s">
        <v>185</v>
      </c>
      <c r="H60" s="195" t="s">
        <v>486</v>
      </c>
      <c r="I60" s="209" t="s">
        <v>602</v>
      </c>
      <c r="J60" s="209" t="s">
        <v>603</v>
      </c>
      <c r="K60" s="209" t="s">
        <v>604</v>
      </c>
      <c r="L60" s="209" t="s">
        <v>605</v>
      </c>
      <c r="M60" s="195" t="s">
        <v>207</v>
      </c>
      <c r="N60" s="195" t="s">
        <v>206</v>
      </c>
      <c r="O60" s="202">
        <v>97.346940000000004</v>
      </c>
      <c r="P60" s="202">
        <v>24.251860000000001</v>
      </c>
      <c r="Q60" s="203">
        <v>0</v>
      </c>
      <c r="R60" s="280"/>
      <c r="S60" s="281"/>
      <c r="T60" s="205" t="str">
        <f>IF(CampList[[#This Row],[HH]]&gt;0,CampList[[#This Row],[Total]]/CampList[[#This Row],[HH]],"NA")</f>
        <v>NA</v>
      </c>
      <c r="U60" s="197" t="s">
        <v>464</v>
      </c>
      <c r="V60" s="197" t="s">
        <v>993</v>
      </c>
      <c r="W60" s="197" t="s">
        <v>507</v>
      </c>
      <c r="X60" s="197" t="s">
        <v>742</v>
      </c>
      <c r="Y60" s="636">
        <v>40817</v>
      </c>
      <c r="Z60" s="636"/>
      <c r="AA60" s="221" t="s">
        <v>774</v>
      </c>
      <c r="AB60" s="208">
        <v>42317</v>
      </c>
      <c r="AC60" s="201" t="s">
        <v>1076</v>
      </c>
      <c r="AD60" s="197"/>
      <c r="AE60" s="210"/>
      <c r="AF60" s="211"/>
    </row>
    <row r="61" spans="2:32" ht="15.75" hidden="1" customHeight="1" x14ac:dyDescent="0.3">
      <c r="B61" s="201" t="s">
        <v>775</v>
      </c>
      <c r="C61" s="195" t="s">
        <v>378</v>
      </c>
      <c r="D61" s="195" t="s">
        <v>478</v>
      </c>
      <c r="E61" s="195" t="s">
        <v>5</v>
      </c>
      <c r="F61" s="195" t="s">
        <v>482</v>
      </c>
      <c r="G61" s="195" t="s">
        <v>185</v>
      </c>
      <c r="H61" s="195" t="s">
        <v>486</v>
      </c>
      <c r="I61" s="195" t="s">
        <v>602</v>
      </c>
      <c r="J61" s="195" t="s">
        <v>603</v>
      </c>
      <c r="K61" s="195" t="s">
        <v>604</v>
      </c>
      <c r="L61" s="195" t="s">
        <v>605</v>
      </c>
      <c r="M61" s="195" t="s">
        <v>217</v>
      </c>
      <c r="N61" s="195" t="s">
        <v>216</v>
      </c>
      <c r="O61" s="202">
        <v>97.347740000000002</v>
      </c>
      <c r="P61" s="202">
        <v>24.253769999999999</v>
      </c>
      <c r="Q61" s="203">
        <v>0</v>
      </c>
      <c r="R61" s="218"/>
      <c r="S61" s="223"/>
      <c r="T61" s="205" t="str">
        <f>IF(CampList[[#This Row],[HH]]&gt;0,CampList[[#This Row],[Total]]/CampList[[#This Row],[HH]],"NA")</f>
        <v>NA</v>
      </c>
      <c r="U61" s="197" t="s">
        <v>464</v>
      </c>
      <c r="V61" s="197" t="s">
        <v>993</v>
      </c>
      <c r="W61" s="197" t="s">
        <v>507</v>
      </c>
      <c r="X61" s="197" t="s">
        <v>742</v>
      </c>
      <c r="Y61" s="206">
        <v>40817</v>
      </c>
      <c r="Z61" s="206" t="s">
        <v>462</v>
      </c>
      <c r="AA61" s="195" t="s">
        <v>774</v>
      </c>
      <c r="AB61" s="208">
        <v>42537</v>
      </c>
      <c r="AC61" s="209" t="s">
        <v>1114</v>
      </c>
      <c r="AD61" s="197" t="str">
        <f ca="1">IFERROR(OFFSET(DistanceToCamp[Nearest Town],MATCH(CampList[[#This Row],[CP_Pcode]],DistanceToCamp[CP_Pcode],0)-1,0,1,1),"")</f>
        <v>Momauk Town</v>
      </c>
      <c r="AE61" s="210">
        <f ca="1">IFERROR(OFFSET(DistanceToCamp[distance],MATCH(CampList[[#This Row],[CP_Pcode]],DistanceToCamp[CP_Pcode],0)-1,0,1,1),"")</f>
        <v>0.32830807173487342</v>
      </c>
      <c r="AF61" s="211">
        <f ca="1">IFERROR(INT(CampList[[#This Row],[Distance]]/5)+1,"")</f>
        <v>1</v>
      </c>
    </row>
    <row r="62" spans="2:32" ht="15.75" hidden="1" customHeight="1" x14ac:dyDescent="0.3">
      <c r="B62" s="201" t="s">
        <v>775</v>
      </c>
      <c r="C62" s="195" t="s">
        <v>378</v>
      </c>
      <c r="D62" s="195" t="s">
        <v>478</v>
      </c>
      <c r="E62" s="195" t="s">
        <v>5</v>
      </c>
      <c r="F62" s="195" t="s">
        <v>482</v>
      </c>
      <c r="G62" s="195" t="s">
        <v>185</v>
      </c>
      <c r="H62" s="195" t="s">
        <v>486</v>
      </c>
      <c r="I62" s="195" t="s">
        <v>736</v>
      </c>
      <c r="J62" s="195" t="s">
        <v>737</v>
      </c>
      <c r="K62" s="195" t="s">
        <v>736</v>
      </c>
      <c r="L62" s="195">
        <v>167086</v>
      </c>
      <c r="M62" s="195" t="s">
        <v>227</v>
      </c>
      <c r="N62" s="195" t="s">
        <v>226</v>
      </c>
      <c r="O62" s="202">
        <v>97.416826999999998</v>
      </c>
      <c r="P62" s="202">
        <v>24.492493</v>
      </c>
      <c r="Q62" s="203"/>
      <c r="R62" s="203"/>
      <c r="S62" s="215"/>
      <c r="T62" s="205" t="str">
        <f>IF(CampList[[#This Row],[HH]]&gt;0,CampList[[#This Row],[Total]]/CampList[[#This Row],[HH]],"NA")</f>
        <v>NA</v>
      </c>
      <c r="U62" s="197" t="s">
        <v>464</v>
      </c>
      <c r="V62" s="197" t="s">
        <v>993</v>
      </c>
      <c r="W62" s="225" t="s">
        <v>1898</v>
      </c>
      <c r="X62" s="197" t="s">
        <v>784</v>
      </c>
      <c r="Y62" s="308"/>
      <c r="Z62" s="636"/>
      <c r="AA62" s="221" t="s">
        <v>773</v>
      </c>
      <c r="AB62" s="208">
        <v>42927</v>
      </c>
      <c r="AC62" s="209" t="s">
        <v>1276</v>
      </c>
      <c r="AD62" s="197" t="str">
        <f ca="1">IFERROR(OFFSET(DistanceToCamp[Nearest Town],MATCH(CampList[[#This Row],[CP_Pcode]],DistanceToCamp[CP_Pcode],0)-1,0,1,1),"")</f>
        <v>Dawthponeyan  Town</v>
      </c>
      <c r="AE62" s="210">
        <f ca="1">IFERROR(OFFSET(DistanceToCamp[distance],MATCH(CampList[[#This Row],[CP_Pcode]],DistanceToCamp[CP_Pcode],0)-1,0,1,1),"")</f>
        <v>14.236592976936194</v>
      </c>
      <c r="AF62" s="211">
        <f ca="1">IFERROR(INT(CampList[[#This Row],[Distance]]/5)+1,"")</f>
        <v>3</v>
      </c>
    </row>
    <row r="63" spans="2:32" ht="15.75" customHeight="1" x14ac:dyDescent="0.3">
      <c r="B63" s="201" t="s">
        <v>1692</v>
      </c>
      <c r="C63" s="195" t="s">
        <v>378</v>
      </c>
      <c r="D63" s="195" t="s">
        <v>478</v>
      </c>
      <c r="E63" s="195" t="s">
        <v>5</v>
      </c>
      <c r="F63" s="195" t="s">
        <v>482</v>
      </c>
      <c r="G63" s="195" t="s">
        <v>185</v>
      </c>
      <c r="H63" s="195" t="s">
        <v>486</v>
      </c>
      <c r="I63" s="209" t="s">
        <v>693</v>
      </c>
      <c r="J63" s="209" t="s">
        <v>694</v>
      </c>
      <c r="K63" s="209" t="s">
        <v>698</v>
      </c>
      <c r="L63" s="209" t="s">
        <v>699</v>
      </c>
      <c r="M63" s="195" t="s">
        <v>190</v>
      </c>
      <c r="N63" s="195" t="s">
        <v>189</v>
      </c>
      <c r="O63" s="202">
        <v>97.717133000000004</v>
      </c>
      <c r="P63" s="202">
        <v>24.200433</v>
      </c>
      <c r="Q63" s="203">
        <v>0</v>
      </c>
      <c r="R63" s="270">
        <v>210</v>
      </c>
      <c r="S63" s="270">
        <v>1212</v>
      </c>
      <c r="T63" s="205">
        <f>IF(CampList[[#This Row],[HH]]&gt;0,CampList[[#This Row],[Total]]/CampList[[#This Row],[HH]],"NA")</f>
        <v>5.7714285714285714</v>
      </c>
      <c r="U63" s="197" t="s">
        <v>464</v>
      </c>
      <c r="V63" s="197" t="s">
        <v>993</v>
      </c>
      <c r="W63" s="197" t="s">
        <v>507</v>
      </c>
      <c r="X63" s="197" t="s">
        <v>742</v>
      </c>
      <c r="Y63" s="308">
        <v>41000</v>
      </c>
      <c r="Z63" s="636" t="s">
        <v>1834</v>
      </c>
      <c r="AA63" s="221" t="s">
        <v>774</v>
      </c>
      <c r="AB63" s="208">
        <v>43593</v>
      </c>
      <c r="AC63" s="201" t="s">
        <v>1961</v>
      </c>
      <c r="AD63" s="197" t="str">
        <f ca="1">IFERROR(OFFSET(DistanceToCamp[Nearest Town],MATCH(CampList[[#This Row],[CP_Pcode]],DistanceToCamp[CP_Pcode],0)-1,0,1,1),"")</f>
        <v>Lwegel Town</v>
      </c>
      <c r="AE63" s="210">
        <f ca="1">IFERROR(OFFSET(DistanceToCamp[distance],MATCH(CampList[[#This Row],[CP_Pcode]],DistanceToCamp[CP_Pcode],0)-1,0,1,1),"")</f>
        <v>0.38934692601696641</v>
      </c>
      <c r="AF63" s="211">
        <f ca="1">IFERROR(INT(CampList[[#This Row],[Distance]]/5)+1,"")</f>
        <v>1</v>
      </c>
    </row>
    <row r="64" spans="2:32" ht="15.75" customHeight="1" x14ac:dyDescent="0.3">
      <c r="B64" s="201" t="s">
        <v>1692</v>
      </c>
      <c r="C64" s="195" t="s">
        <v>378</v>
      </c>
      <c r="D64" s="195" t="s">
        <v>478</v>
      </c>
      <c r="E64" s="195" t="s">
        <v>5</v>
      </c>
      <c r="F64" s="195" t="s">
        <v>482</v>
      </c>
      <c r="G64" s="195" t="s">
        <v>185</v>
      </c>
      <c r="H64" s="195" t="s">
        <v>486</v>
      </c>
      <c r="I64" s="209" t="s">
        <v>693</v>
      </c>
      <c r="J64" s="209" t="s">
        <v>694</v>
      </c>
      <c r="K64" s="226" t="s">
        <v>1099</v>
      </c>
      <c r="L64" s="226" t="s">
        <v>1100</v>
      </c>
      <c r="M64" s="195" t="s">
        <v>186</v>
      </c>
      <c r="N64" s="195" t="s">
        <v>184</v>
      </c>
      <c r="O64" s="202">
        <v>97.718582999999995</v>
      </c>
      <c r="P64" s="202">
        <v>24.200972</v>
      </c>
      <c r="Q64" s="215"/>
      <c r="R64" s="270">
        <v>38</v>
      </c>
      <c r="S64" s="270">
        <v>244</v>
      </c>
      <c r="T64" s="205">
        <f>IF(CampList[[#This Row],[HH]]&gt;0,CampList[[#This Row],[Total]]/CampList[[#This Row],[HH]],"NA")</f>
        <v>6.4210526315789478</v>
      </c>
      <c r="U64" s="197" t="s">
        <v>464</v>
      </c>
      <c r="V64" s="197" t="s">
        <v>993</v>
      </c>
      <c r="W64" s="197" t="s">
        <v>507</v>
      </c>
      <c r="X64" s="197" t="s">
        <v>742</v>
      </c>
      <c r="Y64" s="309">
        <v>41030</v>
      </c>
      <c r="Z64" s="636" t="s">
        <v>1834</v>
      </c>
      <c r="AA64" s="221" t="s">
        <v>774</v>
      </c>
      <c r="AB64" s="208">
        <v>43593</v>
      </c>
      <c r="AC64" s="201" t="s">
        <v>1962</v>
      </c>
      <c r="AD64" s="197" t="str">
        <f ca="1">IFERROR(OFFSET(DistanceToCamp[Nearest Town],MATCH(CampList[[#This Row],[CP_Pcode]],DistanceToCamp[CP_Pcode],0)-1,0,1,1),"")</f>
        <v>Lwegel Town</v>
      </c>
      <c r="AE64" s="210">
        <f ca="1">IFERROR(OFFSET(DistanceToCamp[distance],MATCH(CampList[[#This Row],[CP_Pcode]],DistanceToCamp[CP_Pcode],0)-1,0,1,1),"")</f>
        <v>0.28829825866869707</v>
      </c>
      <c r="AF64" s="211">
        <f ca="1">IFERROR(INT(CampList[[#This Row],[Distance]]/5)+1,"")</f>
        <v>1</v>
      </c>
    </row>
    <row r="65" spans="2:32" ht="15.75" hidden="1" customHeight="1" x14ac:dyDescent="0.3">
      <c r="B65" s="201" t="s">
        <v>775</v>
      </c>
      <c r="C65" s="195" t="s">
        <v>378</v>
      </c>
      <c r="D65" s="195" t="s">
        <v>478</v>
      </c>
      <c r="E65" s="195" t="s">
        <v>5</v>
      </c>
      <c r="F65" s="195" t="s">
        <v>482</v>
      </c>
      <c r="G65" s="195" t="s">
        <v>185</v>
      </c>
      <c r="H65" s="195" t="s">
        <v>486</v>
      </c>
      <c r="I65" s="209" t="s">
        <v>596</v>
      </c>
      <c r="J65" s="209" t="s">
        <v>597</v>
      </c>
      <c r="K65" s="209" t="s">
        <v>596</v>
      </c>
      <c r="L65" s="209">
        <v>167063</v>
      </c>
      <c r="M65" s="195" t="s">
        <v>204</v>
      </c>
      <c r="N65" s="195" t="s">
        <v>203</v>
      </c>
      <c r="O65" s="202">
        <v>97.321659999999994</v>
      </c>
      <c r="P65" s="202">
        <v>24.410008999999999</v>
      </c>
      <c r="Q65" s="215"/>
      <c r="R65" s="306"/>
      <c r="S65" s="307"/>
      <c r="T65" s="205" t="str">
        <f>IF(CampList[[#This Row],[HH]]&gt;0,CampList[[#This Row],[Total]]/CampList[[#This Row],[HH]],"NA")</f>
        <v>NA</v>
      </c>
      <c r="U65" s="197" t="s">
        <v>464</v>
      </c>
      <c r="V65" s="197" t="s">
        <v>993</v>
      </c>
      <c r="W65" s="225" t="s">
        <v>1898</v>
      </c>
      <c r="X65" s="197" t="s">
        <v>784</v>
      </c>
      <c r="Y65" s="309"/>
      <c r="Z65" s="207"/>
      <c r="AA65" s="221" t="s">
        <v>773</v>
      </c>
      <c r="AB65" s="208">
        <v>42927</v>
      </c>
      <c r="AC65" s="201" t="s">
        <v>1277</v>
      </c>
      <c r="AD65" s="197" t="str">
        <f ca="1">IFERROR(OFFSET(DistanceToCamp[Nearest Town],MATCH(CampList[[#This Row],[CP_Pcode]],DistanceToCamp[CP_Pcode],0)-1,0,1,1),"")</f>
        <v>Momauk Town</v>
      </c>
      <c r="AE65" s="210">
        <f ca="1">IFERROR(OFFSET(DistanceToCamp[distance],MATCH(CampList[[#This Row],[CP_Pcode]],DistanceToCamp[CP_Pcode],0)-1,0,1,1),"")</f>
        <v>17.282528446236295</v>
      </c>
      <c r="AF65" s="211">
        <f ca="1">IFERROR(INT(CampList[[#This Row],[Distance]]/5)+1,"")</f>
        <v>4</v>
      </c>
    </row>
    <row r="66" spans="2:32" ht="15.75" hidden="1" customHeight="1" x14ac:dyDescent="0.3">
      <c r="B66" s="201" t="s">
        <v>775</v>
      </c>
      <c r="C66" s="195" t="s">
        <v>378</v>
      </c>
      <c r="D66" s="195" t="s">
        <v>478</v>
      </c>
      <c r="E66" s="195" t="s">
        <v>5</v>
      </c>
      <c r="F66" s="195" t="s">
        <v>482</v>
      </c>
      <c r="G66" s="195" t="s">
        <v>185</v>
      </c>
      <c r="H66" s="195" t="s">
        <v>486</v>
      </c>
      <c r="I66" s="209" t="s">
        <v>1111</v>
      </c>
      <c r="J66" s="209" t="s">
        <v>1112</v>
      </c>
      <c r="K66" s="209" t="s">
        <v>1111</v>
      </c>
      <c r="L66" s="220">
        <v>167078</v>
      </c>
      <c r="M66" s="195" t="s">
        <v>200</v>
      </c>
      <c r="N66" s="195" t="s">
        <v>199</v>
      </c>
      <c r="O66" s="202">
        <v>97.409474000000003</v>
      </c>
      <c r="P66" s="202">
        <v>24.441697000000001</v>
      </c>
      <c r="Q66" s="215"/>
      <c r="R66" s="270"/>
      <c r="S66" s="270"/>
      <c r="T66" s="205" t="str">
        <f>IF(CampList[[#This Row],[HH]]&gt;0,CampList[[#This Row],[Total]]/CampList[[#This Row],[HH]],"NA")</f>
        <v>NA</v>
      </c>
      <c r="U66" s="197" t="s">
        <v>464</v>
      </c>
      <c r="V66" s="197" t="s">
        <v>993</v>
      </c>
      <c r="W66" s="225" t="s">
        <v>1898</v>
      </c>
      <c r="X66" s="197" t="s">
        <v>784</v>
      </c>
      <c r="Y66" s="309"/>
      <c r="Z66" s="207"/>
      <c r="AA66" s="221" t="s">
        <v>773</v>
      </c>
      <c r="AB66" s="208">
        <v>42927</v>
      </c>
      <c r="AC66" s="201" t="s">
        <v>1278</v>
      </c>
      <c r="AD66" s="197" t="str">
        <f ca="1">IFERROR(OFFSET(DistanceToCamp[Nearest Town],MATCH(CampList[[#This Row],[CP_Pcode]],DistanceToCamp[CP_Pcode],0)-1,0,1,1),"")</f>
        <v>Dawthponeyan  Town</v>
      </c>
      <c r="AE66" s="210">
        <f ca="1">IFERROR(OFFSET(DistanceToCamp[distance],MATCH(CampList[[#This Row],[CP_Pcode]],DistanceToCamp[CP_Pcode],0)-1,0,1,1),"")</f>
        <v>19.860265975801305</v>
      </c>
      <c r="AF66" s="211">
        <f ca="1">IFERROR(INT(CampList[[#This Row],[Distance]]/5)+1,"")</f>
        <v>4</v>
      </c>
    </row>
    <row r="67" spans="2:32" ht="15.75" hidden="1" customHeight="1" x14ac:dyDescent="0.3">
      <c r="B67" s="201" t="s">
        <v>775</v>
      </c>
      <c r="C67" s="195" t="s">
        <v>378</v>
      </c>
      <c r="D67" s="195" t="s">
        <v>478</v>
      </c>
      <c r="E67" s="195" t="s">
        <v>5</v>
      </c>
      <c r="F67" s="195" t="s">
        <v>482</v>
      </c>
      <c r="G67" s="195" t="s">
        <v>185</v>
      </c>
      <c r="H67" s="195" t="s">
        <v>486</v>
      </c>
      <c r="I67" s="195" t="s">
        <v>645</v>
      </c>
      <c r="J67" s="195" t="s">
        <v>646</v>
      </c>
      <c r="K67" s="195" t="s">
        <v>647</v>
      </c>
      <c r="L67" s="195">
        <v>167242</v>
      </c>
      <c r="M67" s="195" t="s">
        <v>221</v>
      </c>
      <c r="N67" s="195" t="s">
        <v>220</v>
      </c>
      <c r="O67" s="202">
        <v>97.429860000000005</v>
      </c>
      <c r="P67" s="202">
        <v>24.630859999999998</v>
      </c>
      <c r="Q67" s="203"/>
      <c r="R67" s="203"/>
      <c r="S67" s="215"/>
      <c r="T67" s="205" t="str">
        <f>IF(CampList[[#This Row],[HH]]&gt;0,CampList[[#This Row],[Total]]/CampList[[#This Row],[HH]],"NA")</f>
        <v>NA</v>
      </c>
      <c r="U67" s="197" t="s">
        <v>464</v>
      </c>
      <c r="V67" s="197" t="s">
        <v>993</v>
      </c>
      <c r="W67" s="225" t="s">
        <v>1898</v>
      </c>
      <c r="X67" s="197" t="s">
        <v>784</v>
      </c>
      <c r="Y67" s="308"/>
      <c r="Z67" s="636"/>
      <c r="AA67" s="221" t="s">
        <v>773</v>
      </c>
      <c r="AB67" s="208">
        <v>42927</v>
      </c>
      <c r="AC67" s="209" t="s">
        <v>1279</v>
      </c>
      <c r="AD67" s="197" t="str">
        <f ca="1">IFERROR(OFFSET(DistanceToCamp[Nearest Town],MATCH(CampList[[#This Row],[CP_Pcode]],DistanceToCamp[CP_Pcode],0)-1,0,1,1),"")</f>
        <v>Dawthponeyan  Town</v>
      </c>
      <c r="AE67" s="210">
        <f ca="1">IFERROR(OFFSET(DistanceToCamp[distance],MATCH(CampList[[#This Row],[CP_Pcode]],DistanceToCamp[CP_Pcode],0)-1,0,1,1),"")</f>
        <v>3.6887624513681017</v>
      </c>
      <c r="AF67" s="211">
        <f ca="1">IFERROR(INT(CampList[[#This Row],[Distance]]/5)+1,"")</f>
        <v>1</v>
      </c>
    </row>
    <row r="68" spans="2:32" ht="15.75" customHeight="1" x14ac:dyDescent="0.3">
      <c r="B68" s="201" t="s">
        <v>1692</v>
      </c>
      <c r="C68" s="195" t="s">
        <v>378</v>
      </c>
      <c r="D68" s="195" t="s">
        <v>478</v>
      </c>
      <c r="E68" s="195" t="s">
        <v>5</v>
      </c>
      <c r="F68" s="195" t="s">
        <v>482</v>
      </c>
      <c r="G68" s="195" t="s">
        <v>185</v>
      </c>
      <c r="H68" s="195" t="s">
        <v>486</v>
      </c>
      <c r="I68" s="195" t="s">
        <v>693</v>
      </c>
      <c r="J68" s="195" t="s">
        <v>1041</v>
      </c>
      <c r="K68" s="226" t="s">
        <v>698</v>
      </c>
      <c r="L68" s="226" t="s">
        <v>699</v>
      </c>
      <c r="M68" s="195" t="s">
        <v>229</v>
      </c>
      <c r="N68" s="195" t="s">
        <v>228</v>
      </c>
      <c r="O68" s="202">
        <v>97.724483000000006</v>
      </c>
      <c r="P68" s="202">
        <v>24.205417000000001</v>
      </c>
      <c r="Q68" s="203">
        <v>0</v>
      </c>
      <c r="R68" s="270">
        <v>49</v>
      </c>
      <c r="S68" s="270">
        <v>300</v>
      </c>
      <c r="T68" s="205">
        <f>IF(CampList[[#This Row],[HH]]&gt;0,CampList[[#This Row],[Total]]/CampList[[#This Row],[HH]],"NA")</f>
        <v>6.1224489795918364</v>
      </c>
      <c r="U68" s="197" t="s">
        <v>464</v>
      </c>
      <c r="V68" s="197" t="s">
        <v>993</v>
      </c>
      <c r="W68" s="197" t="s">
        <v>507</v>
      </c>
      <c r="X68" s="197" t="s">
        <v>742</v>
      </c>
      <c r="Y68" s="308">
        <v>41122</v>
      </c>
      <c r="Z68" s="636" t="s">
        <v>1834</v>
      </c>
      <c r="AA68" s="195" t="s">
        <v>774</v>
      </c>
      <c r="AB68" s="208">
        <v>43593</v>
      </c>
      <c r="AC68" s="209" t="s">
        <v>1963</v>
      </c>
      <c r="AD68" s="197" t="str">
        <f ca="1">IFERROR(OFFSET(DistanceToCamp[Nearest Town],MATCH(CampList[[#This Row],[CP_Pcode]],DistanceToCamp[CP_Pcode],0)-1,0,1,1),"")</f>
        <v>Lwegel Town</v>
      </c>
      <c r="AE68" s="210">
        <f ca="1">IFERROR(OFFSET(DistanceToCamp[distance],MATCH(CampList[[#This Row],[CP_Pcode]],DistanceToCamp[CP_Pcode],0)-1,0,1,1),"")</f>
        <v>0.77561767807574999</v>
      </c>
      <c r="AF68" s="211">
        <f ca="1">IFERROR(INT(CampList[[#This Row],[Distance]]/5)+1,"")</f>
        <v>1</v>
      </c>
    </row>
    <row r="69" spans="2:32" ht="15.75" customHeight="1" x14ac:dyDescent="0.3">
      <c r="B69" s="201" t="s">
        <v>1692</v>
      </c>
      <c r="C69" s="195" t="s">
        <v>378</v>
      </c>
      <c r="D69" s="195" t="s">
        <v>478</v>
      </c>
      <c r="E69" s="195" t="s">
        <v>5</v>
      </c>
      <c r="F69" s="195" t="s">
        <v>482</v>
      </c>
      <c r="G69" s="195" t="s">
        <v>185</v>
      </c>
      <c r="H69" s="195" t="s">
        <v>486</v>
      </c>
      <c r="I69" s="195" t="s">
        <v>693</v>
      </c>
      <c r="J69" s="195" t="s">
        <v>694</v>
      </c>
      <c r="K69" s="195" t="s">
        <v>1104</v>
      </c>
      <c r="L69" s="195" t="s">
        <v>1105</v>
      </c>
      <c r="M69" s="195" t="s">
        <v>225</v>
      </c>
      <c r="N69" s="195" t="s">
        <v>224</v>
      </c>
      <c r="O69" s="202">
        <v>97.710864000000001</v>
      </c>
      <c r="P69" s="202">
        <v>24.207332999999998</v>
      </c>
      <c r="Q69" s="203">
        <v>0</v>
      </c>
      <c r="R69" s="270">
        <v>44</v>
      </c>
      <c r="S69" s="270">
        <v>276</v>
      </c>
      <c r="T69" s="205">
        <f>IF(CampList[[#This Row],[HH]]&gt;0,CampList[[#This Row],[Total]]/CampList[[#This Row],[HH]],"NA")</f>
        <v>6.2727272727272725</v>
      </c>
      <c r="U69" s="197" t="s">
        <v>464</v>
      </c>
      <c r="V69" s="197" t="s">
        <v>993</v>
      </c>
      <c r="W69" s="197" t="s">
        <v>507</v>
      </c>
      <c r="X69" s="197" t="s">
        <v>742</v>
      </c>
      <c r="Y69" s="308">
        <v>41122</v>
      </c>
      <c r="Z69" s="636" t="s">
        <v>1834</v>
      </c>
      <c r="AA69" s="195" t="s">
        <v>774</v>
      </c>
      <c r="AB69" s="208">
        <v>43593</v>
      </c>
      <c r="AC69" s="209" t="s">
        <v>1958</v>
      </c>
      <c r="AD69" s="197" t="str">
        <f ca="1">IFERROR(OFFSET(DistanceToCamp[Nearest Town],MATCH(CampList[[#This Row],[CP_Pcode]],DistanceToCamp[CP_Pcode],0)-1,0,1,1),"")</f>
        <v>Lwegel Town</v>
      </c>
      <c r="AE69" s="210">
        <f ca="1">IFERROR(OFFSET(DistanceToCamp[distance],MATCH(CampList[[#This Row],[CP_Pcode]],DistanceToCamp[CP_Pcode],0)-1,0,1,1),"")</f>
        <v>1.343152344964242</v>
      </c>
      <c r="AF69" s="211">
        <f ca="1">IFERROR(INT(CampList[[#This Row],[Distance]]/5)+1,"")</f>
        <v>1</v>
      </c>
    </row>
    <row r="70" spans="2:32" ht="15.75" customHeight="1" x14ac:dyDescent="0.3">
      <c r="B70" s="201" t="s">
        <v>1692</v>
      </c>
      <c r="C70" s="195" t="s">
        <v>378</v>
      </c>
      <c r="D70" s="195" t="s">
        <v>478</v>
      </c>
      <c r="E70" s="195" t="s">
        <v>299</v>
      </c>
      <c r="F70" s="195" t="s">
        <v>499</v>
      </c>
      <c r="G70" s="195" t="s">
        <v>299</v>
      </c>
      <c r="H70" s="195" t="s">
        <v>505</v>
      </c>
      <c r="I70" s="195" t="s">
        <v>740</v>
      </c>
      <c r="J70" s="195" t="s">
        <v>741</v>
      </c>
      <c r="K70" s="195" t="s">
        <v>884</v>
      </c>
      <c r="L70" s="195" t="s">
        <v>885</v>
      </c>
      <c r="M70" s="195" t="s">
        <v>300</v>
      </c>
      <c r="N70" s="195" t="s">
        <v>298</v>
      </c>
      <c r="O70" s="202">
        <v>97.415289999999999</v>
      </c>
      <c r="P70" s="202">
        <v>27.311699999999998</v>
      </c>
      <c r="Q70" s="203">
        <v>476.7</v>
      </c>
      <c r="R70" s="203">
        <v>17</v>
      </c>
      <c r="S70" s="215">
        <v>92</v>
      </c>
      <c r="T70" s="205">
        <f>IF(CampList[[#This Row],[HH]]&gt;0,CampList[[#This Row],[Total]]/CampList[[#This Row],[HH]],"NA")</f>
        <v>5.4117647058823533</v>
      </c>
      <c r="U70" s="197" t="s">
        <v>464</v>
      </c>
      <c r="V70" s="197" t="s">
        <v>993</v>
      </c>
      <c r="W70" s="197" t="s">
        <v>1881</v>
      </c>
      <c r="X70" s="197" t="s">
        <v>784</v>
      </c>
      <c r="Y70" s="308"/>
      <c r="Z70" s="207" t="s">
        <v>1311</v>
      </c>
      <c r="AA70" s="221" t="s">
        <v>1164</v>
      </c>
      <c r="AB70" s="227">
        <v>43542</v>
      </c>
      <c r="AC70" s="209" t="s">
        <v>1262</v>
      </c>
      <c r="AD70" s="197" t="str">
        <f ca="1">IFERROR(OFFSET(DistanceToCamp[Nearest Town],MATCH(CampList[[#This Row],[CP_Pcode]],DistanceToCamp[CP_Pcode],0)-1,0,1,1),"")</f>
        <v>Puta-O Town</v>
      </c>
      <c r="AE70" s="210">
        <f ca="1">IFERROR(OFFSET(DistanceToCamp[distance],MATCH(CampList[[#This Row],[CP_Pcode]],DistanceToCamp[CP_Pcode],0)-1,0,1,1),"")</f>
        <v>1.3759254000531889</v>
      </c>
      <c r="AF70" s="211">
        <f ca="1">IFERROR(INT(CampList[[#This Row],[Distance]]/5)+1,"")</f>
        <v>1</v>
      </c>
    </row>
    <row r="71" spans="2:32" ht="15.75" customHeight="1" x14ac:dyDescent="0.3">
      <c r="B71" s="201" t="s">
        <v>1692</v>
      </c>
      <c r="C71" s="195" t="s">
        <v>378</v>
      </c>
      <c r="D71" s="195" t="s">
        <v>478</v>
      </c>
      <c r="E71" s="195" t="s">
        <v>180</v>
      </c>
      <c r="F71" s="195" t="s">
        <v>479</v>
      </c>
      <c r="G71" s="195" t="s">
        <v>173</v>
      </c>
      <c r="H71" s="195" t="s">
        <v>498</v>
      </c>
      <c r="I71" s="209" t="s">
        <v>572</v>
      </c>
      <c r="J71" s="209" t="s">
        <v>573</v>
      </c>
      <c r="K71" s="209" t="s">
        <v>574</v>
      </c>
      <c r="L71" s="209">
        <v>166676</v>
      </c>
      <c r="M71" s="195" t="s">
        <v>1480</v>
      </c>
      <c r="N71" s="195" t="s">
        <v>175</v>
      </c>
      <c r="O71" s="202">
        <v>96.942279999999997</v>
      </c>
      <c r="P71" s="202">
        <v>25.296579999999999</v>
      </c>
      <c r="Q71" s="203">
        <v>0</v>
      </c>
      <c r="R71" s="270">
        <v>15</v>
      </c>
      <c r="S71" s="775">
        <v>74</v>
      </c>
      <c r="T71" s="205">
        <f>IF(CampList[[#This Row],[HH]]&gt;0,CampList[[#This Row],[Total]]/CampList[[#This Row],[HH]],"NA")</f>
        <v>4.9333333333333336</v>
      </c>
      <c r="U71" s="197" t="s">
        <v>464</v>
      </c>
      <c r="V71" s="197" t="s">
        <v>993</v>
      </c>
      <c r="W71" s="197" t="s">
        <v>507</v>
      </c>
      <c r="X71" s="197" t="s">
        <v>742</v>
      </c>
      <c r="Y71" s="308">
        <v>41030</v>
      </c>
      <c r="Z71" s="636" t="s">
        <v>1835</v>
      </c>
      <c r="AA71" s="221" t="s">
        <v>774</v>
      </c>
      <c r="AB71" s="208">
        <v>43593</v>
      </c>
      <c r="AC71" s="201" t="s">
        <v>1982</v>
      </c>
      <c r="AD71" s="197" t="str">
        <f ca="1">IFERROR(OFFSET(DistanceToCamp[Nearest Town],MATCH(CampList[[#This Row],[CP_Pcode]],DistanceToCamp[CP_Pcode],0)-1,0,1,1),"")</f>
        <v>Mogaung Town</v>
      </c>
      <c r="AE71" s="210">
        <f ca="1">IFERROR(OFFSET(DistanceToCamp[distance],MATCH(CampList[[#This Row],[CP_Pcode]],DistanceToCamp[CP_Pcode],0)-1,0,1,1),"")</f>
        <v>0.71141459237180937</v>
      </c>
      <c r="AF71" s="211">
        <f ca="1">IFERROR(INT(CampList[[#This Row],[Distance]]/5)+1,"")</f>
        <v>1</v>
      </c>
    </row>
    <row r="72" spans="2:32" ht="15.75" customHeight="1" x14ac:dyDescent="0.3">
      <c r="B72" s="201" t="s">
        <v>1692</v>
      </c>
      <c r="C72" s="195" t="s">
        <v>378</v>
      </c>
      <c r="D72" s="195" t="s">
        <v>478</v>
      </c>
      <c r="E72" s="195" t="s">
        <v>180</v>
      </c>
      <c r="F72" s="195" t="s">
        <v>479</v>
      </c>
      <c r="G72" s="195" t="s">
        <v>173</v>
      </c>
      <c r="H72" s="195" t="s">
        <v>498</v>
      </c>
      <c r="I72" s="209" t="s">
        <v>570</v>
      </c>
      <c r="J72" s="209" t="s">
        <v>571</v>
      </c>
      <c r="K72" s="226" t="s">
        <v>1097</v>
      </c>
      <c r="L72" s="226" t="s">
        <v>1098</v>
      </c>
      <c r="M72" s="195" t="s">
        <v>174</v>
      </c>
      <c r="N72" s="195" t="s">
        <v>172</v>
      </c>
      <c r="O72" s="202">
        <v>96.922619999999995</v>
      </c>
      <c r="P72" s="202">
        <v>25.305669999999999</v>
      </c>
      <c r="Q72" s="203">
        <v>470</v>
      </c>
      <c r="R72" s="270">
        <v>13</v>
      </c>
      <c r="S72" s="270">
        <v>72</v>
      </c>
      <c r="T72" s="205">
        <f>IF(CampList[[#This Row],[HH]]&gt;0,CampList[[#This Row],[Total]]/CampList[[#This Row],[HH]],"NA")</f>
        <v>5.5384615384615383</v>
      </c>
      <c r="U72" s="197" t="s">
        <v>464</v>
      </c>
      <c r="V72" s="197" t="s">
        <v>993</v>
      </c>
      <c r="W72" s="197" t="s">
        <v>507</v>
      </c>
      <c r="X72" s="197" t="s">
        <v>742</v>
      </c>
      <c r="Y72" s="308">
        <v>41030</v>
      </c>
      <c r="Z72" s="636" t="s">
        <v>1835</v>
      </c>
      <c r="AA72" s="221" t="s">
        <v>774</v>
      </c>
      <c r="AB72" s="208">
        <v>43593</v>
      </c>
      <c r="AC72" s="201" t="s">
        <v>1982</v>
      </c>
      <c r="AD72" s="197" t="str">
        <f ca="1">IFERROR(OFFSET(DistanceToCamp[Nearest Town],MATCH(CampList[[#This Row],[CP_Pcode]],DistanceToCamp[CP_Pcode],0)-1,0,1,1),"")</f>
        <v>Mogaung Town</v>
      </c>
      <c r="AE72" s="210">
        <f ca="1">IFERROR(OFFSET(DistanceToCamp[distance],MATCH(CampList[[#This Row],[CP_Pcode]],DistanceToCamp[CP_Pcode],0)-1,0,1,1),"")</f>
        <v>1.815139598767344</v>
      </c>
      <c r="AF72" s="211">
        <f ca="1">IFERROR(INT(CampList[[#This Row],[Distance]]/5)+1,"")</f>
        <v>1</v>
      </c>
    </row>
    <row r="73" spans="2:32" ht="15.75" customHeight="1" x14ac:dyDescent="0.3">
      <c r="B73" s="201" t="s">
        <v>1692</v>
      </c>
      <c r="C73" s="195" t="s">
        <v>378</v>
      </c>
      <c r="D73" s="195" t="s">
        <v>478</v>
      </c>
      <c r="E73" s="195" t="s">
        <v>180</v>
      </c>
      <c r="F73" s="195" t="s">
        <v>479</v>
      </c>
      <c r="G73" s="195" t="s">
        <v>173</v>
      </c>
      <c r="H73" s="195" t="s">
        <v>498</v>
      </c>
      <c r="I73" s="195" t="s">
        <v>570</v>
      </c>
      <c r="J73" s="195" t="s">
        <v>571</v>
      </c>
      <c r="K73" s="195" t="s">
        <v>575</v>
      </c>
      <c r="L73" s="195" t="s">
        <v>576</v>
      </c>
      <c r="M73" s="195" t="s">
        <v>178</v>
      </c>
      <c r="N73" s="195" t="s">
        <v>177</v>
      </c>
      <c r="O73" s="202">
        <v>96.948740000000001</v>
      </c>
      <c r="P73" s="202">
        <v>25.30442</v>
      </c>
      <c r="Q73" s="203">
        <v>100</v>
      </c>
      <c r="R73" s="270">
        <v>10</v>
      </c>
      <c r="S73" s="270">
        <v>43</v>
      </c>
      <c r="T73" s="205">
        <f>IF(CampList[[#This Row],[HH]]&gt;0,CampList[[#This Row],[Total]]/CampList[[#This Row],[HH]],"NA")</f>
        <v>4.3</v>
      </c>
      <c r="U73" s="197" t="s">
        <v>464</v>
      </c>
      <c r="V73" s="197" t="s">
        <v>993</v>
      </c>
      <c r="W73" s="197" t="s">
        <v>507</v>
      </c>
      <c r="X73" s="197" t="s">
        <v>742</v>
      </c>
      <c r="Y73" s="308">
        <v>40969</v>
      </c>
      <c r="Z73" s="636" t="s">
        <v>1835</v>
      </c>
      <c r="AA73" s="195" t="s">
        <v>774</v>
      </c>
      <c r="AB73" s="208">
        <v>43593</v>
      </c>
      <c r="AC73" s="209" t="s">
        <v>1983</v>
      </c>
      <c r="AD73" s="197" t="str">
        <f ca="1">IFERROR(OFFSET(DistanceToCamp[Nearest Town],MATCH(CampList[[#This Row],[CP_Pcode]],DistanceToCamp[CP_Pcode],0)-1,0,1,1),"")</f>
        <v>Mogaung Town</v>
      </c>
      <c r="AE73" s="210">
        <f ca="1">IFERROR(OFFSET(DistanceToCamp[distance],MATCH(CampList[[#This Row],[CP_Pcode]],DistanceToCamp[CP_Pcode],0)-1,0,1,1),"")</f>
        <v>0.86042374061342075</v>
      </c>
      <c r="AF73" s="211">
        <f ca="1">IFERROR(INT(CampList[[#This Row],[Distance]]/5)+1,"")</f>
        <v>1</v>
      </c>
    </row>
    <row r="74" spans="2:32" ht="15.75" customHeight="1" x14ac:dyDescent="0.3">
      <c r="B74" s="201" t="s">
        <v>1692</v>
      </c>
      <c r="C74" s="196" t="s">
        <v>378</v>
      </c>
      <c r="D74" s="196" t="s">
        <v>478</v>
      </c>
      <c r="E74" s="196" t="s">
        <v>180</v>
      </c>
      <c r="F74" s="196" t="s">
        <v>479</v>
      </c>
      <c r="G74" s="196" t="s">
        <v>180</v>
      </c>
      <c r="H74" s="196" t="s">
        <v>504</v>
      </c>
      <c r="I74" s="196" t="s">
        <v>958</v>
      </c>
      <c r="J74" s="214" t="s">
        <v>1036</v>
      </c>
      <c r="K74" s="226" t="s">
        <v>1115</v>
      </c>
      <c r="L74" s="226" t="s">
        <v>1116</v>
      </c>
      <c r="M74" s="196" t="s">
        <v>181</v>
      </c>
      <c r="N74" s="196" t="s">
        <v>179</v>
      </c>
      <c r="O74" s="204">
        <v>96.367059999999995</v>
      </c>
      <c r="P74" s="204">
        <v>24.764800000000001</v>
      </c>
      <c r="Q74" s="215"/>
      <c r="R74" s="270">
        <v>11</v>
      </c>
      <c r="S74" s="270">
        <v>68</v>
      </c>
      <c r="T74" s="205">
        <f>IF(CampList[[#This Row],[HH]]&gt;0,CampList[[#This Row],[Total]]/CampList[[#This Row],[HH]],"NA")</f>
        <v>6.1818181818181817</v>
      </c>
      <c r="U74" s="181" t="s">
        <v>464</v>
      </c>
      <c r="V74" s="197" t="s">
        <v>993</v>
      </c>
      <c r="W74" s="181" t="s">
        <v>507</v>
      </c>
      <c r="X74" s="181" t="s">
        <v>742</v>
      </c>
      <c r="Y74" s="309">
        <v>41061</v>
      </c>
      <c r="Z74" s="215" t="s">
        <v>934</v>
      </c>
      <c r="AA74" s="196" t="s">
        <v>774</v>
      </c>
      <c r="AB74" s="208">
        <v>43593</v>
      </c>
      <c r="AC74" s="217" t="s">
        <v>2048</v>
      </c>
      <c r="AD74" s="218" t="str">
        <f ca="1">IFERROR(OFFSET(DistanceToCamp[Nearest Town],MATCH(CampList[[#This Row],[CP_Pcode]],DistanceToCamp[CP_Pcode],0)-1,0,1,1),"")</f>
        <v>Mohnyin Town</v>
      </c>
      <c r="AE74" s="210">
        <f ca="1">IFERROR(OFFSET(DistanceToCamp[distance],MATCH(CampList[[#This Row],[CP_Pcode]],DistanceToCamp[CP_Pcode],0)-1,0,1,1),"")</f>
        <v>1.7021273757523427</v>
      </c>
      <c r="AF74" s="219">
        <f ca="1">IFERROR(INT(CampList[[#This Row],[Distance]]/5)+1,"")</f>
        <v>1</v>
      </c>
    </row>
    <row r="75" spans="2:32" ht="15.75" customHeight="1" x14ac:dyDescent="0.3">
      <c r="B75" s="201" t="s">
        <v>1692</v>
      </c>
      <c r="C75" s="195" t="s">
        <v>378</v>
      </c>
      <c r="D75" s="195" t="s">
        <v>478</v>
      </c>
      <c r="E75" s="195" t="s">
        <v>180</v>
      </c>
      <c r="F75" s="195" t="s">
        <v>479</v>
      </c>
      <c r="G75" s="195" t="s">
        <v>480</v>
      </c>
      <c r="H75" s="195" t="s">
        <v>481</v>
      </c>
      <c r="I75" s="209" t="s">
        <v>543</v>
      </c>
      <c r="J75" s="209" t="s">
        <v>544</v>
      </c>
      <c r="K75" s="209" t="s">
        <v>547</v>
      </c>
      <c r="L75" s="209" t="s">
        <v>548</v>
      </c>
      <c r="M75" s="195" t="s">
        <v>100</v>
      </c>
      <c r="N75" s="195" t="s">
        <v>99</v>
      </c>
      <c r="O75" s="202">
        <v>96.319829999999996</v>
      </c>
      <c r="P75" s="202">
        <v>25.6145</v>
      </c>
      <c r="Q75" s="203">
        <v>65</v>
      </c>
      <c r="R75" s="270">
        <v>3</v>
      </c>
      <c r="S75" s="270">
        <v>15</v>
      </c>
      <c r="T75" s="205">
        <f>IF(CampList[[#This Row],[HH]]&gt;0,CampList[[#This Row],[Total]]/CampList[[#This Row],[HH]],"NA")</f>
        <v>5</v>
      </c>
      <c r="U75" s="197" t="s">
        <v>464</v>
      </c>
      <c r="V75" s="197" t="s">
        <v>993</v>
      </c>
      <c r="W75" s="197" t="s">
        <v>1376</v>
      </c>
      <c r="X75" s="197" t="s">
        <v>742</v>
      </c>
      <c r="Y75" s="308">
        <v>41122</v>
      </c>
      <c r="Z75" s="206" t="s">
        <v>1311</v>
      </c>
      <c r="AA75" s="221" t="s">
        <v>774</v>
      </c>
      <c r="AB75" s="208">
        <v>43143</v>
      </c>
      <c r="AC75" s="201" t="s">
        <v>1747</v>
      </c>
      <c r="AD75" s="197" t="str">
        <f ca="1">IFERROR(OFFSET(DistanceToCamp[Nearest Town],MATCH(CampList[[#This Row],[CP_Pcode]],DistanceToCamp[CP_Pcode],0)-1,0,1,1),"")</f>
        <v>Hpakant Town</v>
      </c>
      <c r="AE75" s="210">
        <f ca="1">IFERROR(OFFSET(DistanceToCamp[distance],MATCH(CampList[[#This Row],[CP_Pcode]],DistanceToCamp[CP_Pcode],0)-1,0,1,1),"")</f>
        <v>0.79577754007276646</v>
      </c>
      <c r="AF75" s="211">
        <f ca="1">IFERROR(INT(CampList[[#This Row],[Distance]]/5)+1,"")</f>
        <v>1</v>
      </c>
    </row>
    <row r="76" spans="2:32" ht="15.75" hidden="1" customHeight="1" x14ac:dyDescent="0.3">
      <c r="B76" s="201" t="s">
        <v>775</v>
      </c>
      <c r="C76" s="195" t="s">
        <v>378</v>
      </c>
      <c r="D76" s="195" t="s">
        <v>478</v>
      </c>
      <c r="E76" s="195" t="s">
        <v>299</v>
      </c>
      <c r="F76" s="195" t="s">
        <v>499</v>
      </c>
      <c r="G76" s="195" t="s">
        <v>144</v>
      </c>
      <c r="H76" s="195" t="s">
        <v>500</v>
      </c>
      <c r="I76" s="209" t="s">
        <v>723</v>
      </c>
      <c r="J76" s="209" t="s">
        <v>724</v>
      </c>
      <c r="K76" s="209" t="s">
        <v>145</v>
      </c>
      <c r="L76" s="209">
        <v>168236</v>
      </c>
      <c r="M76" s="195" t="s">
        <v>145</v>
      </c>
      <c r="N76" s="195" t="s">
        <v>143</v>
      </c>
      <c r="O76" s="202">
        <v>98.144502500000002</v>
      </c>
      <c r="P76" s="202">
        <v>26.890058</v>
      </c>
      <c r="Q76" s="215">
        <v>1393</v>
      </c>
      <c r="R76" s="280"/>
      <c r="S76" s="281"/>
      <c r="T76" s="205" t="str">
        <f>IF(CampList[[#This Row],[HH]]&gt;0,CampList[[#This Row],[Total]]/CampList[[#This Row],[HH]],"NA")</f>
        <v>NA</v>
      </c>
      <c r="U76" s="197" t="s">
        <v>464</v>
      </c>
      <c r="V76" s="197" t="s">
        <v>993</v>
      </c>
      <c r="W76" s="197" t="s">
        <v>507</v>
      </c>
      <c r="X76" s="197" t="s">
        <v>784</v>
      </c>
      <c r="Y76" s="216"/>
      <c r="Z76" s="207"/>
      <c r="AA76" s="221" t="s">
        <v>773</v>
      </c>
      <c r="AB76" s="208">
        <v>42768</v>
      </c>
      <c r="AC76" s="201" t="s">
        <v>1216</v>
      </c>
      <c r="AD76" s="197" t="str">
        <f ca="1">IFERROR(OFFSET(DistanceToCamp[Nearest Town],MATCH(CampList[[#This Row],[CP_Pcode]],DistanceToCamp[CP_Pcode],0)-1,0,1,1),"")</f>
        <v>Khaunglanhpu Town</v>
      </c>
      <c r="AE76" s="210">
        <f ca="1">IFERROR(OFFSET(DistanceToCamp[distance],MATCH(CampList[[#This Row],[CP_Pcode]],DistanceToCamp[CP_Pcode],0)-1,0,1,1),"")</f>
        <v>28.422357500443528</v>
      </c>
      <c r="AF76" s="211">
        <f ca="1">IFERROR(INT(CampList[[#This Row],[Distance]]/5)+1,"")</f>
        <v>6</v>
      </c>
    </row>
    <row r="77" spans="2:32" ht="15.75" customHeight="1" x14ac:dyDescent="0.3">
      <c r="B77" s="201" t="s">
        <v>1692</v>
      </c>
      <c r="C77" s="195" t="s">
        <v>378</v>
      </c>
      <c r="D77" s="195" t="s">
        <v>478</v>
      </c>
      <c r="E77" s="195" t="s">
        <v>180</v>
      </c>
      <c r="F77" s="195" t="s">
        <v>479</v>
      </c>
      <c r="G77" s="195" t="s">
        <v>480</v>
      </c>
      <c r="H77" s="195" t="s">
        <v>481</v>
      </c>
      <c r="I77" s="209" t="s">
        <v>549</v>
      </c>
      <c r="J77" s="209" t="s">
        <v>550</v>
      </c>
      <c r="K77" s="209" t="s">
        <v>549</v>
      </c>
      <c r="L77" s="209">
        <v>166776</v>
      </c>
      <c r="M77" s="195" t="s">
        <v>108</v>
      </c>
      <c r="N77" s="195" t="s">
        <v>107</v>
      </c>
      <c r="O77" s="202">
        <v>96.341352999999998</v>
      </c>
      <c r="P77" s="202">
        <v>25.613894999999999</v>
      </c>
      <c r="Q77" s="203">
        <v>251</v>
      </c>
      <c r="R77" s="270">
        <v>47</v>
      </c>
      <c r="S77" s="270">
        <v>225</v>
      </c>
      <c r="T77" s="205">
        <f>IF(CampList[[#This Row],[HH]]&gt;0,CampList[[#This Row],[Total]]/CampList[[#This Row],[HH]],"NA")</f>
        <v>4.7872340425531918</v>
      </c>
      <c r="U77" s="197" t="s">
        <v>464</v>
      </c>
      <c r="V77" s="197" t="s">
        <v>993</v>
      </c>
      <c r="W77" s="197" t="s">
        <v>507</v>
      </c>
      <c r="X77" s="197" t="s">
        <v>742</v>
      </c>
      <c r="Y77" s="308">
        <v>41487</v>
      </c>
      <c r="Z77" s="636" t="s">
        <v>934</v>
      </c>
      <c r="AA77" s="221" t="s">
        <v>774</v>
      </c>
      <c r="AB77" s="208">
        <v>43593</v>
      </c>
      <c r="AC77" s="201" t="s">
        <v>2049</v>
      </c>
      <c r="AD77" s="197" t="str">
        <f ca="1">IFERROR(OFFSET(DistanceToCamp[Nearest Town],MATCH(CampList[[#This Row],[CP_Pcode]],DistanceToCamp[CP_Pcode],0)-1,0,1,1),"")</f>
        <v>Hpakant Town</v>
      </c>
      <c r="AE77" s="210">
        <f ca="1">IFERROR(OFFSET(DistanceToCamp[distance],MATCH(CampList[[#This Row],[CP_Pcode]],DistanceToCamp[CP_Pcode],0)-1,0,1,1),"")</f>
        <v>2.9334852607184256</v>
      </c>
      <c r="AF77" s="211">
        <f ca="1">IFERROR(INT(CampList[[#This Row],[Distance]]/5)+1,"")</f>
        <v>1</v>
      </c>
    </row>
    <row r="78" spans="2:32" ht="15.75" customHeight="1" x14ac:dyDescent="0.3">
      <c r="B78" s="201" t="s">
        <v>1692</v>
      </c>
      <c r="C78" s="195" t="s">
        <v>378</v>
      </c>
      <c r="D78" s="195" t="s">
        <v>478</v>
      </c>
      <c r="E78" s="195" t="s">
        <v>180</v>
      </c>
      <c r="F78" s="195" t="s">
        <v>479</v>
      </c>
      <c r="G78" s="195" t="s">
        <v>480</v>
      </c>
      <c r="H78" s="195" t="s">
        <v>481</v>
      </c>
      <c r="I78" s="209" t="s">
        <v>549</v>
      </c>
      <c r="J78" s="209" t="s">
        <v>550</v>
      </c>
      <c r="K78" s="195" t="s">
        <v>549</v>
      </c>
      <c r="L78" s="214">
        <v>166776</v>
      </c>
      <c r="M78" s="195" t="s">
        <v>140</v>
      </c>
      <c r="N78" s="195" t="s">
        <v>139</v>
      </c>
      <c r="O78" s="202">
        <v>96.306910999999999</v>
      </c>
      <c r="P78" s="202">
        <v>25.599250000000001</v>
      </c>
      <c r="Q78" s="203">
        <v>0</v>
      </c>
      <c r="R78" s="181">
        <v>16</v>
      </c>
      <c r="S78" s="181">
        <v>69</v>
      </c>
      <c r="T78" s="205">
        <f>IF(CampList[[#This Row],[HH]]&gt;0,CampList[[#This Row],[Total]]/CampList[[#This Row],[HH]],"NA")</f>
        <v>4.3125</v>
      </c>
      <c r="U78" s="197" t="s">
        <v>464</v>
      </c>
      <c r="V78" s="197" t="s">
        <v>993</v>
      </c>
      <c r="W78" s="197" t="s">
        <v>507</v>
      </c>
      <c r="X78" s="197" t="s">
        <v>742</v>
      </c>
      <c r="Y78" s="308">
        <v>41122</v>
      </c>
      <c r="Z78" s="636" t="s">
        <v>1835</v>
      </c>
      <c r="AA78" s="195" t="s">
        <v>774</v>
      </c>
      <c r="AB78" s="208">
        <v>43593</v>
      </c>
      <c r="AC78" s="209" t="s">
        <v>1984</v>
      </c>
      <c r="AD78" s="197" t="str">
        <f ca="1">IFERROR(OFFSET(DistanceToCamp[Nearest Town],MATCH(CampList[[#This Row],[CP_Pcode]],DistanceToCamp[CP_Pcode],0)-1,0,1,1),"")</f>
        <v>Hpakant Town</v>
      </c>
      <c r="AE78" s="210">
        <f ca="1">IFERROR(OFFSET(DistanceToCamp[distance],MATCH(CampList[[#This Row],[CP_Pcode]],DistanceToCamp[CP_Pcode],0)-1,0,1,1),"")</f>
        <v>1.5942018764815451</v>
      </c>
      <c r="AF78" s="211">
        <f ca="1">IFERROR(INT(CampList[[#This Row],[Distance]]/5)+1,"")</f>
        <v>1</v>
      </c>
    </row>
    <row r="79" spans="2:32" ht="15.75" customHeight="1" x14ac:dyDescent="0.3">
      <c r="B79" s="201" t="s">
        <v>1692</v>
      </c>
      <c r="C79" s="195" t="s">
        <v>378</v>
      </c>
      <c r="D79" s="195" t="s">
        <v>478</v>
      </c>
      <c r="E79" s="195" t="s">
        <v>180</v>
      </c>
      <c r="F79" s="195" t="s">
        <v>479</v>
      </c>
      <c r="G79" s="195" t="s">
        <v>480</v>
      </c>
      <c r="H79" s="195" t="s">
        <v>481</v>
      </c>
      <c r="I79" s="209" t="s">
        <v>538</v>
      </c>
      <c r="J79" s="209" t="s">
        <v>539</v>
      </c>
      <c r="K79" s="209" t="s">
        <v>538</v>
      </c>
      <c r="L79" s="209">
        <v>166783</v>
      </c>
      <c r="M79" s="195" t="s">
        <v>72</v>
      </c>
      <c r="N79" s="195" t="s">
        <v>71</v>
      </c>
      <c r="O79" s="202">
        <v>96.283377000000002</v>
      </c>
      <c r="P79" s="202">
        <v>25.582065</v>
      </c>
      <c r="Q79" s="203">
        <v>0</v>
      </c>
      <c r="R79" s="270">
        <v>6</v>
      </c>
      <c r="S79" s="270">
        <v>31</v>
      </c>
      <c r="T79" s="205">
        <f>IF(CampList[[#This Row],[HH]]&gt;0,CampList[[#This Row],[Total]]/CampList[[#This Row],[HH]],"NA")</f>
        <v>5.166666666666667</v>
      </c>
      <c r="U79" s="197" t="s">
        <v>464</v>
      </c>
      <c r="V79" s="197" t="s">
        <v>993</v>
      </c>
      <c r="W79" s="197" t="s">
        <v>1376</v>
      </c>
      <c r="X79" s="181" t="s">
        <v>742</v>
      </c>
      <c r="Y79" s="308">
        <v>41487</v>
      </c>
      <c r="Z79" s="636" t="s">
        <v>1311</v>
      </c>
      <c r="AA79" s="221" t="s">
        <v>774</v>
      </c>
      <c r="AB79" s="208">
        <v>43143</v>
      </c>
      <c r="AC79" s="201" t="s">
        <v>1748</v>
      </c>
      <c r="AD79" s="197" t="str">
        <f ca="1">IFERROR(OFFSET(DistanceToCamp[Nearest Town],MATCH(CampList[[#This Row],[CP_Pcode]],DistanceToCamp[CP_Pcode],0)-1,0,1,1),"")</f>
        <v>Hpakant Town</v>
      </c>
      <c r="AE79" s="210">
        <f ca="1">IFERROR(OFFSET(DistanceToCamp[distance],MATCH(CampList[[#This Row],[CP_Pcode]],DistanceToCamp[CP_Pcode],0)-1,0,1,1),"")</f>
        <v>4.4704963044882238</v>
      </c>
      <c r="AF79" s="211">
        <f ca="1">IFERROR(INT(CampList[[#This Row],[Distance]]/5)+1,"")</f>
        <v>1</v>
      </c>
    </row>
    <row r="80" spans="2:32" ht="15.75" customHeight="1" x14ac:dyDescent="0.3">
      <c r="B80" s="201" t="s">
        <v>1692</v>
      </c>
      <c r="C80" s="196" t="s">
        <v>378</v>
      </c>
      <c r="D80" s="196" t="s">
        <v>478</v>
      </c>
      <c r="E80" s="196" t="s">
        <v>237</v>
      </c>
      <c r="F80" s="196" t="s">
        <v>484</v>
      </c>
      <c r="G80" s="196" t="s">
        <v>309</v>
      </c>
      <c r="H80" s="196" t="s">
        <v>485</v>
      </c>
      <c r="I80" s="196" t="s">
        <v>658</v>
      </c>
      <c r="J80" s="214" t="s">
        <v>709</v>
      </c>
      <c r="K80" s="196" t="s">
        <v>710</v>
      </c>
      <c r="L80" s="196">
        <v>165895</v>
      </c>
      <c r="M80" s="196" t="s">
        <v>333</v>
      </c>
      <c r="N80" s="196" t="s">
        <v>332</v>
      </c>
      <c r="O80" s="204">
        <v>97.915833000000006</v>
      </c>
      <c r="P80" s="204">
        <v>25.220278</v>
      </c>
      <c r="Q80" s="215">
        <v>2404</v>
      </c>
      <c r="R80" s="270">
        <v>117</v>
      </c>
      <c r="S80" s="270">
        <v>421</v>
      </c>
      <c r="T80" s="205">
        <f>IF(CampList[[#This Row],[HH]]&gt;0,CampList[[#This Row],[Total]]/CampList[[#This Row],[HH]],"NA")</f>
        <v>3.5982905982905984</v>
      </c>
      <c r="U80" s="181" t="s">
        <v>466</v>
      </c>
      <c r="V80" s="197" t="s">
        <v>993</v>
      </c>
      <c r="W80" s="181" t="s">
        <v>507</v>
      </c>
      <c r="X80" s="181" t="s">
        <v>785</v>
      </c>
      <c r="Y80" s="309">
        <v>40848</v>
      </c>
      <c r="Z80" s="215" t="s">
        <v>934</v>
      </c>
      <c r="AA80" s="196" t="s">
        <v>774</v>
      </c>
      <c r="AB80" s="208">
        <v>43593</v>
      </c>
      <c r="AC80" s="217" t="s">
        <v>2050</v>
      </c>
      <c r="AD80" s="218" t="str">
        <f ca="1">IFERROR(OFFSET(DistanceToCamp[Nearest Town],MATCH(CampList[[#This Row],[CP_Pcode]],DistanceToCamp[CP_Pcode],0)-1,0,1,1),"")</f>
        <v>Sadung Town</v>
      </c>
      <c r="AE80" s="210">
        <f ca="1">IFERROR(OFFSET(DistanceToCamp[distance],MATCH(CampList[[#This Row],[CP_Pcode]],DistanceToCamp[CP_Pcode],0)-1,0,1,1),"")</f>
        <v>18.198335991626355</v>
      </c>
      <c r="AF80" s="219">
        <f ca="1">IFERROR(INT(CampList[[#This Row],[Distance]]/5)+1,"")</f>
        <v>4</v>
      </c>
    </row>
    <row r="81" spans="2:32" ht="15.75" customHeight="1" x14ac:dyDescent="0.3">
      <c r="B81" s="201" t="s">
        <v>1692</v>
      </c>
      <c r="C81" s="195" t="s">
        <v>378</v>
      </c>
      <c r="D81" s="195" t="s">
        <v>478</v>
      </c>
      <c r="E81" s="195" t="s">
        <v>237</v>
      </c>
      <c r="F81" s="195" t="s">
        <v>484</v>
      </c>
      <c r="G81" s="195" t="s">
        <v>309</v>
      </c>
      <c r="H81" s="195" t="s">
        <v>485</v>
      </c>
      <c r="I81" s="195" t="s">
        <v>710</v>
      </c>
      <c r="J81" s="195" t="s">
        <v>709</v>
      </c>
      <c r="K81" s="213" t="s">
        <v>1095</v>
      </c>
      <c r="L81" s="213"/>
      <c r="M81" s="195" t="s">
        <v>335</v>
      </c>
      <c r="N81" s="195" t="s">
        <v>334</v>
      </c>
      <c r="O81" s="202">
        <v>97.807182999999995</v>
      </c>
      <c r="P81" s="202">
        <v>25.200333000000001</v>
      </c>
      <c r="Q81" s="203">
        <v>1023</v>
      </c>
      <c r="R81" s="270">
        <v>136</v>
      </c>
      <c r="S81" s="270">
        <v>985</v>
      </c>
      <c r="T81" s="205">
        <f>IF(CampList[[#This Row],[HH]]&gt;0,CampList[[#This Row],[Total]]/CampList[[#This Row],[HH]],"NA")</f>
        <v>7.242647058823529</v>
      </c>
      <c r="U81" s="197" t="s">
        <v>466</v>
      </c>
      <c r="V81" s="197" t="s">
        <v>993</v>
      </c>
      <c r="W81" s="197" t="s">
        <v>507</v>
      </c>
      <c r="X81" s="197" t="s">
        <v>784</v>
      </c>
      <c r="Y81" s="308">
        <v>40878</v>
      </c>
      <c r="Z81" s="636" t="s">
        <v>1835</v>
      </c>
      <c r="AA81" s="221" t="s">
        <v>774</v>
      </c>
      <c r="AB81" s="208">
        <v>43593</v>
      </c>
      <c r="AC81" s="201" t="s">
        <v>1985</v>
      </c>
      <c r="AD81" s="197" t="str">
        <f ca="1">IFERROR(OFFSET(DistanceToCamp[Nearest Town],MATCH(CampList[[#This Row],[CP_Pcode]],DistanceToCamp[CP_Pcode],0)-1,0,1,1),"")</f>
        <v>Sadung Town</v>
      </c>
      <c r="AE81" s="210">
        <f ca="1">IFERROR(OFFSET(DistanceToCamp[distance],MATCH(CampList[[#This Row],[CP_Pcode]],DistanceToCamp[CP_Pcode],0)-1,0,1,1),"")</f>
        <v>21.287604662770121</v>
      </c>
      <c r="AF81" s="211">
        <f ca="1">IFERROR(INT(CampList[[#This Row],[Distance]]/5)+1,"")</f>
        <v>5</v>
      </c>
    </row>
    <row r="82" spans="2:32" ht="15.75" hidden="1" customHeight="1" x14ac:dyDescent="0.3">
      <c r="B82" s="201" t="s">
        <v>775</v>
      </c>
      <c r="C82" s="195" t="s">
        <v>378</v>
      </c>
      <c r="D82" s="195" t="s">
        <v>478</v>
      </c>
      <c r="E82" s="195" t="s">
        <v>180</v>
      </c>
      <c r="F82" s="195" t="s">
        <v>479</v>
      </c>
      <c r="G82" s="195" t="s">
        <v>180</v>
      </c>
      <c r="H82" s="195" t="s">
        <v>504</v>
      </c>
      <c r="I82" s="209" t="s">
        <v>556</v>
      </c>
      <c r="J82" s="209" t="s">
        <v>557</v>
      </c>
      <c r="K82" s="209" t="s">
        <v>556</v>
      </c>
      <c r="L82" s="209">
        <v>166591</v>
      </c>
      <c r="M82" s="195" t="s">
        <v>183</v>
      </c>
      <c r="N82" s="195" t="s">
        <v>182</v>
      </c>
      <c r="O82" s="202">
        <v>96.364949999999993</v>
      </c>
      <c r="P82" s="202">
        <v>24.998349999999999</v>
      </c>
      <c r="Q82" s="203">
        <v>0</v>
      </c>
      <c r="R82" s="280">
        <v>0</v>
      </c>
      <c r="S82" s="281">
        <v>0</v>
      </c>
      <c r="T82" s="205" t="str">
        <f>IF(CampList[[#This Row],[HH]]&gt;0,CampList[[#This Row],[Total]]/CampList[[#This Row],[HH]],"NA")</f>
        <v>NA</v>
      </c>
      <c r="U82" s="197" t="s">
        <v>464</v>
      </c>
      <c r="V82" s="197" t="s">
        <v>993</v>
      </c>
      <c r="W82" s="197" t="s">
        <v>507</v>
      </c>
      <c r="X82" s="197" t="s">
        <v>784</v>
      </c>
      <c r="Y82" s="636">
        <v>40969</v>
      </c>
      <c r="Z82" s="636" t="s">
        <v>424</v>
      </c>
      <c r="AA82" s="221" t="s">
        <v>773</v>
      </c>
      <c r="AB82" s="208">
        <v>41837</v>
      </c>
      <c r="AC82" s="201" t="s">
        <v>938</v>
      </c>
      <c r="AD82" s="197" t="str">
        <f ca="1">IFERROR(OFFSET(DistanceToCamp[Nearest Town],MATCH(CampList[[#This Row],[CP_Pcode]],DistanceToCamp[CP_Pcode],0)-1,0,1,1),"")</f>
        <v/>
      </c>
      <c r="AE82" s="210" t="str">
        <f ca="1">IFERROR(OFFSET(DistanceToCamp[distance],MATCH(CampList[[#This Row],[CP_Pcode]],DistanceToCamp[CP_Pcode],0)-1,0,1,1),"")</f>
        <v/>
      </c>
      <c r="AF82" s="211" t="str">
        <f ca="1">IFERROR(INT(CampList[[#This Row],[Distance]]/5)+1,"")</f>
        <v/>
      </c>
    </row>
    <row r="83" spans="2:32" ht="15.75" hidden="1" customHeight="1" x14ac:dyDescent="0.3">
      <c r="B83" s="201" t="s">
        <v>775</v>
      </c>
      <c r="C83" s="195" t="s">
        <v>378</v>
      </c>
      <c r="D83" s="195" t="s">
        <v>478</v>
      </c>
      <c r="E83" s="195" t="s">
        <v>180</v>
      </c>
      <c r="F83" s="195" t="s">
        <v>479</v>
      </c>
      <c r="G83" s="195" t="s">
        <v>480</v>
      </c>
      <c r="H83" s="195" t="s">
        <v>481</v>
      </c>
      <c r="I83" s="209" t="s">
        <v>543</v>
      </c>
      <c r="J83" s="209" t="s">
        <v>544</v>
      </c>
      <c r="K83" s="209" t="s">
        <v>545</v>
      </c>
      <c r="L83" s="209" t="s">
        <v>546</v>
      </c>
      <c r="M83" s="195" t="s">
        <v>110</v>
      </c>
      <c r="N83" s="195" t="s">
        <v>109</v>
      </c>
      <c r="O83" s="202">
        <v>96.312790000000007</v>
      </c>
      <c r="P83" s="202">
        <v>25.611160000000002</v>
      </c>
      <c r="Q83" s="203">
        <v>0</v>
      </c>
      <c r="R83" s="280">
        <v>0</v>
      </c>
      <c r="S83" s="281">
        <v>0</v>
      </c>
      <c r="T83" s="205" t="str">
        <f>IF(CampList[[#This Row],[HH]]&gt;0,CampList[[#This Row],[Total]]/CampList[[#This Row],[HH]],"NA")</f>
        <v>NA</v>
      </c>
      <c r="U83" s="197" t="s">
        <v>464</v>
      </c>
      <c r="V83" s="197" t="s">
        <v>993</v>
      </c>
      <c r="W83" s="197" t="s">
        <v>507</v>
      </c>
      <c r="X83" s="197" t="s">
        <v>742</v>
      </c>
      <c r="Y83" s="636">
        <v>41122</v>
      </c>
      <c r="Z83" s="206" t="s">
        <v>424</v>
      </c>
      <c r="AA83" s="221" t="s">
        <v>774</v>
      </c>
      <c r="AB83" s="208">
        <v>41774</v>
      </c>
      <c r="AC83" s="201" t="s">
        <v>895</v>
      </c>
      <c r="AD83" s="197" t="str">
        <f ca="1">IFERROR(OFFSET(DistanceToCamp[Nearest Town],MATCH(CampList[[#This Row],[CP_Pcode]],DistanceToCamp[CP_Pcode],0)-1,0,1,1),"")</f>
        <v/>
      </c>
      <c r="AE83" s="210" t="str">
        <f ca="1">IFERROR(OFFSET(DistanceToCamp[distance],MATCH(CampList[[#This Row],[CP_Pcode]],DistanceToCamp[CP_Pcode],0)-1,0,1,1),"")</f>
        <v/>
      </c>
      <c r="AF83" s="211" t="str">
        <f ca="1">IFERROR(INT(CampList[[#This Row],[Distance]]/5)+1,"")</f>
        <v/>
      </c>
    </row>
    <row r="84" spans="2:32" ht="15.75" hidden="1" customHeight="1" x14ac:dyDescent="0.3">
      <c r="B84" s="201" t="s">
        <v>775</v>
      </c>
      <c r="C84" s="195" t="s">
        <v>378</v>
      </c>
      <c r="D84" s="195" t="s">
        <v>478</v>
      </c>
      <c r="E84" s="195" t="s">
        <v>180</v>
      </c>
      <c r="F84" s="195" t="s">
        <v>479</v>
      </c>
      <c r="G84" s="195" t="s">
        <v>480</v>
      </c>
      <c r="H84" s="195" t="s">
        <v>481</v>
      </c>
      <c r="I84" s="209" t="s">
        <v>543</v>
      </c>
      <c r="J84" s="209" t="s">
        <v>544</v>
      </c>
      <c r="K84" s="209" t="s">
        <v>545</v>
      </c>
      <c r="L84" s="209" t="s">
        <v>546</v>
      </c>
      <c r="M84" s="195" t="s">
        <v>112</v>
      </c>
      <c r="N84" s="195" t="s">
        <v>111</v>
      </c>
      <c r="O84" s="202">
        <v>96.31326</v>
      </c>
      <c r="P84" s="202">
        <v>25.611899999999999</v>
      </c>
      <c r="Q84" s="215"/>
      <c r="R84" s="280">
        <v>0</v>
      </c>
      <c r="S84" s="281">
        <v>0</v>
      </c>
      <c r="T84" s="205" t="str">
        <f>IF(CampList[[#This Row],[HH]]&gt;0,CampList[[#This Row],[Total]]/CampList[[#This Row],[HH]],"NA")</f>
        <v>NA</v>
      </c>
      <c r="U84" s="197" t="s">
        <v>464</v>
      </c>
      <c r="V84" s="197" t="s">
        <v>993</v>
      </c>
      <c r="W84" s="197" t="s">
        <v>507</v>
      </c>
      <c r="X84" s="197"/>
      <c r="Y84" s="216"/>
      <c r="Z84" s="207"/>
      <c r="AA84" s="221"/>
      <c r="AB84" s="224"/>
      <c r="AC84" s="201" t="s">
        <v>541</v>
      </c>
      <c r="AD84" s="197" t="str">
        <f ca="1">IFERROR(OFFSET(DistanceToCamp[Nearest Town],MATCH(CampList[[#This Row],[CP_Pcode]],DistanceToCamp[CP_Pcode],0)-1,0,1,1),"")</f>
        <v/>
      </c>
      <c r="AE84" s="210" t="str">
        <f ca="1">IFERROR(OFFSET(DistanceToCamp[distance],MATCH(CampList[[#This Row],[CP_Pcode]],DistanceToCamp[CP_Pcode],0)-1,0,1,1),"")</f>
        <v/>
      </c>
      <c r="AF84" s="211" t="str">
        <f ca="1">IFERROR(INT(CampList[[#This Row],[Distance]]/5)+1,"")</f>
        <v/>
      </c>
    </row>
    <row r="85" spans="2:32" ht="15.75" hidden="1" customHeight="1" x14ac:dyDescent="0.3">
      <c r="B85" s="201" t="s">
        <v>775</v>
      </c>
      <c r="C85" s="195" t="s">
        <v>378</v>
      </c>
      <c r="D85" s="195" t="s">
        <v>478</v>
      </c>
      <c r="E85" s="195" t="s">
        <v>180</v>
      </c>
      <c r="F85" s="195" t="s">
        <v>479</v>
      </c>
      <c r="G85" s="195" t="s">
        <v>480</v>
      </c>
      <c r="H85" s="195" t="s">
        <v>481</v>
      </c>
      <c r="I85" s="209" t="s">
        <v>543</v>
      </c>
      <c r="J85" s="209" t="s">
        <v>544</v>
      </c>
      <c r="K85" s="209" t="s">
        <v>547</v>
      </c>
      <c r="L85" s="209" t="s">
        <v>548</v>
      </c>
      <c r="M85" s="195" t="s">
        <v>86</v>
      </c>
      <c r="N85" s="195" t="s">
        <v>85</v>
      </c>
      <c r="O85" s="202"/>
      <c r="P85" s="202"/>
      <c r="Q85" s="215"/>
      <c r="R85" s="280">
        <v>0</v>
      </c>
      <c r="S85" s="281">
        <v>0</v>
      </c>
      <c r="T85" s="205" t="str">
        <f>IF(CampList[[#This Row],[HH]]&gt;0,CampList[[#This Row],[Total]]/CampList[[#This Row],[HH]],"NA")</f>
        <v>NA</v>
      </c>
      <c r="U85" s="197" t="s">
        <v>464</v>
      </c>
      <c r="V85" s="197" t="s">
        <v>993</v>
      </c>
      <c r="W85" s="197" t="s">
        <v>507</v>
      </c>
      <c r="X85" s="197"/>
      <c r="Y85" s="216"/>
      <c r="Z85" s="207"/>
      <c r="AA85" s="221"/>
      <c r="AB85" s="224"/>
      <c r="AC85" s="201" t="s">
        <v>541</v>
      </c>
      <c r="AD85" s="197" t="str">
        <f ca="1">IFERROR(OFFSET(DistanceToCamp[Nearest Town],MATCH(CampList[[#This Row],[CP_Pcode]],DistanceToCamp[CP_Pcode],0)-1,0,1,1),"")</f>
        <v/>
      </c>
      <c r="AE85" s="210" t="str">
        <f ca="1">IFERROR(OFFSET(DistanceToCamp[distance],MATCH(CampList[[#This Row],[CP_Pcode]],DistanceToCamp[CP_Pcode],0)-1,0,1,1),"")</f>
        <v/>
      </c>
      <c r="AF85" s="211" t="str">
        <f ca="1">IFERROR(INT(CampList[[#This Row],[Distance]]/5)+1,"")</f>
        <v/>
      </c>
    </row>
    <row r="86" spans="2:32" ht="15.75" hidden="1" customHeight="1" x14ac:dyDescent="0.3">
      <c r="B86" s="201" t="s">
        <v>775</v>
      </c>
      <c r="C86" s="195" t="s">
        <v>378</v>
      </c>
      <c r="D86" s="195" t="s">
        <v>478</v>
      </c>
      <c r="E86" s="195" t="s">
        <v>180</v>
      </c>
      <c r="F86" s="195" t="s">
        <v>479</v>
      </c>
      <c r="G86" s="195" t="s">
        <v>480</v>
      </c>
      <c r="H86" s="195" t="s">
        <v>481</v>
      </c>
      <c r="I86" s="209" t="s">
        <v>543</v>
      </c>
      <c r="J86" s="209" t="s">
        <v>544</v>
      </c>
      <c r="K86" s="209" t="s">
        <v>547</v>
      </c>
      <c r="L86" s="209" t="s">
        <v>548</v>
      </c>
      <c r="M86" s="195" t="s">
        <v>84</v>
      </c>
      <c r="N86" s="195" t="s">
        <v>83</v>
      </c>
      <c r="O86" s="202">
        <v>96.316210999999996</v>
      </c>
      <c r="P86" s="202">
        <v>25.619221</v>
      </c>
      <c r="Q86" s="215"/>
      <c r="R86" s="280">
        <v>0</v>
      </c>
      <c r="S86" s="281">
        <v>0</v>
      </c>
      <c r="T86" s="205" t="str">
        <f>IF(CampList[[#This Row],[HH]]&gt;0,CampList[[#This Row],[Total]]/CampList[[#This Row],[HH]],"NA")</f>
        <v>NA</v>
      </c>
      <c r="U86" s="197" t="s">
        <v>464</v>
      </c>
      <c r="V86" s="197" t="s">
        <v>993</v>
      </c>
      <c r="W86" s="197" t="s">
        <v>507</v>
      </c>
      <c r="X86" s="197"/>
      <c r="Y86" s="216"/>
      <c r="Z86" s="207"/>
      <c r="AA86" s="221"/>
      <c r="AB86" s="224"/>
      <c r="AC86" s="201" t="s">
        <v>541</v>
      </c>
      <c r="AD86" s="197" t="str">
        <f ca="1">IFERROR(OFFSET(DistanceToCamp[Nearest Town],MATCH(CampList[[#This Row],[CP_Pcode]],DistanceToCamp[CP_Pcode],0)-1,0,1,1),"")</f>
        <v/>
      </c>
      <c r="AE86" s="210" t="str">
        <f ca="1">IFERROR(OFFSET(DistanceToCamp[distance],MATCH(CampList[[#This Row],[CP_Pcode]],DistanceToCamp[CP_Pcode],0)-1,0,1,1),"")</f>
        <v/>
      </c>
      <c r="AF86" s="211" t="str">
        <f ca="1">IFERROR(INT(CampList[[#This Row],[Distance]]/5)+1,"")</f>
        <v/>
      </c>
    </row>
    <row r="87" spans="2:32" ht="15.75" hidden="1" customHeight="1" x14ac:dyDescent="0.3">
      <c r="B87" s="201" t="s">
        <v>775</v>
      </c>
      <c r="C87" s="195" t="s">
        <v>378</v>
      </c>
      <c r="D87" s="195" t="s">
        <v>478</v>
      </c>
      <c r="E87" s="195" t="s">
        <v>180</v>
      </c>
      <c r="F87" s="195" t="s">
        <v>479</v>
      </c>
      <c r="G87" s="195" t="s">
        <v>480</v>
      </c>
      <c r="H87" s="195" t="s">
        <v>481</v>
      </c>
      <c r="I87" s="195"/>
      <c r="J87" s="195"/>
      <c r="K87" s="195"/>
      <c r="L87" s="195"/>
      <c r="M87" s="195" t="s">
        <v>70</v>
      </c>
      <c r="N87" s="195" t="s">
        <v>69</v>
      </c>
      <c r="O87" s="202"/>
      <c r="P87" s="202"/>
      <c r="Q87" s="215"/>
      <c r="R87" s="280"/>
      <c r="S87" s="281"/>
      <c r="T87" s="205" t="str">
        <f>IF(CampList[[#This Row],[HH]]&gt;0,CampList[[#This Row],[Total]]/CampList[[#This Row],[HH]],"NA")</f>
        <v>NA</v>
      </c>
      <c r="U87" s="197" t="s">
        <v>464</v>
      </c>
      <c r="V87" s="197" t="s">
        <v>993</v>
      </c>
      <c r="W87" s="197" t="s">
        <v>507</v>
      </c>
      <c r="X87" s="197"/>
      <c r="Y87" s="216"/>
      <c r="Z87" s="207"/>
      <c r="AA87" s="221"/>
      <c r="AB87" s="224"/>
      <c r="AC87" s="201" t="s">
        <v>541</v>
      </c>
      <c r="AD87" s="197" t="str">
        <f ca="1">IFERROR(OFFSET(DistanceToCamp[Nearest Town],MATCH(CampList[[#This Row],[CP_Pcode]],DistanceToCamp[CP_Pcode],0)-1,0,1,1),"")</f>
        <v/>
      </c>
      <c r="AE87" s="210" t="str">
        <f ca="1">IFERROR(OFFSET(DistanceToCamp[distance],MATCH(CampList[[#This Row],[CP_Pcode]],DistanceToCamp[CP_Pcode],0)-1,0,1,1),"")</f>
        <v/>
      </c>
      <c r="AF87" s="211" t="str">
        <f ca="1">IFERROR(INT(CampList[[#This Row],[Distance]]/5)+1,"")</f>
        <v/>
      </c>
    </row>
    <row r="88" spans="2:32" ht="15.75" hidden="1" customHeight="1" x14ac:dyDescent="0.3">
      <c r="B88" s="201" t="s">
        <v>775</v>
      </c>
      <c r="C88" s="195" t="s">
        <v>378</v>
      </c>
      <c r="D88" s="195" t="s">
        <v>478</v>
      </c>
      <c r="E88" s="195" t="s">
        <v>180</v>
      </c>
      <c r="F88" s="195" t="s">
        <v>479</v>
      </c>
      <c r="G88" s="195" t="s">
        <v>480</v>
      </c>
      <c r="H88" s="195" t="s">
        <v>481</v>
      </c>
      <c r="I88" s="209" t="s">
        <v>543</v>
      </c>
      <c r="J88" s="209" t="s">
        <v>544</v>
      </c>
      <c r="K88" s="209" t="s">
        <v>547</v>
      </c>
      <c r="L88" s="209" t="s">
        <v>548</v>
      </c>
      <c r="M88" s="195" t="s">
        <v>104</v>
      </c>
      <c r="N88" s="195" t="s">
        <v>103</v>
      </c>
      <c r="O88" s="202"/>
      <c r="P88" s="202"/>
      <c r="Q88" s="215"/>
      <c r="R88" s="280">
        <v>0</v>
      </c>
      <c r="S88" s="281">
        <v>0</v>
      </c>
      <c r="T88" s="205" t="str">
        <f>IF(CampList[[#This Row],[HH]]&gt;0,CampList[[#This Row],[Total]]/CampList[[#This Row],[HH]],"NA")</f>
        <v>NA</v>
      </c>
      <c r="U88" s="197" t="s">
        <v>464</v>
      </c>
      <c r="V88" s="197" t="s">
        <v>993</v>
      </c>
      <c r="W88" s="197" t="s">
        <v>507</v>
      </c>
      <c r="X88" s="197"/>
      <c r="Y88" s="216"/>
      <c r="Z88" s="207"/>
      <c r="AA88" s="221"/>
      <c r="AB88" s="224"/>
      <c r="AC88" s="201" t="s">
        <v>541</v>
      </c>
      <c r="AD88" s="197" t="str">
        <f ca="1">IFERROR(OFFSET(DistanceToCamp[Nearest Town],MATCH(CampList[[#This Row],[CP_Pcode]],DistanceToCamp[CP_Pcode],0)-1,0,1,1),"")</f>
        <v/>
      </c>
      <c r="AE88" s="210" t="str">
        <f ca="1">IFERROR(OFFSET(DistanceToCamp[distance],MATCH(CampList[[#This Row],[CP_Pcode]],DistanceToCamp[CP_Pcode],0)-1,0,1,1),"")</f>
        <v/>
      </c>
      <c r="AF88" s="211" t="str">
        <f ca="1">IFERROR(INT(CampList[[#This Row],[Distance]]/5)+1,"")</f>
        <v/>
      </c>
    </row>
    <row r="89" spans="2:32" ht="15.75" hidden="1" customHeight="1" x14ac:dyDescent="0.3">
      <c r="B89" s="201" t="s">
        <v>775</v>
      </c>
      <c r="C89" s="195" t="s">
        <v>378</v>
      </c>
      <c r="D89" s="195" t="s">
        <v>478</v>
      </c>
      <c r="E89" s="195" t="s">
        <v>180</v>
      </c>
      <c r="F89" s="195" t="s">
        <v>479</v>
      </c>
      <c r="G89" s="195" t="s">
        <v>480</v>
      </c>
      <c r="H89" s="195" t="s">
        <v>481</v>
      </c>
      <c r="I89" s="209" t="s">
        <v>543</v>
      </c>
      <c r="J89" s="209" t="s">
        <v>544</v>
      </c>
      <c r="K89" s="209" t="s">
        <v>547</v>
      </c>
      <c r="L89" s="209" t="s">
        <v>548</v>
      </c>
      <c r="M89" s="195" t="s">
        <v>68</v>
      </c>
      <c r="N89" s="195" t="s">
        <v>67</v>
      </c>
      <c r="O89" s="202"/>
      <c r="P89" s="202"/>
      <c r="Q89" s="215"/>
      <c r="R89" s="280">
        <v>0</v>
      </c>
      <c r="S89" s="281">
        <v>0</v>
      </c>
      <c r="T89" s="205" t="str">
        <f>IF(CampList[[#This Row],[HH]]&gt;0,CampList[[#This Row],[Total]]/CampList[[#This Row],[HH]],"NA")</f>
        <v>NA</v>
      </c>
      <c r="U89" s="197" t="s">
        <v>464</v>
      </c>
      <c r="V89" s="197" t="s">
        <v>993</v>
      </c>
      <c r="W89" s="197" t="s">
        <v>507</v>
      </c>
      <c r="X89" s="197"/>
      <c r="Y89" s="216"/>
      <c r="Z89" s="207"/>
      <c r="AA89" s="221"/>
      <c r="AB89" s="224"/>
      <c r="AC89" s="201" t="s">
        <v>541</v>
      </c>
      <c r="AD89" s="197" t="str">
        <f ca="1">IFERROR(OFFSET(DistanceToCamp[Nearest Town],MATCH(CampList[[#This Row],[CP_Pcode]],DistanceToCamp[CP_Pcode],0)-1,0,1,1),"")</f>
        <v/>
      </c>
      <c r="AE89" s="210" t="str">
        <f ca="1">IFERROR(OFFSET(DistanceToCamp[distance],MATCH(CampList[[#This Row],[CP_Pcode]],DistanceToCamp[CP_Pcode],0)-1,0,1,1),"")</f>
        <v/>
      </c>
      <c r="AF89" s="211" t="str">
        <f ca="1">IFERROR(INT(CampList[[#This Row],[Distance]]/5)+1,"")</f>
        <v/>
      </c>
    </row>
    <row r="90" spans="2:32" ht="15.75" customHeight="1" x14ac:dyDescent="0.3">
      <c r="B90" s="201" t="s">
        <v>1692</v>
      </c>
      <c r="C90" s="196" t="s">
        <v>378</v>
      </c>
      <c r="D90" s="196" t="s">
        <v>478</v>
      </c>
      <c r="E90" s="196" t="s">
        <v>237</v>
      </c>
      <c r="F90" s="196" t="s">
        <v>484</v>
      </c>
      <c r="G90" s="196" t="s">
        <v>309</v>
      </c>
      <c r="H90" s="196" t="s">
        <v>485</v>
      </c>
      <c r="I90" s="196" t="s">
        <v>695</v>
      </c>
      <c r="J90" s="214" t="s">
        <v>696</v>
      </c>
      <c r="K90" s="196" t="s">
        <v>697</v>
      </c>
      <c r="L90" s="196">
        <v>165790</v>
      </c>
      <c r="M90" s="196" t="s">
        <v>321</v>
      </c>
      <c r="N90" s="196" t="s">
        <v>320</v>
      </c>
      <c r="O90" s="204">
        <v>97.715230000000005</v>
      </c>
      <c r="P90" s="204">
        <v>24.980250000000002</v>
      </c>
      <c r="Q90" s="215">
        <v>984</v>
      </c>
      <c r="R90" s="270">
        <v>407</v>
      </c>
      <c r="S90" s="270">
        <v>1731</v>
      </c>
      <c r="T90" s="205">
        <f>IF(CampList[[#This Row],[HH]]&gt;0,CampList[[#This Row],[Total]]/CampList[[#This Row],[HH]],"NA")</f>
        <v>4.2530712530712531</v>
      </c>
      <c r="U90" s="181" t="s">
        <v>466</v>
      </c>
      <c r="V90" s="197" t="s">
        <v>993</v>
      </c>
      <c r="W90" s="181" t="s">
        <v>507</v>
      </c>
      <c r="X90" s="181" t="s">
        <v>784</v>
      </c>
      <c r="Y90" s="309">
        <v>40695</v>
      </c>
      <c r="Z90" s="215" t="s">
        <v>934</v>
      </c>
      <c r="AA90" s="196" t="s">
        <v>774</v>
      </c>
      <c r="AB90" s="208">
        <v>43593</v>
      </c>
      <c r="AC90" s="217" t="s">
        <v>2051</v>
      </c>
      <c r="AD90" s="218" t="str">
        <f ca="1">IFERROR(OFFSET(DistanceToCamp[Nearest Town],MATCH(CampList[[#This Row],[CP_Pcode]],DistanceToCamp[CP_Pcode],0)-1,0,1,1),"")</f>
        <v>Laiza town</v>
      </c>
      <c r="AE90" s="210">
        <f ca="1">IFERROR(OFFSET(DistanceToCamp[distance],MATCH(CampList[[#This Row],[CP_Pcode]],DistanceToCamp[CP_Pcode],0)-1,0,1,1),"")</f>
        <v>28.888856599204185</v>
      </c>
      <c r="AF90" s="219">
        <f ca="1">IFERROR(INT(CampList[[#This Row],[Distance]]/5)+1,"")</f>
        <v>6</v>
      </c>
    </row>
    <row r="91" spans="2:32" ht="15.75" hidden="1" customHeight="1" x14ac:dyDescent="0.3">
      <c r="B91" s="201" t="s">
        <v>775</v>
      </c>
      <c r="C91" s="195" t="s">
        <v>378</v>
      </c>
      <c r="D91" s="195" t="s">
        <v>478</v>
      </c>
      <c r="E91" s="195" t="s">
        <v>180</v>
      </c>
      <c r="F91" s="195" t="s">
        <v>479</v>
      </c>
      <c r="G91" s="195" t="s">
        <v>480</v>
      </c>
      <c r="H91" s="195" t="s">
        <v>481</v>
      </c>
      <c r="I91" s="209" t="s">
        <v>543</v>
      </c>
      <c r="J91" s="209" t="s">
        <v>544</v>
      </c>
      <c r="K91" s="209" t="s">
        <v>639</v>
      </c>
      <c r="L91" s="209" t="s">
        <v>640</v>
      </c>
      <c r="M91" s="195" t="s">
        <v>50</v>
      </c>
      <c r="N91" s="195" t="s">
        <v>49</v>
      </c>
      <c r="O91" s="202"/>
      <c r="P91" s="202"/>
      <c r="Q91" s="215"/>
      <c r="R91" s="280"/>
      <c r="S91" s="281"/>
      <c r="T91" s="205" t="str">
        <f>IF(CampList[[#This Row],[HH]]&gt;0,CampList[[#This Row],[Total]]/CampList[[#This Row],[HH]],"NA")</f>
        <v>NA</v>
      </c>
      <c r="U91" s="197" t="s">
        <v>464</v>
      </c>
      <c r="V91" s="197" t="s">
        <v>993</v>
      </c>
      <c r="W91" s="197" t="s">
        <v>507</v>
      </c>
      <c r="X91" s="197"/>
      <c r="Y91" s="216"/>
      <c r="Z91" s="207"/>
      <c r="AA91" s="221"/>
      <c r="AB91" s="224"/>
      <c r="AC91" s="201" t="s">
        <v>541</v>
      </c>
      <c r="AD91" s="197" t="str">
        <f ca="1">IFERROR(OFFSET(DistanceToCamp[Nearest Town],MATCH(CampList[[#This Row],[CP_Pcode]],DistanceToCamp[CP_Pcode],0)-1,0,1,1),"")</f>
        <v/>
      </c>
      <c r="AE91" s="210" t="str">
        <f ca="1">IFERROR(OFFSET(DistanceToCamp[distance],MATCH(CampList[[#This Row],[CP_Pcode]],DistanceToCamp[CP_Pcode],0)-1,0,1,1),"")</f>
        <v/>
      </c>
      <c r="AF91" s="211" t="str">
        <f ca="1">IFERROR(INT(CampList[[#This Row],[Distance]]/5)+1,"")</f>
        <v/>
      </c>
    </row>
    <row r="92" spans="2:32" ht="15.75" hidden="1" customHeight="1" x14ac:dyDescent="0.3">
      <c r="B92" s="201" t="s">
        <v>775</v>
      </c>
      <c r="C92" s="195" t="s">
        <v>378</v>
      </c>
      <c r="D92" s="195" t="s">
        <v>478</v>
      </c>
      <c r="E92" s="195" t="s">
        <v>180</v>
      </c>
      <c r="F92" s="195" t="s">
        <v>479</v>
      </c>
      <c r="G92" s="195" t="s">
        <v>480</v>
      </c>
      <c r="H92" s="195" t="s">
        <v>481</v>
      </c>
      <c r="I92" s="209" t="s">
        <v>543</v>
      </c>
      <c r="J92" s="209" t="s">
        <v>544</v>
      </c>
      <c r="K92" s="209" t="s">
        <v>641</v>
      </c>
      <c r="L92" s="209" t="s">
        <v>642</v>
      </c>
      <c r="M92" s="195" t="s">
        <v>66</v>
      </c>
      <c r="N92" s="195" t="s">
        <v>65</v>
      </c>
      <c r="O92" s="202"/>
      <c r="P92" s="202"/>
      <c r="Q92" s="215"/>
      <c r="R92" s="280">
        <v>0</v>
      </c>
      <c r="S92" s="281">
        <v>0</v>
      </c>
      <c r="T92" s="205" t="str">
        <f>IF(CampList[[#This Row],[HH]]&gt;0,CampList[[#This Row],[Total]]/CampList[[#This Row],[HH]],"NA")</f>
        <v>NA</v>
      </c>
      <c r="U92" s="197" t="s">
        <v>464</v>
      </c>
      <c r="V92" s="197" t="s">
        <v>993</v>
      </c>
      <c r="W92" s="197" t="s">
        <v>507</v>
      </c>
      <c r="X92" s="197"/>
      <c r="Y92" s="216"/>
      <c r="Z92" s="207"/>
      <c r="AA92" s="221"/>
      <c r="AB92" s="224"/>
      <c r="AC92" s="201" t="s">
        <v>541</v>
      </c>
      <c r="AD92" s="197" t="str">
        <f ca="1">IFERROR(OFFSET(DistanceToCamp[Nearest Town],MATCH(CampList[[#This Row],[CP_Pcode]],DistanceToCamp[CP_Pcode],0)-1,0,1,1),"")</f>
        <v/>
      </c>
      <c r="AE92" s="210" t="str">
        <f ca="1">IFERROR(OFFSET(DistanceToCamp[distance],MATCH(CampList[[#This Row],[CP_Pcode]],DistanceToCamp[CP_Pcode],0)-1,0,1,1),"")</f>
        <v/>
      </c>
      <c r="AF92" s="211" t="str">
        <f ca="1">IFERROR(INT(CampList[[#This Row],[Distance]]/5)+1,"")</f>
        <v/>
      </c>
    </row>
    <row r="93" spans="2:32" ht="15.75" hidden="1" customHeight="1" x14ac:dyDescent="0.3">
      <c r="B93" s="201" t="s">
        <v>775</v>
      </c>
      <c r="C93" s="195" t="s">
        <v>378</v>
      </c>
      <c r="D93" s="195" t="s">
        <v>478</v>
      </c>
      <c r="E93" s="195" t="s">
        <v>180</v>
      </c>
      <c r="F93" s="195" t="s">
        <v>479</v>
      </c>
      <c r="G93" s="195" t="s">
        <v>480</v>
      </c>
      <c r="H93" s="195" t="s">
        <v>481</v>
      </c>
      <c r="I93" s="209" t="s">
        <v>543</v>
      </c>
      <c r="J93" s="209" t="s">
        <v>544</v>
      </c>
      <c r="K93" s="209" t="s">
        <v>641</v>
      </c>
      <c r="L93" s="209" t="s">
        <v>642</v>
      </c>
      <c r="M93" s="195" t="s">
        <v>54</v>
      </c>
      <c r="N93" s="195" t="s">
        <v>53</v>
      </c>
      <c r="O93" s="202">
        <v>96.310928000000004</v>
      </c>
      <c r="P93" s="202">
        <v>25.609179999999999</v>
      </c>
      <c r="Q93" s="215"/>
      <c r="R93" s="280">
        <v>0</v>
      </c>
      <c r="S93" s="281">
        <v>0</v>
      </c>
      <c r="T93" s="205" t="str">
        <f>IF(CampList[[#This Row],[HH]]&gt;0,CampList[[#This Row],[Total]]/CampList[[#This Row],[HH]],"NA")</f>
        <v>NA</v>
      </c>
      <c r="U93" s="197" t="s">
        <v>464</v>
      </c>
      <c r="V93" s="197" t="s">
        <v>993</v>
      </c>
      <c r="W93" s="197" t="s">
        <v>507</v>
      </c>
      <c r="X93" s="197"/>
      <c r="Y93" s="216"/>
      <c r="Z93" s="207"/>
      <c r="AA93" s="221"/>
      <c r="AB93" s="224"/>
      <c r="AC93" s="201" t="s">
        <v>541</v>
      </c>
      <c r="AD93" s="197" t="str">
        <f ca="1">IFERROR(OFFSET(DistanceToCamp[Nearest Town],MATCH(CampList[[#This Row],[CP_Pcode]],DistanceToCamp[CP_Pcode],0)-1,0,1,1),"")</f>
        <v/>
      </c>
      <c r="AE93" s="210" t="str">
        <f ca="1">IFERROR(OFFSET(DistanceToCamp[distance],MATCH(CampList[[#This Row],[CP_Pcode]],DistanceToCamp[CP_Pcode],0)-1,0,1,1),"")</f>
        <v/>
      </c>
      <c r="AF93" s="211" t="str">
        <f ca="1">IFERROR(INT(CampList[[#This Row],[Distance]]/5)+1,"")</f>
        <v/>
      </c>
    </row>
    <row r="94" spans="2:32" ht="15.75" hidden="1" customHeight="1" x14ac:dyDescent="0.3">
      <c r="B94" s="201" t="s">
        <v>775</v>
      </c>
      <c r="C94" s="195" t="s">
        <v>378</v>
      </c>
      <c r="D94" s="195" t="s">
        <v>478</v>
      </c>
      <c r="E94" s="195" t="s">
        <v>180</v>
      </c>
      <c r="F94" s="195" t="s">
        <v>479</v>
      </c>
      <c r="G94" s="195" t="s">
        <v>480</v>
      </c>
      <c r="H94" s="195" t="s">
        <v>481</v>
      </c>
      <c r="I94" s="209" t="s">
        <v>543</v>
      </c>
      <c r="J94" s="209" t="s">
        <v>544</v>
      </c>
      <c r="K94" s="209" t="s">
        <v>641</v>
      </c>
      <c r="L94" s="209" t="s">
        <v>642</v>
      </c>
      <c r="M94" s="195" t="s">
        <v>116</v>
      </c>
      <c r="N94" s="195" t="s">
        <v>115</v>
      </c>
      <c r="O94" s="202"/>
      <c r="P94" s="202"/>
      <c r="Q94" s="215"/>
      <c r="R94" s="280">
        <v>0</v>
      </c>
      <c r="S94" s="281">
        <v>0</v>
      </c>
      <c r="T94" s="205" t="str">
        <f>IF(CampList[[#This Row],[HH]]&gt;0,CampList[[#This Row],[Total]]/CampList[[#This Row],[HH]],"NA")</f>
        <v>NA</v>
      </c>
      <c r="U94" s="197" t="s">
        <v>464</v>
      </c>
      <c r="V94" s="197" t="s">
        <v>993</v>
      </c>
      <c r="W94" s="197" t="s">
        <v>507</v>
      </c>
      <c r="X94" s="197"/>
      <c r="Y94" s="216"/>
      <c r="Z94" s="207"/>
      <c r="AA94" s="221"/>
      <c r="AB94" s="224"/>
      <c r="AC94" s="201" t="s">
        <v>541</v>
      </c>
      <c r="AD94" s="197" t="str">
        <f ca="1">IFERROR(OFFSET(DistanceToCamp[Nearest Town],MATCH(CampList[[#This Row],[CP_Pcode]],DistanceToCamp[CP_Pcode],0)-1,0,1,1),"")</f>
        <v/>
      </c>
      <c r="AE94" s="210" t="str">
        <f ca="1">IFERROR(OFFSET(DistanceToCamp[distance],MATCH(CampList[[#This Row],[CP_Pcode]],DistanceToCamp[CP_Pcode],0)-1,0,1,1),"")</f>
        <v/>
      </c>
      <c r="AF94" s="211" t="str">
        <f ca="1">IFERROR(INT(CampList[[#This Row],[Distance]]/5)+1,"")</f>
        <v/>
      </c>
    </row>
    <row r="95" spans="2:32" ht="15.75" hidden="1" customHeight="1" x14ac:dyDescent="0.3">
      <c r="B95" s="201" t="s">
        <v>775</v>
      </c>
      <c r="C95" s="195" t="s">
        <v>378</v>
      </c>
      <c r="D95" s="195" t="s">
        <v>478</v>
      </c>
      <c r="E95" s="195" t="s">
        <v>180</v>
      </c>
      <c r="F95" s="195" t="s">
        <v>479</v>
      </c>
      <c r="G95" s="195" t="s">
        <v>480</v>
      </c>
      <c r="H95" s="195" t="s">
        <v>481</v>
      </c>
      <c r="I95" s="209" t="s">
        <v>543</v>
      </c>
      <c r="J95" s="209" t="s">
        <v>544</v>
      </c>
      <c r="K95" s="209" t="s">
        <v>641</v>
      </c>
      <c r="L95" s="209" t="s">
        <v>642</v>
      </c>
      <c r="M95" s="195" t="s">
        <v>80</v>
      </c>
      <c r="N95" s="195" t="s">
        <v>79</v>
      </c>
      <c r="O95" s="202"/>
      <c r="P95" s="202"/>
      <c r="Q95" s="215"/>
      <c r="R95" s="280">
        <v>0</v>
      </c>
      <c r="S95" s="281">
        <v>0</v>
      </c>
      <c r="T95" s="205" t="str">
        <f>IF(CampList[[#This Row],[HH]]&gt;0,CampList[[#This Row],[Total]]/CampList[[#This Row],[HH]],"NA")</f>
        <v>NA</v>
      </c>
      <c r="U95" s="197" t="s">
        <v>464</v>
      </c>
      <c r="V95" s="197" t="s">
        <v>993</v>
      </c>
      <c r="W95" s="197" t="s">
        <v>507</v>
      </c>
      <c r="X95" s="197"/>
      <c r="Y95" s="216"/>
      <c r="Z95" s="207"/>
      <c r="AA95" s="221"/>
      <c r="AB95" s="224"/>
      <c r="AC95" s="201" t="s">
        <v>541</v>
      </c>
      <c r="AD95" s="197" t="str">
        <f ca="1">IFERROR(OFFSET(DistanceToCamp[Nearest Town],MATCH(CampList[[#This Row],[CP_Pcode]],DistanceToCamp[CP_Pcode],0)-1,0,1,1),"")</f>
        <v/>
      </c>
      <c r="AE95" s="210" t="str">
        <f ca="1">IFERROR(OFFSET(DistanceToCamp[distance],MATCH(CampList[[#This Row],[CP_Pcode]],DistanceToCamp[CP_Pcode],0)-1,0,1,1),"")</f>
        <v/>
      </c>
      <c r="AF95" s="211" t="str">
        <f ca="1">IFERROR(INT(CampList[[#This Row],[Distance]]/5)+1,"")</f>
        <v/>
      </c>
    </row>
    <row r="96" spans="2:32" ht="15.75" hidden="1" customHeight="1" x14ac:dyDescent="0.3">
      <c r="B96" s="201" t="s">
        <v>775</v>
      </c>
      <c r="C96" s="195" t="s">
        <v>378</v>
      </c>
      <c r="D96" s="195" t="s">
        <v>478</v>
      </c>
      <c r="E96" s="195" t="s">
        <v>180</v>
      </c>
      <c r="F96" s="195" t="s">
        <v>479</v>
      </c>
      <c r="G96" s="195" t="s">
        <v>480</v>
      </c>
      <c r="H96" s="195" t="s">
        <v>481</v>
      </c>
      <c r="I96" s="209" t="s">
        <v>543</v>
      </c>
      <c r="J96" s="209" t="s">
        <v>544</v>
      </c>
      <c r="K96" s="209" t="s">
        <v>641</v>
      </c>
      <c r="L96" s="209" t="s">
        <v>642</v>
      </c>
      <c r="M96" s="195" t="s">
        <v>138</v>
      </c>
      <c r="N96" s="195" t="s">
        <v>137</v>
      </c>
      <c r="O96" s="202"/>
      <c r="P96" s="202"/>
      <c r="Q96" s="215"/>
      <c r="R96" s="280">
        <v>0</v>
      </c>
      <c r="S96" s="281">
        <v>0</v>
      </c>
      <c r="T96" s="205" t="str">
        <f>IF(CampList[[#This Row],[HH]]&gt;0,CampList[[#This Row],[Total]]/CampList[[#This Row],[HH]],"NA")</f>
        <v>NA</v>
      </c>
      <c r="U96" s="197" t="s">
        <v>464</v>
      </c>
      <c r="V96" s="197" t="s">
        <v>993</v>
      </c>
      <c r="W96" s="197" t="s">
        <v>507</v>
      </c>
      <c r="X96" s="197"/>
      <c r="Y96" s="216"/>
      <c r="Z96" s="207"/>
      <c r="AA96" s="221"/>
      <c r="AB96" s="224"/>
      <c r="AC96" s="201" t="s">
        <v>541</v>
      </c>
      <c r="AD96" s="197" t="str">
        <f ca="1">IFERROR(OFFSET(DistanceToCamp[Nearest Town],MATCH(CampList[[#This Row],[CP_Pcode]],DistanceToCamp[CP_Pcode],0)-1,0,1,1),"")</f>
        <v/>
      </c>
      <c r="AE96" s="210" t="str">
        <f ca="1">IFERROR(OFFSET(DistanceToCamp[distance],MATCH(CampList[[#This Row],[CP_Pcode]],DistanceToCamp[CP_Pcode],0)-1,0,1,1),"")</f>
        <v/>
      </c>
      <c r="AF96" s="211" t="str">
        <f ca="1">IFERROR(INT(CampList[[#This Row],[Distance]]/5)+1,"")</f>
        <v/>
      </c>
    </row>
    <row r="97" spans="2:32" ht="15.75" hidden="1" customHeight="1" x14ac:dyDescent="0.3">
      <c r="B97" s="201" t="s">
        <v>775</v>
      </c>
      <c r="C97" s="195" t="s">
        <v>378</v>
      </c>
      <c r="D97" s="195" t="s">
        <v>478</v>
      </c>
      <c r="E97" s="195" t="s">
        <v>180</v>
      </c>
      <c r="F97" s="195" t="s">
        <v>479</v>
      </c>
      <c r="G97" s="195" t="s">
        <v>480</v>
      </c>
      <c r="H97" s="195" t="s">
        <v>481</v>
      </c>
      <c r="I97" s="209" t="s">
        <v>543</v>
      </c>
      <c r="J97" s="209" t="s">
        <v>544</v>
      </c>
      <c r="K97" s="209" t="s">
        <v>641</v>
      </c>
      <c r="L97" s="209" t="s">
        <v>642</v>
      </c>
      <c r="M97" s="195" t="s">
        <v>102</v>
      </c>
      <c r="N97" s="195" t="s">
        <v>101</v>
      </c>
      <c r="O97" s="202"/>
      <c r="P97" s="202"/>
      <c r="Q97" s="215"/>
      <c r="R97" s="280">
        <v>0</v>
      </c>
      <c r="S97" s="281">
        <v>0</v>
      </c>
      <c r="T97" s="205" t="str">
        <f>IF(CampList[[#This Row],[HH]]&gt;0,CampList[[#This Row],[Total]]/CampList[[#This Row],[HH]],"NA")</f>
        <v>NA</v>
      </c>
      <c r="U97" s="197" t="s">
        <v>464</v>
      </c>
      <c r="V97" s="197" t="s">
        <v>993</v>
      </c>
      <c r="W97" s="197" t="s">
        <v>507</v>
      </c>
      <c r="X97" s="197"/>
      <c r="Y97" s="216"/>
      <c r="Z97" s="207"/>
      <c r="AA97" s="221"/>
      <c r="AB97" s="224"/>
      <c r="AC97" s="201" t="s">
        <v>541</v>
      </c>
      <c r="AD97" s="197" t="str">
        <f ca="1">IFERROR(OFFSET(DistanceToCamp[Nearest Town],MATCH(CampList[[#This Row],[CP_Pcode]],DistanceToCamp[CP_Pcode],0)-1,0,1,1),"")</f>
        <v/>
      </c>
      <c r="AE97" s="210" t="str">
        <f ca="1">IFERROR(OFFSET(DistanceToCamp[distance],MATCH(CampList[[#This Row],[CP_Pcode]],DistanceToCamp[CP_Pcode],0)-1,0,1,1),"")</f>
        <v/>
      </c>
      <c r="AF97" s="211" t="str">
        <f ca="1">IFERROR(INT(CampList[[#This Row],[Distance]]/5)+1,"")</f>
        <v/>
      </c>
    </row>
    <row r="98" spans="2:32" ht="15.75" hidden="1" customHeight="1" x14ac:dyDescent="0.3">
      <c r="B98" s="201" t="s">
        <v>775</v>
      </c>
      <c r="C98" s="195" t="s">
        <v>378</v>
      </c>
      <c r="D98" s="195" t="s">
        <v>478</v>
      </c>
      <c r="E98" s="195" t="s">
        <v>180</v>
      </c>
      <c r="F98" s="195" t="s">
        <v>479</v>
      </c>
      <c r="G98" s="195" t="s">
        <v>480</v>
      </c>
      <c r="H98" s="195" t="s">
        <v>481</v>
      </c>
      <c r="I98" s="209" t="s">
        <v>543</v>
      </c>
      <c r="J98" s="209" t="s">
        <v>544</v>
      </c>
      <c r="K98" s="209" t="s">
        <v>641</v>
      </c>
      <c r="L98" s="209" t="s">
        <v>642</v>
      </c>
      <c r="M98" s="195" t="s">
        <v>106</v>
      </c>
      <c r="N98" s="195" t="s">
        <v>105</v>
      </c>
      <c r="O98" s="202"/>
      <c r="P98" s="202"/>
      <c r="Q98" s="215"/>
      <c r="R98" s="280">
        <v>0</v>
      </c>
      <c r="S98" s="281">
        <v>0</v>
      </c>
      <c r="T98" s="205" t="str">
        <f>IF(CampList[[#This Row],[HH]]&gt;0,CampList[[#This Row],[Total]]/CampList[[#This Row],[HH]],"NA")</f>
        <v>NA</v>
      </c>
      <c r="U98" s="197" t="s">
        <v>464</v>
      </c>
      <c r="V98" s="197" t="s">
        <v>993</v>
      </c>
      <c r="W98" s="197" t="s">
        <v>507</v>
      </c>
      <c r="X98" s="197"/>
      <c r="Y98" s="216"/>
      <c r="Z98" s="207"/>
      <c r="AA98" s="221"/>
      <c r="AB98" s="224"/>
      <c r="AC98" s="201" t="s">
        <v>541</v>
      </c>
      <c r="AD98" s="197" t="str">
        <f ca="1">IFERROR(OFFSET(DistanceToCamp[Nearest Town],MATCH(CampList[[#This Row],[CP_Pcode]],DistanceToCamp[CP_Pcode],0)-1,0,1,1),"")</f>
        <v/>
      </c>
      <c r="AE98" s="210" t="str">
        <f ca="1">IFERROR(OFFSET(DistanceToCamp[distance],MATCH(CampList[[#This Row],[CP_Pcode]],DistanceToCamp[CP_Pcode],0)-1,0,1,1),"")</f>
        <v/>
      </c>
      <c r="AF98" s="211" t="str">
        <f ca="1">IFERROR(INT(CampList[[#This Row],[Distance]]/5)+1,"")</f>
        <v/>
      </c>
    </row>
    <row r="99" spans="2:32" ht="15.75" hidden="1" customHeight="1" x14ac:dyDescent="0.3">
      <c r="B99" s="201" t="s">
        <v>775</v>
      </c>
      <c r="C99" s="195" t="s">
        <v>378</v>
      </c>
      <c r="D99" s="195" t="s">
        <v>478</v>
      </c>
      <c r="E99" s="195" t="s">
        <v>180</v>
      </c>
      <c r="F99" s="195" t="s">
        <v>479</v>
      </c>
      <c r="G99" s="195" t="s">
        <v>480</v>
      </c>
      <c r="H99" s="195" t="s">
        <v>481</v>
      </c>
      <c r="I99" s="209" t="s">
        <v>543</v>
      </c>
      <c r="J99" s="209" t="s">
        <v>544</v>
      </c>
      <c r="K99" s="209" t="s">
        <v>641</v>
      </c>
      <c r="L99" s="209" t="s">
        <v>642</v>
      </c>
      <c r="M99" s="195" t="s">
        <v>130</v>
      </c>
      <c r="N99" s="195" t="s">
        <v>129</v>
      </c>
      <c r="O99" s="202"/>
      <c r="P99" s="202"/>
      <c r="Q99" s="215"/>
      <c r="R99" s="280">
        <v>0</v>
      </c>
      <c r="S99" s="281">
        <v>0</v>
      </c>
      <c r="T99" s="205" t="str">
        <f>IF(CampList[[#This Row],[HH]]&gt;0,CampList[[#This Row],[Total]]/CampList[[#This Row],[HH]],"NA")</f>
        <v>NA</v>
      </c>
      <c r="U99" s="197" t="s">
        <v>464</v>
      </c>
      <c r="V99" s="197" t="s">
        <v>993</v>
      </c>
      <c r="W99" s="197" t="s">
        <v>507</v>
      </c>
      <c r="X99" s="197"/>
      <c r="Y99" s="216"/>
      <c r="Z99" s="207"/>
      <c r="AA99" s="221"/>
      <c r="AB99" s="224"/>
      <c r="AC99" s="201" t="s">
        <v>541</v>
      </c>
      <c r="AD99" s="197" t="str">
        <f ca="1">IFERROR(OFFSET(DistanceToCamp[Nearest Town],MATCH(CampList[[#This Row],[CP_Pcode]],DistanceToCamp[CP_Pcode],0)-1,0,1,1),"")</f>
        <v/>
      </c>
      <c r="AE99" s="210" t="str">
        <f ca="1">IFERROR(OFFSET(DistanceToCamp[distance],MATCH(CampList[[#This Row],[CP_Pcode]],DistanceToCamp[CP_Pcode],0)-1,0,1,1),"")</f>
        <v/>
      </c>
      <c r="AF99" s="211" t="str">
        <f ca="1">IFERROR(INT(CampList[[#This Row],[Distance]]/5)+1,"")</f>
        <v/>
      </c>
    </row>
    <row r="100" spans="2:32" ht="15.75" hidden="1" customHeight="1" x14ac:dyDescent="0.3">
      <c r="B100" s="201" t="s">
        <v>775</v>
      </c>
      <c r="C100" s="195" t="s">
        <v>378</v>
      </c>
      <c r="D100" s="195" t="s">
        <v>478</v>
      </c>
      <c r="E100" s="195" t="s">
        <v>180</v>
      </c>
      <c r="F100" s="195" t="s">
        <v>479</v>
      </c>
      <c r="G100" s="195" t="s">
        <v>480</v>
      </c>
      <c r="H100" s="195" t="s">
        <v>481</v>
      </c>
      <c r="I100" s="209" t="s">
        <v>543</v>
      </c>
      <c r="J100" s="209" t="s">
        <v>544</v>
      </c>
      <c r="K100" s="209" t="s">
        <v>643</v>
      </c>
      <c r="L100" s="209" t="s">
        <v>644</v>
      </c>
      <c r="M100" s="195" t="s">
        <v>134</v>
      </c>
      <c r="N100" s="195" t="s">
        <v>133</v>
      </c>
      <c r="O100" s="202"/>
      <c r="P100" s="202"/>
      <c r="Q100" s="215"/>
      <c r="R100" s="280"/>
      <c r="S100" s="281"/>
      <c r="T100" s="205" t="str">
        <f>IF(CampList[[#This Row],[HH]]&gt;0,CampList[[#This Row],[Total]]/CampList[[#This Row],[HH]],"NA")</f>
        <v>NA</v>
      </c>
      <c r="U100" s="197" t="s">
        <v>464</v>
      </c>
      <c r="V100" s="197" t="s">
        <v>993</v>
      </c>
      <c r="W100" s="197" t="s">
        <v>507</v>
      </c>
      <c r="X100" s="197"/>
      <c r="Y100" s="216"/>
      <c r="Z100" s="207"/>
      <c r="AA100" s="221"/>
      <c r="AB100" s="224"/>
      <c r="AC100" s="201" t="s">
        <v>541</v>
      </c>
      <c r="AD100" s="197" t="str">
        <f ca="1">IFERROR(OFFSET(DistanceToCamp[Nearest Town],MATCH(CampList[[#This Row],[CP_Pcode]],DistanceToCamp[CP_Pcode],0)-1,0,1,1),"")</f>
        <v/>
      </c>
      <c r="AE100" s="210" t="str">
        <f ca="1">IFERROR(OFFSET(DistanceToCamp[distance],MATCH(CampList[[#This Row],[CP_Pcode]],DistanceToCamp[CP_Pcode],0)-1,0,1,1),"")</f>
        <v/>
      </c>
      <c r="AF100" s="211" t="str">
        <f ca="1">IFERROR(INT(CampList[[#This Row],[Distance]]/5)+1,"")</f>
        <v/>
      </c>
    </row>
    <row r="101" spans="2:32" ht="15.75" hidden="1" customHeight="1" x14ac:dyDescent="0.3">
      <c r="B101" s="201" t="s">
        <v>775</v>
      </c>
      <c r="C101" s="195" t="s">
        <v>378</v>
      </c>
      <c r="D101" s="195" t="s">
        <v>478</v>
      </c>
      <c r="E101" s="195" t="s">
        <v>180</v>
      </c>
      <c r="F101" s="195" t="s">
        <v>479</v>
      </c>
      <c r="G101" s="195" t="s">
        <v>480</v>
      </c>
      <c r="H101" s="195" t="s">
        <v>481</v>
      </c>
      <c r="I101" s="209" t="s">
        <v>543</v>
      </c>
      <c r="J101" s="209" t="s">
        <v>544</v>
      </c>
      <c r="K101" s="209" t="s">
        <v>643</v>
      </c>
      <c r="L101" s="209" t="s">
        <v>644</v>
      </c>
      <c r="M101" s="195" t="s">
        <v>114</v>
      </c>
      <c r="N101" s="195" t="s">
        <v>113</v>
      </c>
      <c r="O101" s="202"/>
      <c r="P101" s="202"/>
      <c r="Q101" s="215"/>
      <c r="R101" s="280">
        <v>0</v>
      </c>
      <c r="S101" s="281">
        <v>0</v>
      </c>
      <c r="T101" s="205" t="str">
        <f>IF(CampList[[#This Row],[HH]]&gt;0,CampList[[#This Row],[Total]]/CampList[[#This Row],[HH]],"NA")</f>
        <v>NA</v>
      </c>
      <c r="U101" s="197" t="s">
        <v>464</v>
      </c>
      <c r="V101" s="197" t="s">
        <v>993</v>
      </c>
      <c r="W101" s="197" t="s">
        <v>507</v>
      </c>
      <c r="X101" s="197"/>
      <c r="Y101" s="216"/>
      <c r="Z101" s="207"/>
      <c r="AA101" s="221"/>
      <c r="AB101" s="224"/>
      <c r="AC101" s="201" t="s">
        <v>541</v>
      </c>
      <c r="AD101" s="197" t="str">
        <f ca="1">IFERROR(OFFSET(DistanceToCamp[Nearest Town],MATCH(CampList[[#This Row],[CP_Pcode]],DistanceToCamp[CP_Pcode],0)-1,0,1,1),"")</f>
        <v/>
      </c>
      <c r="AE101" s="210" t="str">
        <f ca="1">IFERROR(OFFSET(DistanceToCamp[distance],MATCH(CampList[[#This Row],[CP_Pcode]],DistanceToCamp[CP_Pcode],0)-1,0,1,1),"")</f>
        <v/>
      </c>
      <c r="AF101" s="211" t="str">
        <f ca="1">IFERROR(INT(CampList[[#This Row],[Distance]]/5)+1,"")</f>
        <v/>
      </c>
    </row>
    <row r="102" spans="2:32" ht="15.75" customHeight="1" x14ac:dyDescent="0.3">
      <c r="B102" s="201" t="s">
        <v>1692</v>
      </c>
      <c r="C102" s="195" t="s">
        <v>378</v>
      </c>
      <c r="D102" s="195" t="s">
        <v>478</v>
      </c>
      <c r="E102" s="195" t="s">
        <v>237</v>
      </c>
      <c r="F102" s="195" t="s">
        <v>484</v>
      </c>
      <c r="G102" s="195" t="s">
        <v>309</v>
      </c>
      <c r="H102" s="195" t="s">
        <v>485</v>
      </c>
      <c r="I102" s="195" t="s">
        <v>695</v>
      </c>
      <c r="J102" s="195" t="s">
        <v>696</v>
      </c>
      <c r="K102" s="212" t="s">
        <v>1118</v>
      </c>
      <c r="L102" s="212">
        <v>165792</v>
      </c>
      <c r="M102" s="195" t="s">
        <v>1028</v>
      </c>
      <c r="N102" s="195" t="s">
        <v>343</v>
      </c>
      <c r="O102" s="202">
        <v>97.751389000000003</v>
      </c>
      <c r="P102" s="202">
        <v>24.831944</v>
      </c>
      <c r="Q102" s="203">
        <v>2330</v>
      </c>
      <c r="R102" s="270">
        <v>185</v>
      </c>
      <c r="S102" s="270">
        <v>943</v>
      </c>
      <c r="T102" s="205">
        <f>IF(CampList[[#This Row],[HH]]&gt;0,CampList[[#This Row],[Total]]/CampList[[#This Row],[HH]],"NA")</f>
        <v>5.0972972972972972</v>
      </c>
      <c r="U102" s="197" t="s">
        <v>466</v>
      </c>
      <c r="V102" s="197" t="s">
        <v>993</v>
      </c>
      <c r="W102" s="197" t="s">
        <v>507</v>
      </c>
      <c r="X102" s="197" t="s">
        <v>784</v>
      </c>
      <c r="Y102" s="308">
        <v>40725</v>
      </c>
      <c r="Z102" s="636" t="s">
        <v>1835</v>
      </c>
      <c r="AA102" s="195" t="s">
        <v>774</v>
      </c>
      <c r="AB102" s="208">
        <v>43593</v>
      </c>
      <c r="AC102" s="209" t="s">
        <v>1986</v>
      </c>
      <c r="AD102" s="197" t="str">
        <f ca="1">IFERROR(OFFSET(DistanceToCamp[Nearest Town],MATCH(CampList[[#This Row],[CP_Pcode]],DistanceToCamp[CP_Pcode],0)-1,0,1,1),"")</f>
        <v>Laiza town</v>
      </c>
      <c r="AE102" s="210">
        <f ca="1">IFERROR(OFFSET(DistanceToCamp[distance],MATCH(CampList[[#This Row],[CP_Pcode]],DistanceToCamp[CP_Pcode],0)-1,0,1,1),"")</f>
        <v>20.599512012485512</v>
      </c>
      <c r="AF102" s="211">
        <f ca="1">IFERROR(INT(CampList[[#This Row],[Distance]]/5)+1,"")</f>
        <v>5</v>
      </c>
    </row>
    <row r="103" spans="2:32" ht="15.75" hidden="1" customHeight="1" x14ac:dyDescent="0.3">
      <c r="B103" s="201" t="s">
        <v>775</v>
      </c>
      <c r="C103" s="195" t="s">
        <v>378</v>
      </c>
      <c r="D103" s="195" t="s">
        <v>478</v>
      </c>
      <c r="E103" s="195" t="s">
        <v>180</v>
      </c>
      <c r="F103" s="195" t="s">
        <v>479</v>
      </c>
      <c r="G103" s="195" t="s">
        <v>480</v>
      </c>
      <c r="H103" s="195" t="s">
        <v>481</v>
      </c>
      <c r="I103" s="195"/>
      <c r="J103" s="195"/>
      <c r="K103" s="195"/>
      <c r="L103" s="195"/>
      <c r="M103" s="195" t="s">
        <v>96</v>
      </c>
      <c r="N103" s="195" t="s">
        <v>95</v>
      </c>
      <c r="O103" s="202"/>
      <c r="P103" s="202"/>
      <c r="Q103" s="215"/>
      <c r="R103" s="280">
        <v>0</v>
      </c>
      <c r="S103" s="281">
        <v>0</v>
      </c>
      <c r="T103" s="205" t="str">
        <f>IF(CampList[[#This Row],[HH]]&gt;0,CampList[[#This Row],[Total]]/CampList[[#This Row],[HH]],"NA")</f>
        <v>NA</v>
      </c>
      <c r="U103" s="197" t="s">
        <v>464</v>
      </c>
      <c r="V103" s="197" t="s">
        <v>993</v>
      </c>
      <c r="W103" s="197" t="s">
        <v>507</v>
      </c>
      <c r="X103" s="197"/>
      <c r="Y103" s="216"/>
      <c r="Z103" s="207"/>
      <c r="AA103" s="299"/>
      <c r="AB103" s="224"/>
      <c r="AC103" s="201" t="s">
        <v>541</v>
      </c>
      <c r="AD103" s="197" t="str">
        <f ca="1">IFERROR(OFFSET(DistanceToCamp[Nearest Town],MATCH(CampList[[#This Row],[CP_Pcode]],DistanceToCamp[CP_Pcode],0)-1,0,1,1),"")</f>
        <v/>
      </c>
      <c r="AE103" s="210" t="str">
        <f ca="1">IFERROR(OFFSET(DistanceToCamp[distance],MATCH(CampList[[#This Row],[CP_Pcode]],DistanceToCamp[CP_Pcode],0)-1,0,1,1),"")</f>
        <v/>
      </c>
      <c r="AF103" s="211" t="str">
        <f ca="1">IFERROR(INT(CampList[[#This Row],[Distance]]/5)+1,"")</f>
        <v/>
      </c>
    </row>
    <row r="104" spans="2:32" ht="15.75" customHeight="1" x14ac:dyDescent="0.3">
      <c r="B104" s="201" t="s">
        <v>1692</v>
      </c>
      <c r="C104" s="196" t="s">
        <v>378</v>
      </c>
      <c r="D104" s="196" t="s">
        <v>478</v>
      </c>
      <c r="E104" s="196" t="s">
        <v>5</v>
      </c>
      <c r="F104" s="196" t="s">
        <v>482</v>
      </c>
      <c r="G104" s="196" t="s">
        <v>185</v>
      </c>
      <c r="H104" s="196" t="s">
        <v>486</v>
      </c>
      <c r="I104" s="196" t="s">
        <v>674</v>
      </c>
      <c r="J104" s="214" t="s">
        <v>675</v>
      </c>
      <c r="K104" s="196" t="s">
        <v>676</v>
      </c>
      <c r="L104" s="196">
        <v>167223</v>
      </c>
      <c r="M104" s="196" t="s">
        <v>196</v>
      </c>
      <c r="N104" s="196" t="s">
        <v>195</v>
      </c>
      <c r="O104" s="204">
        <v>97.568331999999998</v>
      </c>
      <c r="P104" s="204">
        <v>24.688338999999999</v>
      </c>
      <c r="Q104" s="215">
        <v>314</v>
      </c>
      <c r="R104" s="280">
        <v>1527</v>
      </c>
      <c r="S104" s="281">
        <v>8721</v>
      </c>
      <c r="T104" s="205">
        <f>IF(CampList[[#This Row],[HH]]&gt;0,CampList[[#This Row],[Total]]/CampList[[#This Row],[HH]],"NA")</f>
        <v>5.711198428290766</v>
      </c>
      <c r="U104" s="181" t="s">
        <v>466</v>
      </c>
      <c r="V104" s="197" t="s">
        <v>993</v>
      </c>
      <c r="W104" s="181" t="s">
        <v>507</v>
      </c>
      <c r="X104" s="181" t="s">
        <v>784</v>
      </c>
      <c r="Y104" s="309">
        <v>41061</v>
      </c>
      <c r="Z104" s="215" t="s">
        <v>934</v>
      </c>
      <c r="AA104" s="196" t="s">
        <v>774</v>
      </c>
      <c r="AB104" s="208">
        <v>43593</v>
      </c>
      <c r="AC104" s="217" t="s">
        <v>2052</v>
      </c>
      <c r="AD104" s="218" t="str">
        <f ca="1">IFERROR(OFFSET(DistanceToCamp[Nearest Town],MATCH(CampList[[#This Row],[CP_Pcode]],DistanceToCamp[CP_Pcode],0)-1,0,1,1),"")</f>
        <v>Laiza town</v>
      </c>
      <c r="AE104" s="210">
        <f ca="1">IFERROR(OFFSET(DistanceToCamp[distance],MATCH(CampList[[#This Row],[CP_Pcode]],DistanceToCamp[CP_Pcode],0)-1,0,1,1),"")</f>
        <v>7.985347533011188</v>
      </c>
      <c r="AF104" s="219">
        <f ca="1">IFERROR(INT(CampList[[#This Row],[Distance]]/5)+1,"")</f>
        <v>2</v>
      </c>
    </row>
    <row r="105" spans="2:32" ht="15.75" hidden="1" customHeight="1" x14ac:dyDescent="0.3">
      <c r="B105" s="201" t="s">
        <v>775</v>
      </c>
      <c r="C105" s="195" t="s">
        <v>378</v>
      </c>
      <c r="D105" s="195" t="s">
        <v>478</v>
      </c>
      <c r="E105" s="195" t="s">
        <v>180</v>
      </c>
      <c r="F105" s="195" t="s">
        <v>479</v>
      </c>
      <c r="G105" s="195" t="s">
        <v>480</v>
      </c>
      <c r="H105" s="195" t="s">
        <v>481</v>
      </c>
      <c r="I105" s="195"/>
      <c r="J105" s="195"/>
      <c r="K105" s="195"/>
      <c r="L105" s="195"/>
      <c r="M105" s="195" t="s">
        <v>136</v>
      </c>
      <c r="N105" s="195" t="s">
        <v>135</v>
      </c>
      <c r="O105" s="202">
        <v>96.343350000000001</v>
      </c>
      <c r="P105" s="202">
        <v>25.6447</v>
      </c>
      <c r="Q105" s="215"/>
      <c r="R105" s="270">
        <v>0</v>
      </c>
      <c r="S105" s="270">
        <v>0</v>
      </c>
      <c r="T105" s="205" t="str">
        <f>IF(CampList[[#This Row],[HH]]&gt;0,CampList[[#This Row],[Total]]/CampList[[#This Row],[HH]],"NA")</f>
        <v>NA</v>
      </c>
      <c r="U105" s="197" t="s">
        <v>464</v>
      </c>
      <c r="V105" s="197" t="s">
        <v>993</v>
      </c>
      <c r="W105" s="197" t="s">
        <v>507</v>
      </c>
      <c r="X105" s="197"/>
      <c r="Y105" s="216"/>
      <c r="Z105" s="207"/>
      <c r="AA105" s="299"/>
      <c r="AB105" s="224"/>
      <c r="AC105" s="201" t="s">
        <v>541</v>
      </c>
      <c r="AD105" s="197" t="str">
        <f ca="1">IFERROR(OFFSET(DistanceToCamp[Nearest Town],MATCH(CampList[[#This Row],[CP_Pcode]],DistanceToCamp[CP_Pcode],0)-1,0,1,1),"")</f>
        <v/>
      </c>
      <c r="AE105" s="210" t="str">
        <f ca="1">IFERROR(OFFSET(DistanceToCamp[distance],MATCH(CampList[[#This Row],[CP_Pcode]],DistanceToCamp[CP_Pcode],0)-1,0,1,1),"")</f>
        <v/>
      </c>
      <c r="AF105" s="211" t="str">
        <f ca="1">IFERROR(INT(CampList[[#This Row],[Distance]]/5)+1,"")</f>
        <v/>
      </c>
    </row>
    <row r="106" spans="2:32" ht="15.75" hidden="1" customHeight="1" x14ac:dyDescent="0.3">
      <c r="B106" s="201" t="s">
        <v>775</v>
      </c>
      <c r="C106" s="195" t="s">
        <v>378</v>
      </c>
      <c r="D106" s="195" t="s">
        <v>478</v>
      </c>
      <c r="E106" s="195" t="s">
        <v>180</v>
      </c>
      <c r="F106" s="195" t="s">
        <v>479</v>
      </c>
      <c r="G106" s="195" t="s">
        <v>480</v>
      </c>
      <c r="H106" s="195" t="s">
        <v>481</v>
      </c>
      <c r="I106" s="209" t="s">
        <v>538</v>
      </c>
      <c r="J106" s="209" t="s">
        <v>539</v>
      </c>
      <c r="K106" s="209" t="s">
        <v>648</v>
      </c>
      <c r="L106" s="209">
        <v>166790</v>
      </c>
      <c r="M106" s="195" t="s">
        <v>94</v>
      </c>
      <c r="N106" s="195" t="s">
        <v>93</v>
      </c>
      <c r="O106" s="202"/>
      <c r="P106" s="202"/>
      <c r="Q106" s="215"/>
      <c r="R106" s="270">
        <v>0</v>
      </c>
      <c r="S106" s="270">
        <v>0</v>
      </c>
      <c r="T106" s="205" t="str">
        <f>IF(CampList[[#This Row],[HH]]&gt;0,CampList[[#This Row],[Total]]/CampList[[#This Row],[HH]],"NA")</f>
        <v>NA</v>
      </c>
      <c r="U106" s="197" t="s">
        <v>464</v>
      </c>
      <c r="V106" s="197" t="s">
        <v>993</v>
      </c>
      <c r="W106" s="197" t="s">
        <v>507</v>
      </c>
      <c r="X106" s="197"/>
      <c r="Y106" s="216"/>
      <c r="Z106" s="207"/>
      <c r="AA106" s="299"/>
      <c r="AB106" s="224"/>
      <c r="AC106" s="201" t="s">
        <v>541</v>
      </c>
      <c r="AD106" s="197" t="str">
        <f ca="1">IFERROR(OFFSET(DistanceToCamp[Nearest Town],MATCH(CampList[[#This Row],[CP_Pcode]],DistanceToCamp[CP_Pcode],0)-1,0,1,1),"")</f>
        <v/>
      </c>
      <c r="AE106" s="210" t="str">
        <f ca="1">IFERROR(OFFSET(DistanceToCamp[distance],MATCH(CampList[[#This Row],[CP_Pcode]],DistanceToCamp[CP_Pcode],0)-1,0,1,1),"")</f>
        <v/>
      </c>
      <c r="AF106" s="211" t="str">
        <f ca="1">IFERROR(INT(CampList[[#This Row],[Distance]]/5)+1,"")</f>
        <v/>
      </c>
    </row>
    <row r="107" spans="2:32" ht="15.75" hidden="1" customHeight="1" x14ac:dyDescent="0.3">
      <c r="B107" s="201" t="s">
        <v>775</v>
      </c>
      <c r="C107" s="195" t="s">
        <v>378</v>
      </c>
      <c r="D107" s="195" t="s">
        <v>478</v>
      </c>
      <c r="E107" s="195" t="s">
        <v>180</v>
      </c>
      <c r="F107" s="195" t="s">
        <v>479</v>
      </c>
      <c r="G107" s="195" t="s">
        <v>480</v>
      </c>
      <c r="H107" s="195" t="s">
        <v>481</v>
      </c>
      <c r="I107" s="195"/>
      <c r="J107" s="195"/>
      <c r="K107" s="195"/>
      <c r="L107" s="195"/>
      <c r="M107" s="195" t="s">
        <v>122</v>
      </c>
      <c r="N107" s="195" t="s">
        <v>121</v>
      </c>
      <c r="O107" s="202"/>
      <c r="P107" s="202"/>
      <c r="Q107" s="215"/>
      <c r="R107" s="270">
        <v>0</v>
      </c>
      <c r="S107" s="270">
        <v>0</v>
      </c>
      <c r="T107" s="205" t="str">
        <f>IF(CampList[[#This Row],[HH]]&gt;0,CampList[[#This Row],[Total]]/CampList[[#This Row],[HH]],"NA")</f>
        <v>NA</v>
      </c>
      <c r="U107" s="197" t="s">
        <v>464</v>
      </c>
      <c r="V107" s="197" t="s">
        <v>993</v>
      </c>
      <c r="W107" s="197" t="s">
        <v>507</v>
      </c>
      <c r="X107" s="197"/>
      <c r="Y107" s="216"/>
      <c r="Z107" s="207"/>
      <c r="AA107" s="299"/>
      <c r="AB107" s="224"/>
      <c r="AC107" s="201"/>
      <c r="AD107" s="197" t="str">
        <f ca="1">IFERROR(OFFSET(DistanceToCamp[Nearest Town],MATCH(CampList[[#This Row],[CP_Pcode]],DistanceToCamp[CP_Pcode],0)-1,0,1,1),"")</f>
        <v/>
      </c>
      <c r="AE107" s="210" t="str">
        <f ca="1">IFERROR(OFFSET(DistanceToCamp[distance],MATCH(CampList[[#This Row],[CP_Pcode]],DistanceToCamp[CP_Pcode],0)-1,0,1,1),"")</f>
        <v/>
      </c>
      <c r="AF107" s="211" t="str">
        <f ca="1">IFERROR(INT(CampList[[#This Row],[Distance]]/5)+1,"")</f>
        <v/>
      </c>
    </row>
    <row r="108" spans="2:32" ht="15.75" customHeight="1" x14ac:dyDescent="0.3">
      <c r="B108" s="201" t="s">
        <v>1692</v>
      </c>
      <c r="C108" s="196" t="s">
        <v>378</v>
      </c>
      <c r="D108" s="196" t="s">
        <v>478</v>
      </c>
      <c r="E108" s="196" t="s">
        <v>5</v>
      </c>
      <c r="F108" s="196" t="s">
        <v>482</v>
      </c>
      <c r="G108" s="196" t="s">
        <v>185</v>
      </c>
      <c r="H108" s="196" t="s">
        <v>486</v>
      </c>
      <c r="I108" s="196" t="s">
        <v>674</v>
      </c>
      <c r="J108" s="214" t="s">
        <v>675</v>
      </c>
      <c r="K108" s="196" t="s">
        <v>676</v>
      </c>
      <c r="L108" s="196">
        <v>167223</v>
      </c>
      <c r="M108" s="196" t="s">
        <v>194</v>
      </c>
      <c r="N108" s="196" t="s">
        <v>193</v>
      </c>
      <c r="O108" s="204">
        <v>97.573126000000002</v>
      </c>
      <c r="P108" s="204">
        <v>24.661905999999998</v>
      </c>
      <c r="Q108" s="215">
        <v>415</v>
      </c>
      <c r="R108" s="270">
        <v>717</v>
      </c>
      <c r="S108" s="288">
        <v>3658</v>
      </c>
      <c r="T108" s="205">
        <f>IF(CampList[[#This Row],[HH]]&gt;0,CampList[[#This Row],[Total]]/CampList[[#This Row],[HH]],"NA")</f>
        <v>5.1018131101813111</v>
      </c>
      <c r="U108" s="181" t="s">
        <v>466</v>
      </c>
      <c r="V108" s="197" t="s">
        <v>993</v>
      </c>
      <c r="W108" s="181" t="s">
        <v>507</v>
      </c>
      <c r="X108" s="181" t="s">
        <v>784</v>
      </c>
      <c r="Y108" s="309">
        <v>40695</v>
      </c>
      <c r="Z108" s="215" t="s">
        <v>934</v>
      </c>
      <c r="AA108" s="196" t="s">
        <v>774</v>
      </c>
      <c r="AB108" s="208">
        <v>43593</v>
      </c>
      <c r="AC108" s="217" t="s">
        <v>2053</v>
      </c>
      <c r="AD108" s="218" t="str">
        <f ca="1">IFERROR(OFFSET(DistanceToCamp[Nearest Town],MATCH(CampList[[#This Row],[CP_Pcode]],DistanceToCamp[CP_Pcode],0)-1,0,1,1),"")</f>
        <v>Laiza town</v>
      </c>
      <c r="AE108" s="210">
        <f ca="1">IFERROR(OFFSET(DistanceToCamp[distance],MATCH(CampList[[#This Row],[CP_Pcode]],DistanceToCamp[CP_Pcode],0)-1,0,1,1),"")</f>
        <v>10.953347686331073</v>
      </c>
      <c r="AF108" s="219">
        <f ca="1">IFERROR(INT(CampList[[#This Row],[Distance]]/5)+1,"")</f>
        <v>3</v>
      </c>
    </row>
    <row r="109" spans="2:32" ht="15.75" hidden="1" customHeight="1" x14ac:dyDescent="0.3">
      <c r="B109" s="201" t="s">
        <v>775</v>
      </c>
      <c r="C109" s="195" t="s">
        <v>378</v>
      </c>
      <c r="D109" s="195" t="s">
        <v>478</v>
      </c>
      <c r="E109" s="195" t="s">
        <v>180</v>
      </c>
      <c r="F109" s="195" t="s">
        <v>479</v>
      </c>
      <c r="G109" s="195" t="s">
        <v>480</v>
      </c>
      <c r="H109" s="195" t="s">
        <v>481</v>
      </c>
      <c r="I109" s="209" t="s">
        <v>652</v>
      </c>
      <c r="J109" s="209" t="s">
        <v>653</v>
      </c>
      <c r="K109" s="209" t="s">
        <v>652</v>
      </c>
      <c r="L109" s="209">
        <v>166794</v>
      </c>
      <c r="M109" s="195" t="s">
        <v>132</v>
      </c>
      <c r="N109" s="195" t="s">
        <v>131</v>
      </c>
      <c r="O109" s="202"/>
      <c r="P109" s="202"/>
      <c r="Q109" s="215"/>
      <c r="R109" s="280">
        <v>0</v>
      </c>
      <c r="S109" s="281">
        <v>0</v>
      </c>
      <c r="T109" s="205" t="str">
        <f>IF(CampList[[#This Row],[HH]]&gt;0,CampList[[#This Row],[Total]]/CampList[[#This Row],[HH]],"NA")</f>
        <v>NA</v>
      </c>
      <c r="U109" s="197" t="s">
        <v>464</v>
      </c>
      <c r="V109" s="197" t="s">
        <v>993</v>
      </c>
      <c r="W109" s="197" t="s">
        <v>507</v>
      </c>
      <c r="X109" s="197"/>
      <c r="Y109" s="216"/>
      <c r="Z109" s="207"/>
      <c r="AA109" s="299"/>
      <c r="AB109" s="224"/>
      <c r="AC109" s="201"/>
      <c r="AD109" s="197" t="str">
        <f ca="1">IFERROR(OFFSET(DistanceToCamp[Nearest Town],MATCH(CampList[[#This Row],[CP_Pcode]],DistanceToCamp[CP_Pcode],0)-1,0,1,1),"")</f>
        <v/>
      </c>
      <c r="AE109" s="210" t="str">
        <f ca="1">IFERROR(OFFSET(DistanceToCamp[distance],MATCH(CampList[[#This Row],[CP_Pcode]],DistanceToCamp[CP_Pcode],0)-1,0,1,1),"")</f>
        <v/>
      </c>
      <c r="AF109" s="211" t="str">
        <f ca="1">IFERROR(INT(CampList[[#This Row],[Distance]]/5)+1,"")</f>
        <v/>
      </c>
    </row>
    <row r="110" spans="2:32" ht="15.75" hidden="1" customHeight="1" x14ac:dyDescent="0.3">
      <c r="B110" s="201" t="s">
        <v>775</v>
      </c>
      <c r="C110" s="195" t="s">
        <v>378</v>
      </c>
      <c r="D110" s="195" t="s">
        <v>478</v>
      </c>
      <c r="E110" s="195" t="s">
        <v>237</v>
      </c>
      <c r="F110" s="195" t="s">
        <v>484</v>
      </c>
      <c r="G110" s="195" t="s">
        <v>309</v>
      </c>
      <c r="H110" s="195" t="s">
        <v>485</v>
      </c>
      <c r="I110" s="195" t="s">
        <v>704</v>
      </c>
      <c r="J110" s="195" t="s">
        <v>705</v>
      </c>
      <c r="K110" s="212" t="s">
        <v>1117</v>
      </c>
      <c r="L110" s="212">
        <v>220360</v>
      </c>
      <c r="M110" s="195" t="s">
        <v>1030</v>
      </c>
      <c r="N110" s="195" t="s">
        <v>354</v>
      </c>
      <c r="O110" s="202">
        <v>97.756789999999995</v>
      </c>
      <c r="P110" s="202">
        <v>25.106670000000001</v>
      </c>
      <c r="Q110" s="203">
        <v>756</v>
      </c>
      <c r="R110" s="270"/>
      <c r="S110" s="270"/>
      <c r="T110" s="205" t="str">
        <f>IF(CampList[[#This Row],[HH]]&gt;0,CampList[[#This Row],[Total]]/CampList[[#This Row],[HH]],"NA")</f>
        <v>NA</v>
      </c>
      <c r="U110" s="197" t="s">
        <v>466</v>
      </c>
      <c r="V110" s="197" t="s">
        <v>993</v>
      </c>
      <c r="W110" s="197" t="s">
        <v>507</v>
      </c>
      <c r="X110" s="197" t="s">
        <v>784</v>
      </c>
      <c r="Y110" s="636">
        <v>40848</v>
      </c>
      <c r="Z110" s="636" t="s">
        <v>424</v>
      </c>
      <c r="AA110" s="195" t="s">
        <v>774</v>
      </c>
      <c r="AB110" s="208">
        <v>42888</v>
      </c>
      <c r="AC110" s="209" t="s">
        <v>1260</v>
      </c>
      <c r="AD110" s="197" t="str">
        <f ca="1">IFERROR(OFFSET(DistanceToCamp[Nearest Town],MATCH(CampList[[#This Row],[CP_Pcode]],DistanceToCamp[CP_Pcode],0)-1,0,1,1),"")</f>
        <v>Sadung Town</v>
      </c>
      <c r="AE110" s="210">
        <f ca="1">IFERROR(OFFSET(DistanceToCamp[distance],MATCH(CampList[[#This Row],[CP_Pcode]],DistanceToCamp[CP_Pcode],0)-1,0,1,1),"")</f>
        <v>32.827754639406997</v>
      </c>
      <c r="AF110" s="211">
        <f ca="1">IFERROR(INT(CampList[[#This Row],[Distance]]/5)+1,"")</f>
        <v>7</v>
      </c>
    </row>
    <row r="111" spans="2:32" ht="15.75" customHeight="1" x14ac:dyDescent="0.3">
      <c r="B111" s="201" t="s">
        <v>1692</v>
      </c>
      <c r="C111" s="196" t="s">
        <v>378</v>
      </c>
      <c r="D111" s="196" t="s">
        <v>478</v>
      </c>
      <c r="E111" s="196" t="s">
        <v>5</v>
      </c>
      <c r="F111" s="196" t="s">
        <v>482</v>
      </c>
      <c r="G111" s="196" t="s">
        <v>185</v>
      </c>
      <c r="H111" s="196" t="s">
        <v>486</v>
      </c>
      <c r="I111" s="196" t="s">
        <v>665</v>
      </c>
      <c r="J111" s="214" t="s">
        <v>666</v>
      </c>
      <c r="K111" s="196" t="s">
        <v>523</v>
      </c>
      <c r="L111" s="196">
        <v>167343</v>
      </c>
      <c r="M111" s="196" t="s">
        <v>192</v>
      </c>
      <c r="N111" s="196" t="s">
        <v>191</v>
      </c>
      <c r="O111" s="204">
        <v>97.537099999999995</v>
      </c>
      <c r="P111" s="204">
        <v>24.461033</v>
      </c>
      <c r="Q111" s="215">
        <v>360</v>
      </c>
      <c r="R111" s="270">
        <v>80</v>
      </c>
      <c r="S111" s="270">
        <v>378</v>
      </c>
      <c r="T111" s="205">
        <f>IF(CampList[[#This Row],[HH]]&gt;0,CampList[[#This Row],[Total]]/CampList[[#This Row],[HH]],"NA")</f>
        <v>4.7249999999999996</v>
      </c>
      <c r="U111" s="181" t="s">
        <v>466</v>
      </c>
      <c r="V111" s="197" t="s">
        <v>993</v>
      </c>
      <c r="W111" s="181" t="s">
        <v>507</v>
      </c>
      <c r="X111" s="181" t="s">
        <v>785</v>
      </c>
      <c r="Y111" s="309">
        <v>40756</v>
      </c>
      <c r="Z111" s="215" t="s">
        <v>934</v>
      </c>
      <c r="AA111" s="196" t="s">
        <v>774</v>
      </c>
      <c r="AB111" s="208">
        <v>43593</v>
      </c>
      <c r="AC111" s="217" t="s">
        <v>2054</v>
      </c>
      <c r="AD111" s="218" t="str">
        <f ca="1">IFERROR(OFFSET(DistanceToCamp[Nearest Town],MATCH(CampList[[#This Row],[CP_Pcode]],DistanceToCamp[CP_Pcode],0)-1,0,1,1),"")</f>
        <v>Dawthponeyan  Town</v>
      </c>
      <c r="AE111" s="210">
        <f ca="1">IFERROR(OFFSET(DistanceToCamp[distance],MATCH(CampList[[#This Row],[CP_Pcode]],DistanceToCamp[CP_Pcode],0)-1,0,1,1),"")</f>
        <v>18.65617244319267</v>
      </c>
      <c r="AF111" s="219">
        <f ca="1">IFERROR(INT(CampList[[#This Row],[Distance]]/5)+1,"")</f>
        <v>4</v>
      </c>
    </row>
    <row r="112" spans="2:32" ht="15.75" hidden="1" customHeight="1" x14ac:dyDescent="0.3">
      <c r="B112" s="201" t="s">
        <v>775</v>
      </c>
      <c r="C112" s="195" t="s">
        <v>378</v>
      </c>
      <c r="D112" s="195" t="s">
        <v>478</v>
      </c>
      <c r="E112" s="195" t="s">
        <v>237</v>
      </c>
      <c r="F112" s="195" t="s">
        <v>484</v>
      </c>
      <c r="G112" s="195" t="s">
        <v>309</v>
      </c>
      <c r="H112" s="195" t="s">
        <v>485</v>
      </c>
      <c r="I112" s="209" t="s">
        <v>658</v>
      </c>
      <c r="J112" s="195"/>
      <c r="K112" s="195"/>
      <c r="L112" s="195"/>
      <c r="M112" s="195" t="s">
        <v>356</v>
      </c>
      <c r="N112" s="195" t="s">
        <v>355</v>
      </c>
      <c r="O112" s="202">
        <v>97.837778</v>
      </c>
      <c r="P112" s="202">
        <v>25.273333000000001</v>
      </c>
      <c r="Q112" s="215"/>
      <c r="R112" s="280">
        <v>0</v>
      </c>
      <c r="S112" s="281">
        <v>0</v>
      </c>
      <c r="T112" s="205" t="str">
        <f>IF(CampList[[#This Row],[HH]]&gt;0,CampList[[#This Row],[Total]]/CampList[[#This Row],[HH]],"NA")</f>
        <v>NA</v>
      </c>
      <c r="U112" s="197" t="s">
        <v>466</v>
      </c>
      <c r="V112" s="197" t="s">
        <v>993</v>
      </c>
      <c r="W112" s="197" t="s">
        <v>507</v>
      </c>
      <c r="X112" s="197"/>
      <c r="Y112" s="216"/>
      <c r="Z112" s="207"/>
      <c r="AA112" s="221"/>
      <c r="AB112" s="224"/>
      <c r="AC112" s="201"/>
      <c r="AD112" s="197" t="str">
        <f ca="1">IFERROR(OFFSET(DistanceToCamp[Nearest Town],MATCH(CampList[[#This Row],[CP_Pcode]],DistanceToCamp[CP_Pcode],0)-1,0,1,1),"")</f>
        <v/>
      </c>
      <c r="AE112" s="210" t="str">
        <f ca="1">IFERROR(OFFSET(DistanceToCamp[distance],MATCH(CampList[[#This Row],[CP_Pcode]],DistanceToCamp[CP_Pcode],0)-1,0,1,1),"")</f>
        <v/>
      </c>
      <c r="AF112" s="211" t="str">
        <f ca="1">IFERROR(INT(CampList[[#This Row],[Distance]]/5)+1,"")</f>
        <v/>
      </c>
    </row>
    <row r="113" spans="2:32" ht="15.75" customHeight="1" x14ac:dyDescent="0.3">
      <c r="B113" s="201" t="s">
        <v>1692</v>
      </c>
      <c r="C113" s="196" t="s">
        <v>378</v>
      </c>
      <c r="D113" s="196" t="s">
        <v>478</v>
      </c>
      <c r="E113" s="196" t="s">
        <v>5</v>
      </c>
      <c r="F113" s="196" t="s">
        <v>482</v>
      </c>
      <c r="G113" s="196" t="s">
        <v>185</v>
      </c>
      <c r="H113" s="196" t="s">
        <v>486</v>
      </c>
      <c r="I113" s="196" t="s">
        <v>701</v>
      </c>
      <c r="J113" s="214" t="s">
        <v>702</v>
      </c>
      <c r="K113" s="196" t="s">
        <v>703</v>
      </c>
      <c r="L113" s="196">
        <v>216913</v>
      </c>
      <c r="M113" s="196" t="s">
        <v>219</v>
      </c>
      <c r="N113" s="196" t="s">
        <v>218</v>
      </c>
      <c r="O113" s="204">
        <v>97.752667000000002</v>
      </c>
      <c r="P113" s="204">
        <v>24.2744</v>
      </c>
      <c r="Q113" s="215">
        <v>978</v>
      </c>
      <c r="R113" s="204">
        <v>632</v>
      </c>
      <c r="S113" s="204">
        <v>3550</v>
      </c>
      <c r="T113" s="205">
        <f>IF(CampList[[#This Row],[HH]]&gt;0,CampList[[#This Row],[Total]]/CampList[[#This Row],[HH]],"NA")</f>
        <v>5.6170886075949369</v>
      </c>
      <c r="U113" s="181" t="s">
        <v>466</v>
      </c>
      <c r="V113" s="197" t="s">
        <v>993</v>
      </c>
      <c r="W113" s="181" t="s">
        <v>507</v>
      </c>
      <c r="X113" s="181" t="s">
        <v>784</v>
      </c>
      <c r="Y113" s="309">
        <v>41000</v>
      </c>
      <c r="Z113" s="215" t="s">
        <v>933</v>
      </c>
      <c r="AA113" s="196" t="s">
        <v>774</v>
      </c>
      <c r="AB113" s="208">
        <v>43593</v>
      </c>
      <c r="AC113" s="217" t="s">
        <v>2027</v>
      </c>
      <c r="AD113" s="218" t="str">
        <f ca="1">IFERROR(OFFSET(DistanceToCamp[Nearest Town],MATCH(CampList[[#This Row],[CP_Pcode]],DistanceToCamp[CP_Pcode],0)-1,0,1,1),"")</f>
        <v>Lwegel Town</v>
      </c>
      <c r="AE113" s="210">
        <f ca="1">IFERROR(OFFSET(DistanceToCamp[distance],MATCH(CampList[[#This Row],[CP_Pcode]],DistanceToCamp[CP_Pcode],0)-1,0,1,1),"")</f>
        <v>8.953204937938569</v>
      </c>
      <c r="AF113" s="219">
        <f ca="1">IFERROR(INT(CampList[[#This Row],[Distance]]/5)+1,"")</f>
        <v>2</v>
      </c>
    </row>
    <row r="114" spans="2:32" ht="15.75" customHeight="1" x14ac:dyDescent="0.3">
      <c r="B114" s="201" t="s">
        <v>1692</v>
      </c>
      <c r="C114" s="196" t="s">
        <v>378</v>
      </c>
      <c r="D114" s="196" t="s">
        <v>478</v>
      </c>
      <c r="E114" s="196" t="s">
        <v>5</v>
      </c>
      <c r="F114" s="196" t="s">
        <v>482</v>
      </c>
      <c r="G114" s="196" t="s">
        <v>151</v>
      </c>
      <c r="H114" s="196" t="s">
        <v>492</v>
      </c>
      <c r="I114" s="196" t="s">
        <v>683</v>
      </c>
      <c r="J114" s="214" t="s">
        <v>684</v>
      </c>
      <c r="K114" s="196" t="s">
        <v>685</v>
      </c>
      <c r="L114" s="196">
        <v>216948</v>
      </c>
      <c r="M114" s="196" t="s">
        <v>198</v>
      </c>
      <c r="N114" s="196" t="s">
        <v>197</v>
      </c>
      <c r="O114" s="204">
        <v>97.625617000000005</v>
      </c>
      <c r="P114" s="204">
        <v>24.056132999999999</v>
      </c>
      <c r="Q114" s="215">
        <v>866</v>
      </c>
      <c r="R114" s="204">
        <v>522</v>
      </c>
      <c r="S114" s="307">
        <v>2536</v>
      </c>
      <c r="T114" s="205">
        <f>IF(CampList[[#This Row],[HH]]&gt;0,CampList[[#This Row],[Total]]/CampList[[#This Row],[HH]],"NA")</f>
        <v>4.8582375478927204</v>
      </c>
      <c r="U114" s="181" t="s">
        <v>466</v>
      </c>
      <c r="V114" s="197" t="s">
        <v>993</v>
      </c>
      <c r="W114" s="181" t="s">
        <v>507</v>
      </c>
      <c r="X114" s="181" t="s">
        <v>784</v>
      </c>
      <c r="Y114" s="309">
        <v>40817</v>
      </c>
      <c r="Z114" s="215" t="s">
        <v>933</v>
      </c>
      <c r="AA114" s="196" t="s">
        <v>774</v>
      </c>
      <c r="AB114" s="208">
        <v>43593</v>
      </c>
      <c r="AC114" s="217" t="s">
        <v>2028</v>
      </c>
      <c r="AD114" s="218" t="str">
        <f ca="1">IFERROR(OFFSET(DistanceToCamp[Nearest Town],MATCH(CampList[[#This Row],[CP_Pcode]],DistanceToCamp[CP_Pcode],0)-1,0,1,1),"")</f>
        <v>Lwegel Town</v>
      </c>
      <c r="AE114" s="210">
        <f ca="1">IFERROR(OFFSET(DistanceToCamp[distance],MATCH(CampList[[#This Row],[CP_Pcode]],DistanceToCamp[CP_Pcode],0)-1,0,1,1),"")</f>
        <v>18.620903555062636</v>
      </c>
      <c r="AF114" s="219">
        <f ca="1">IFERROR(INT(CampList[[#This Row],[Distance]]/5)+1,"")</f>
        <v>4</v>
      </c>
    </row>
    <row r="115" spans="2:32" ht="15.75" hidden="1" customHeight="1" x14ac:dyDescent="0.3">
      <c r="B115" s="201" t="s">
        <v>775</v>
      </c>
      <c r="C115" s="195" t="s">
        <v>378</v>
      </c>
      <c r="D115" s="195" t="s">
        <v>478</v>
      </c>
      <c r="E115" s="195" t="s">
        <v>237</v>
      </c>
      <c r="F115" s="195" t="s">
        <v>484</v>
      </c>
      <c r="G115" s="195" t="s">
        <v>309</v>
      </c>
      <c r="H115" s="195" t="s">
        <v>485</v>
      </c>
      <c r="I115" s="209" t="s">
        <v>667</v>
      </c>
      <c r="J115" s="209" t="s">
        <v>668</v>
      </c>
      <c r="K115" s="209" t="s">
        <v>667</v>
      </c>
      <c r="L115" s="209">
        <v>165772</v>
      </c>
      <c r="M115" s="195" t="s">
        <v>1033</v>
      </c>
      <c r="N115" s="195" t="s">
        <v>313</v>
      </c>
      <c r="O115" s="202">
        <v>97.551507000000001</v>
      </c>
      <c r="P115" s="202">
        <v>24.747212999999999</v>
      </c>
      <c r="Q115" s="203">
        <v>221</v>
      </c>
      <c r="R115" s="280">
        <v>0</v>
      </c>
      <c r="S115" s="281">
        <v>0</v>
      </c>
      <c r="T115" s="205" t="str">
        <f>IF(CampList[[#This Row],[HH]]&gt;0,CampList[[#This Row],[Total]]/CampList[[#This Row],[HH]],"NA")</f>
        <v>NA</v>
      </c>
      <c r="U115" s="197" t="s">
        <v>466</v>
      </c>
      <c r="V115" s="197" t="s">
        <v>993</v>
      </c>
      <c r="W115" s="197" t="s">
        <v>507</v>
      </c>
      <c r="X115" s="197" t="s">
        <v>784</v>
      </c>
      <c r="Y115" s="636">
        <v>40695</v>
      </c>
      <c r="Z115" s="636" t="s">
        <v>934</v>
      </c>
      <c r="AA115" s="221" t="s">
        <v>774</v>
      </c>
      <c r="AB115" s="208">
        <v>42180</v>
      </c>
      <c r="AC115" s="201" t="s">
        <v>1047</v>
      </c>
      <c r="AD115" s="197" t="str">
        <f ca="1">IFERROR(OFFSET(DistanceToCamp[Nearest Town],MATCH(CampList[[#This Row],[CP_Pcode]],DistanceToCamp[CP_Pcode],0)-1,0,1,1),"")</f>
        <v>Laiza town</v>
      </c>
      <c r="AE115" s="210">
        <f ca="1">IFERROR(OFFSET(DistanceToCamp[distance],MATCH(CampList[[#This Row],[CP_Pcode]],DistanceToCamp[CP_Pcode],0)-1,0,1,1),"")</f>
        <v>1.857513522619473</v>
      </c>
      <c r="AF115" s="211">
        <f ca="1">IFERROR(INT(CampList[[#This Row],[Distance]]/5)+1,"")</f>
        <v>1</v>
      </c>
    </row>
    <row r="116" spans="2:32" ht="15.75" hidden="1" customHeight="1" x14ac:dyDescent="0.3">
      <c r="B116" s="201" t="s">
        <v>775</v>
      </c>
      <c r="C116" s="195" t="s">
        <v>378</v>
      </c>
      <c r="D116" s="195" t="s">
        <v>478</v>
      </c>
      <c r="E116" s="195" t="s">
        <v>237</v>
      </c>
      <c r="F116" s="195" t="s">
        <v>484</v>
      </c>
      <c r="G116" s="195" t="s">
        <v>309</v>
      </c>
      <c r="H116" s="195" t="s">
        <v>485</v>
      </c>
      <c r="I116" s="209" t="s">
        <v>667</v>
      </c>
      <c r="J116" s="209" t="s">
        <v>668</v>
      </c>
      <c r="K116" s="209" t="s">
        <v>667</v>
      </c>
      <c r="L116" s="209">
        <v>165772</v>
      </c>
      <c r="M116" s="195" t="s">
        <v>331</v>
      </c>
      <c r="N116" s="195" t="s">
        <v>330</v>
      </c>
      <c r="O116" s="202">
        <v>97.550267000000005</v>
      </c>
      <c r="P116" s="202">
        <v>24.747966999999999</v>
      </c>
      <c r="Q116" s="215"/>
      <c r="R116" s="280">
        <v>0</v>
      </c>
      <c r="S116" s="281">
        <v>0</v>
      </c>
      <c r="T116" s="205" t="str">
        <f>IF(CampList[[#This Row],[HH]]&gt;0,CampList[[#This Row],[Total]]/CampList[[#This Row],[HH]],"NA")</f>
        <v>NA</v>
      </c>
      <c r="U116" s="197" t="s">
        <v>464</v>
      </c>
      <c r="V116" s="197" t="s">
        <v>993</v>
      </c>
      <c r="W116" s="197" t="s">
        <v>507</v>
      </c>
      <c r="X116" s="197"/>
      <c r="Y116" s="216"/>
      <c r="Z116" s="207"/>
      <c r="AA116" s="221"/>
      <c r="AB116" s="224"/>
      <c r="AC116" s="201" t="s">
        <v>776</v>
      </c>
      <c r="AD116" s="197" t="str">
        <f ca="1">IFERROR(OFFSET(DistanceToCamp[Nearest Town],MATCH(CampList[[#This Row],[CP_Pcode]],DistanceToCamp[CP_Pcode],0)-1,0,1,1),"")</f>
        <v/>
      </c>
      <c r="AE116" s="210" t="str">
        <f ca="1">IFERROR(OFFSET(DistanceToCamp[distance],MATCH(CampList[[#This Row],[CP_Pcode]],DistanceToCamp[CP_Pcode],0)-1,0,1,1),"")</f>
        <v/>
      </c>
      <c r="AF116" s="211" t="str">
        <f ca="1">IFERROR(INT(CampList[[#This Row],[Distance]]/5)+1,"")</f>
        <v/>
      </c>
    </row>
    <row r="117" spans="2:32" ht="15.75" customHeight="1" x14ac:dyDescent="0.3">
      <c r="B117" s="201" t="s">
        <v>1692</v>
      </c>
      <c r="C117" s="195" t="s">
        <v>378</v>
      </c>
      <c r="D117" s="195" t="s">
        <v>478</v>
      </c>
      <c r="E117" s="195" t="s">
        <v>5</v>
      </c>
      <c r="F117" s="195" t="s">
        <v>482</v>
      </c>
      <c r="G117" s="209" t="s">
        <v>151</v>
      </c>
      <c r="H117" s="209" t="s">
        <v>492</v>
      </c>
      <c r="I117" s="209" t="s">
        <v>679</v>
      </c>
      <c r="J117" s="209" t="s">
        <v>680</v>
      </c>
      <c r="K117" s="209" t="s">
        <v>679</v>
      </c>
      <c r="L117" s="209" t="s">
        <v>679</v>
      </c>
      <c r="M117" s="195" t="s">
        <v>188</v>
      </c>
      <c r="N117" s="195" t="s">
        <v>187</v>
      </c>
      <c r="O117" s="202">
        <v>97.609832999999995</v>
      </c>
      <c r="P117" s="202">
        <v>24.002433</v>
      </c>
      <c r="Q117" s="203">
        <v>854</v>
      </c>
      <c r="R117" s="306">
        <v>357</v>
      </c>
      <c r="S117" s="307">
        <v>1692</v>
      </c>
      <c r="T117" s="205">
        <f>IF(CampList[[#This Row],[HH]]&gt;0,CampList[[#This Row],[Total]]/CampList[[#This Row],[HH]],"NA")</f>
        <v>4.7394957983193278</v>
      </c>
      <c r="U117" s="197" t="s">
        <v>466</v>
      </c>
      <c r="V117" s="197" t="s">
        <v>993</v>
      </c>
      <c r="W117" s="197" t="s">
        <v>507</v>
      </c>
      <c r="X117" s="197" t="s">
        <v>784</v>
      </c>
      <c r="Y117" s="308">
        <v>40817</v>
      </c>
      <c r="Z117" s="636" t="s">
        <v>933</v>
      </c>
      <c r="AA117" s="221" t="s">
        <v>774</v>
      </c>
      <c r="AB117" s="208">
        <v>43593</v>
      </c>
      <c r="AC117" s="201" t="s">
        <v>2029</v>
      </c>
      <c r="AD117" s="197" t="str">
        <f ca="1">IFERROR(OFFSET(DistanceToCamp[Nearest Town],MATCH(CampList[[#This Row],[CP_Pcode]],DistanceToCamp[CP_Pcode],0)-1,0,1,1),"")</f>
        <v>Namhkan Town</v>
      </c>
      <c r="AE117" s="210">
        <f ca="1">IFERROR(OFFSET(DistanceToCamp[distance],MATCH(CampList[[#This Row],[CP_Pcode]],DistanceToCamp[CP_Pcode],0)-1,0,1,1),"")</f>
        <v>19.796407430638478</v>
      </c>
      <c r="AF117" s="211">
        <f ca="1">IFERROR(INT(CampList[[#This Row],[Distance]]/5)+1,"")</f>
        <v>4</v>
      </c>
    </row>
    <row r="118" spans="2:32" ht="15.75" customHeight="1" x14ac:dyDescent="0.3">
      <c r="B118" s="201" t="s">
        <v>1692</v>
      </c>
      <c r="C118" s="196" t="s">
        <v>378</v>
      </c>
      <c r="D118" s="196" t="s">
        <v>478</v>
      </c>
      <c r="E118" s="196" t="s">
        <v>5</v>
      </c>
      <c r="F118" s="196" t="s">
        <v>482</v>
      </c>
      <c r="G118" s="196" t="s">
        <v>185</v>
      </c>
      <c r="H118" s="196" t="s">
        <v>486</v>
      </c>
      <c r="I118" s="196" t="s">
        <v>686</v>
      </c>
      <c r="J118" s="214" t="s">
        <v>687</v>
      </c>
      <c r="K118" s="196" t="s">
        <v>688</v>
      </c>
      <c r="L118" s="196">
        <v>167138</v>
      </c>
      <c r="M118" s="196" t="s">
        <v>215</v>
      </c>
      <c r="N118" s="196" t="s">
        <v>214</v>
      </c>
      <c r="O118" s="204">
        <v>97.669366999999994</v>
      </c>
      <c r="P118" s="204">
        <v>24.378167000000001</v>
      </c>
      <c r="Q118" s="215">
        <v>1149</v>
      </c>
      <c r="R118" s="204">
        <v>354</v>
      </c>
      <c r="S118" s="204">
        <v>1546</v>
      </c>
      <c r="T118" s="205">
        <f>IF(CampList[[#This Row],[HH]]&gt;0,CampList[[#This Row],[Total]]/CampList[[#This Row],[HH]],"NA")</f>
        <v>4.3672316384180787</v>
      </c>
      <c r="U118" s="181" t="s">
        <v>466</v>
      </c>
      <c r="V118" s="197" t="s">
        <v>993</v>
      </c>
      <c r="W118" s="181" t="s">
        <v>507</v>
      </c>
      <c r="X118" s="181" t="s">
        <v>784</v>
      </c>
      <c r="Y118" s="309">
        <v>41000</v>
      </c>
      <c r="Z118" s="215" t="s">
        <v>933</v>
      </c>
      <c r="AA118" s="196" t="s">
        <v>774</v>
      </c>
      <c r="AB118" s="208">
        <v>43593</v>
      </c>
      <c r="AC118" s="217" t="s">
        <v>2030</v>
      </c>
      <c r="AD118" s="218" t="str">
        <f ca="1">IFERROR(OFFSET(DistanceToCamp[Nearest Town],MATCH(CampList[[#This Row],[CP_Pcode]],DistanceToCamp[CP_Pcode],0)-1,0,1,1),"")</f>
        <v>Lwegel Town</v>
      </c>
      <c r="AE118" s="210">
        <f ca="1">IFERROR(OFFSET(DistanceToCamp[distance],MATCH(CampList[[#This Row],[CP_Pcode]],DistanceToCamp[CP_Pcode],0)-1,0,1,1),"")</f>
        <v>20.558236360788097</v>
      </c>
      <c r="AF118" s="219">
        <f ca="1">IFERROR(INT(CampList[[#This Row],[Distance]]/5)+1,"")</f>
        <v>5</v>
      </c>
    </row>
    <row r="119" spans="2:32" ht="15.75" customHeight="1" x14ac:dyDescent="0.3">
      <c r="B119" s="201" t="s">
        <v>1692</v>
      </c>
      <c r="C119" s="196" t="s">
        <v>378</v>
      </c>
      <c r="D119" s="196" t="s">
        <v>478</v>
      </c>
      <c r="E119" s="196" t="s">
        <v>5</v>
      </c>
      <c r="F119" s="196" t="s">
        <v>482</v>
      </c>
      <c r="G119" s="196" t="s">
        <v>151</v>
      </c>
      <c r="H119" s="196" t="s">
        <v>492</v>
      </c>
      <c r="I119" s="196" t="s">
        <v>600</v>
      </c>
      <c r="J119" s="214" t="s">
        <v>601</v>
      </c>
      <c r="K119" s="209" t="s">
        <v>600</v>
      </c>
      <c r="L119" s="220">
        <v>167405</v>
      </c>
      <c r="M119" s="196" t="s">
        <v>154</v>
      </c>
      <c r="N119" s="196" t="s">
        <v>153</v>
      </c>
      <c r="O119" s="204">
        <v>97.578490000000002</v>
      </c>
      <c r="P119" s="204">
        <v>23.835319999999999</v>
      </c>
      <c r="Q119" s="215">
        <v>795</v>
      </c>
      <c r="R119" s="204">
        <v>437</v>
      </c>
      <c r="S119" s="204">
        <v>2316</v>
      </c>
      <c r="T119" s="205">
        <f>IF(CampList[[#This Row],[HH]]&gt;0,CampList[[#This Row],[Total]]/CampList[[#This Row],[HH]],"NA")</f>
        <v>5.2997711670480552</v>
      </c>
      <c r="U119" s="181" t="s">
        <v>464</v>
      </c>
      <c r="V119" s="197" t="s">
        <v>993</v>
      </c>
      <c r="W119" s="181" t="s">
        <v>507</v>
      </c>
      <c r="X119" s="181" t="s">
        <v>784</v>
      </c>
      <c r="Y119" s="309">
        <v>40848</v>
      </c>
      <c r="Z119" s="215" t="s">
        <v>933</v>
      </c>
      <c r="AA119" s="196" t="s">
        <v>774</v>
      </c>
      <c r="AB119" s="208">
        <v>43593</v>
      </c>
      <c r="AC119" s="217" t="s">
        <v>2031</v>
      </c>
      <c r="AD119" s="218" t="str">
        <f ca="1">IFERROR(OFFSET(DistanceToCamp[Nearest Town],MATCH(CampList[[#This Row],[CP_Pcode]],DistanceToCamp[CP_Pcode],0)-1,0,1,1),"")</f>
        <v>Namhkan Town</v>
      </c>
      <c r="AE119" s="210">
        <f ca="1">IFERROR(OFFSET(DistanceToCamp[distance],MATCH(CampList[[#This Row],[CP_Pcode]],DistanceToCamp[CP_Pcode],0)-1,0,1,1),"")</f>
        <v>10.509375400480517</v>
      </c>
      <c r="AF119" s="219">
        <f ca="1">IFERROR(INT(CampList[[#This Row],[Distance]]/5)+1,"")</f>
        <v>3</v>
      </c>
    </row>
    <row r="120" spans="2:32" ht="15.75" customHeight="1" x14ac:dyDescent="0.3">
      <c r="B120" s="201" t="s">
        <v>1692</v>
      </c>
      <c r="C120" s="195" t="s">
        <v>378</v>
      </c>
      <c r="D120" s="195" t="s">
        <v>478</v>
      </c>
      <c r="E120" s="195" t="s">
        <v>5</v>
      </c>
      <c r="F120" s="195" t="s">
        <v>482</v>
      </c>
      <c r="G120" s="195" t="s">
        <v>151</v>
      </c>
      <c r="H120" s="195" t="s">
        <v>492</v>
      </c>
      <c r="I120" s="209" t="s">
        <v>600</v>
      </c>
      <c r="J120" s="209" t="s">
        <v>601</v>
      </c>
      <c r="K120" s="209" t="s">
        <v>600</v>
      </c>
      <c r="L120" s="220">
        <v>167405</v>
      </c>
      <c r="M120" s="195" t="s">
        <v>160</v>
      </c>
      <c r="N120" s="195" t="s">
        <v>159</v>
      </c>
      <c r="O120" s="202">
        <v>97.589979999999997</v>
      </c>
      <c r="P120" s="202">
        <v>23.83013</v>
      </c>
      <c r="Q120" s="203">
        <v>741</v>
      </c>
      <c r="R120" s="270">
        <v>127</v>
      </c>
      <c r="S120" s="270">
        <v>653</v>
      </c>
      <c r="T120" s="205">
        <f>IF(CampList[[#This Row],[HH]]&gt;0,CampList[[#This Row],[Total]]/CampList[[#This Row],[HH]],"NA")</f>
        <v>5.1417322834645667</v>
      </c>
      <c r="U120" s="197" t="s">
        <v>464</v>
      </c>
      <c r="V120" s="197" t="s">
        <v>993</v>
      </c>
      <c r="W120" s="197" t="s">
        <v>507</v>
      </c>
      <c r="X120" s="197" t="s">
        <v>784</v>
      </c>
      <c r="Y120" s="308">
        <v>40940</v>
      </c>
      <c r="Z120" s="636" t="s">
        <v>1900</v>
      </c>
      <c r="AA120" s="221" t="s">
        <v>774</v>
      </c>
      <c r="AB120" s="208">
        <v>43593</v>
      </c>
      <c r="AC120" s="209" t="s">
        <v>2009</v>
      </c>
      <c r="AD120" s="197" t="str">
        <f ca="1">IFERROR(OFFSET(DistanceToCamp[Nearest Town],MATCH(CampList[[#This Row],[CP_Pcode]],DistanceToCamp[CP_Pcode],0)-1,0,1,1),"")</f>
        <v>Namhkan Town</v>
      </c>
      <c r="AE120" s="210">
        <f ca="1">IFERROR(OFFSET(DistanceToCamp[distance],MATCH(CampList[[#This Row],[CP_Pcode]],DistanceToCamp[CP_Pcode],0)-1,0,1,1),"")</f>
        <v>9.3704379947870464</v>
      </c>
      <c r="AF120" s="211">
        <f ca="1">IFERROR(INT(CampList[[#This Row],[Distance]]/5)+1,"")</f>
        <v>2</v>
      </c>
    </row>
    <row r="121" spans="2:32" ht="15.75" customHeight="1" x14ac:dyDescent="0.3">
      <c r="B121" s="201" t="s">
        <v>1692</v>
      </c>
      <c r="C121" s="195" t="s">
        <v>378</v>
      </c>
      <c r="D121" s="195" t="s">
        <v>478</v>
      </c>
      <c r="E121" s="195" t="s">
        <v>5</v>
      </c>
      <c r="F121" s="195" t="s">
        <v>482</v>
      </c>
      <c r="G121" s="195" t="s">
        <v>151</v>
      </c>
      <c r="H121" s="195" t="s">
        <v>492</v>
      </c>
      <c r="I121" s="209" t="s">
        <v>600</v>
      </c>
      <c r="J121" s="209" t="s">
        <v>601</v>
      </c>
      <c r="K121" s="209" t="s">
        <v>600</v>
      </c>
      <c r="L121" s="209">
        <v>167405</v>
      </c>
      <c r="M121" s="195" t="s">
        <v>1883</v>
      </c>
      <c r="N121" s="195" t="s">
        <v>155</v>
      </c>
      <c r="O121" s="202">
        <v>97.588291999999996</v>
      </c>
      <c r="P121" s="202">
        <v>23.827870999999998</v>
      </c>
      <c r="Q121" s="215"/>
      <c r="R121" s="306">
        <v>175</v>
      </c>
      <c r="S121" s="307">
        <v>834</v>
      </c>
      <c r="T121" s="205">
        <f>IF(CampList[[#This Row],[HH]]&gt;0,CampList[[#This Row],[Total]]/CampList[[#This Row],[HH]],"NA")</f>
        <v>4.765714285714286</v>
      </c>
      <c r="U121" s="197" t="s">
        <v>464</v>
      </c>
      <c r="V121" s="197" t="s">
        <v>993</v>
      </c>
      <c r="W121" s="225" t="s">
        <v>1881</v>
      </c>
      <c r="X121" s="197" t="s">
        <v>784</v>
      </c>
      <c r="Y121" s="309"/>
      <c r="Z121" s="207" t="s">
        <v>1311</v>
      </c>
      <c r="AA121" s="221"/>
      <c r="AB121" s="227"/>
      <c r="AC121" s="209" t="s">
        <v>1923</v>
      </c>
      <c r="AD121" s="197" t="str">
        <f ca="1">IFERROR(OFFSET(DistanceToCamp[Nearest Town],MATCH(CampList[[#This Row],[CP_Pcode]],DistanceToCamp[CP_Pcode],0)-1,0,1,1),"")</f>
        <v>Namhkan Town</v>
      </c>
      <c r="AE121" s="210">
        <f ca="1">IFERROR(OFFSET(DistanceToCamp[distance],MATCH(CampList[[#This Row],[CP_Pcode]],DistanceToCamp[CP_Pcode],0)-1,0,1,1),"")</f>
        <v>9.5650381623500511</v>
      </c>
      <c r="AF121" s="211">
        <f ca="1">IFERROR(INT(CampList[[#This Row],[Distance]]/5)+1,"")</f>
        <v>2</v>
      </c>
    </row>
    <row r="122" spans="2:32" ht="15.75" hidden="1" customHeight="1" x14ac:dyDescent="0.3">
      <c r="B122" s="201" t="s">
        <v>775</v>
      </c>
      <c r="C122" s="195" t="s">
        <v>378</v>
      </c>
      <c r="D122" s="195" t="s">
        <v>478</v>
      </c>
      <c r="E122" s="195" t="s">
        <v>237</v>
      </c>
      <c r="F122" s="650" t="s">
        <v>484</v>
      </c>
      <c r="G122" s="650" t="s">
        <v>237</v>
      </c>
      <c r="H122" s="650" t="s">
        <v>488</v>
      </c>
      <c r="I122" s="650" t="s">
        <v>1646</v>
      </c>
      <c r="J122" s="650" t="s">
        <v>1647</v>
      </c>
      <c r="K122" s="195"/>
      <c r="L122" s="195"/>
      <c r="M122" s="195" t="s">
        <v>303</v>
      </c>
      <c r="N122" s="195" t="s">
        <v>302</v>
      </c>
      <c r="O122" s="202"/>
      <c r="P122" s="202"/>
      <c r="Q122" s="215"/>
      <c r="R122" s="306">
        <v>375</v>
      </c>
      <c r="S122" s="307">
        <v>1691</v>
      </c>
      <c r="T122" s="205">
        <f>IF(CampList[[#This Row],[HH]]&gt;0,CampList[[#This Row],[Total]]/CampList[[#This Row],[HH]],"NA")</f>
        <v>4.5093333333333332</v>
      </c>
      <c r="U122" s="197" t="s">
        <v>464</v>
      </c>
      <c r="V122" s="197" t="s">
        <v>993</v>
      </c>
      <c r="W122" s="197" t="s">
        <v>1881</v>
      </c>
      <c r="X122" s="197" t="s">
        <v>784</v>
      </c>
      <c r="Y122" s="309">
        <v>41701</v>
      </c>
      <c r="Z122" s="207" t="s">
        <v>1311</v>
      </c>
      <c r="AA122" s="221" t="s">
        <v>522</v>
      </c>
      <c r="AB122" s="208">
        <v>42888</v>
      </c>
      <c r="AC122" s="201" t="s">
        <v>2097</v>
      </c>
      <c r="AD122" s="197" t="str">
        <f ca="1">IFERROR(OFFSET(DistanceToCamp[Nearest Town],MATCH(CampList[[#This Row],[CP_Pcode]],DistanceToCamp[CP_Pcode],0)-1,0,1,1),"")</f>
        <v>Sinbo Town</v>
      </c>
      <c r="AE122" s="210">
        <f ca="1">IFERROR(OFFSET(DistanceToCamp[distance],MATCH(CampList[[#This Row],[CP_Pcode]],DistanceToCamp[CP_Pcode],0)-1,0,1,1),"")</f>
        <v>0</v>
      </c>
      <c r="AF122" s="211">
        <f ca="1">IFERROR(INT(CampList[[#This Row],[Distance]]/5)+1,"")</f>
        <v>1</v>
      </c>
    </row>
    <row r="123" spans="2:32" ht="15.75" customHeight="1" x14ac:dyDescent="0.3">
      <c r="B123" s="201" t="s">
        <v>1692</v>
      </c>
      <c r="C123" s="195" t="s">
        <v>378</v>
      </c>
      <c r="D123" s="195" t="s">
        <v>478</v>
      </c>
      <c r="E123" s="195" t="s">
        <v>180</v>
      </c>
      <c r="F123" s="195" t="s">
        <v>479</v>
      </c>
      <c r="G123" s="195" t="s">
        <v>480</v>
      </c>
      <c r="H123" s="195" t="s">
        <v>481</v>
      </c>
      <c r="I123" s="195" t="s">
        <v>957</v>
      </c>
      <c r="J123" s="195" t="s">
        <v>1037</v>
      </c>
      <c r="K123" s="195" t="s">
        <v>1096</v>
      </c>
      <c r="L123" s="220">
        <v>220512</v>
      </c>
      <c r="M123" s="195" t="s">
        <v>88</v>
      </c>
      <c r="N123" s="195" t="s">
        <v>87</v>
      </c>
      <c r="O123" s="202">
        <v>96.705960000000005</v>
      </c>
      <c r="P123" s="202">
        <v>25.51352</v>
      </c>
      <c r="Q123" s="203">
        <v>0</v>
      </c>
      <c r="R123" s="270">
        <v>34</v>
      </c>
      <c r="S123" s="288">
        <v>137</v>
      </c>
      <c r="T123" s="205">
        <f>IF(CampList[[#This Row],[HH]]&gt;0,CampList[[#This Row],[Total]]/CampList[[#This Row],[HH]],"NA")</f>
        <v>4.0294117647058822</v>
      </c>
      <c r="U123" s="197" t="s">
        <v>464</v>
      </c>
      <c r="V123" s="197" t="s">
        <v>993</v>
      </c>
      <c r="W123" s="197" t="s">
        <v>507</v>
      </c>
      <c r="X123" s="197" t="s">
        <v>742</v>
      </c>
      <c r="Y123" s="308">
        <v>41183</v>
      </c>
      <c r="Z123" s="636" t="s">
        <v>1835</v>
      </c>
      <c r="AA123" s="221" t="s">
        <v>774</v>
      </c>
      <c r="AB123" s="208">
        <v>43593</v>
      </c>
      <c r="AC123" s="201" t="s">
        <v>1987</v>
      </c>
      <c r="AD123" s="197" t="str">
        <f ca="1">IFERROR(OFFSET(DistanceToCamp[Nearest Town],MATCH(CampList[[#This Row],[CP_Pcode]],DistanceToCamp[CP_Pcode],0)-1,0,1,1),"")</f>
        <v>Kamaing Town</v>
      </c>
      <c r="AE123" s="210">
        <f ca="1">IFERROR(OFFSET(DistanceToCamp[distance],MATCH(CampList[[#This Row],[CP_Pcode]],DistanceToCamp[CP_Pcode],0)-1,0,1,1),"")</f>
        <v>1.1537462444167914</v>
      </c>
      <c r="AF123" s="211">
        <f ca="1">IFERROR(INT(CampList[[#This Row],[Distance]]/5)+1,"")</f>
        <v>1</v>
      </c>
    </row>
    <row r="124" spans="2:32" ht="15.75" customHeight="1" x14ac:dyDescent="0.3">
      <c r="B124" s="201" t="s">
        <v>1692</v>
      </c>
      <c r="C124" s="196" t="s">
        <v>378</v>
      </c>
      <c r="D124" s="196" t="s">
        <v>478</v>
      </c>
      <c r="E124" s="196" t="s">
        <v>237</v>
      </c>
      <c r="F124" s="196" t="s">
        <v>484</v>
      </c>
      <c r="G124" s="196" t="s">
        <v>309</v>
      </c>
      <c r="H124" s="196" t="s">
        <v>485</v>
      </c>
      <c r="I124" s="212" t="s">
        <v>710</v>
      </c>
      <c r="J124" s="212" t="s">
        <v>709</v>
      </c>
      <c r="K124" s="212" t="s">
        <v>710</v>
      </c>
      <c r="L124" s="212">
        <v>165895</v>
      </c>
      <c r="M124" s="196" t="s">
        <v>353</v>
      </c>
      <c r="N124" s="196" t="s">
        <v>352</v>
      </c>
      <c r="O124" s="204">
        <v>97.990555999999998</v>
      </c>
      <c r="P124" s="204">
        <v>25.265277999999999</v>
      </c>
      <c r="Q124" s="215">
        <v>2764</v>
      </c>
      <c r="R124" s="270">
        <v>79</v>
      </c>
      <c r="S124" s="756">
        <v>527</v>
      </c>
      <c r="T124" s="205">
        <f>IF(CampList[[#This Row],[HH]]&gt;0,CampList[[#This Row],[Total]]/CampList[[#This Row],[HH]],"NA")</f>
        <v>6.6708860759493671</v>
      </c>
      <c r="U124" s="181" t="s">
        <v>466</v>
      </c>
      <c r="V124" s="197" t="s">
        <v>993</v>
      </c>
      <c r="W124" s="181" t="s">
        <v>507</v>
      </c>
      <c r="X124" s="181" t="s">
        <v>785</v>
      </c>
      <c r="Y124" s="309">
        <v>40848</v>
      </c>
      <c r="Z124" s="215" t="s">
        <v>934</v>
      </c>
      <c r="AA124" s="196" t="s">
        <v>774</v>
      </c>
      <c r="AB124" s="208">
        <v>43593</v>
      </c>
      <c r="AC124" s="217" t="s">
        <v>2055</v>
      </c>
      <c r="AD124" s="218" t="str">
        <f ca="1">IFERROR(OFFSET(DistanceToCamp[Nearest Town],MATCH(CampList[[#This Row],[CP_Pcode]],DistanceToCamp[CP_Pcode],0)-1,0,1,1),"")</f>
        <v>Sadung Town</v>
      </c>
      <c r="AE124" s="210">
        <f ca="1">IFERROR(OFFSET(DistanceToCamp[distance],MATCH(CampList[[#This Row],[CP_Pcode]],DistanceToCamp[CP_Pcode],0)-1,0,1,1),"")</f>
        <v>17.035515422123492</v>
      </c>
      <c r="AF124" s="219">
        <f ca="1">IFERROR(INT(CampList[[#This Row],[Distance]]/5)+1,"")</f>
        <v>4</v>
      </c>
    </row>
    <row r="125" spans="2:32" ht="15.75" customHeight="1" x14ac:dyDescent="0.3">
      <c r="B125" s="201" t="s">
        <v>1692</v>
      </c>
      <c r="C125" s="196" t="s">
        <v>378</v>
      </c>
      <c r="D125" s="196" t="s">
        <v>478</v>
      </c>
      <c r="E125" s="196" t="s">
        <v>237</v>
      </c>
      <c r="F125" s="196" t="s">
        <v>484</v>
      </c>
      <c r="G125" s="196" t="s">
        <v>237</v>
      </c>
      <c r="H125" s="196" t="s">
        <v>488</v>
      </c>
      <c r="I125" s="196" t="s">
        <v>649</v>
      </c>
      <c r="J125" s="214" t="s">
        <v>650</v>
      </c>
      <c r="K125" s="196" t="s">
        <v>651</v>
      </c>
      <c r="L125" s="196">
        <v>165685</v>
      </c>
      <c r="M125" s="196" t="s">
        <v>272</v>
      </c>
      <c r="N125" s="196" t="s">
        <v>271</v>
      </c>
      <c r="O125" s="204">
        <v>97.4345</v>
      </c>
      <c r="P125" s="204">
        <v>25.493819999999999</v>
      </c>
      <c r="Q125" s="215"/>
      <c r="R125" s="270">
        <v>149</v>
      </c>
      <c r="S125" s="270">
        <v>885</v>
      </c>
      <c r="T125" s="205">
        <f>IF(CampList[[#This Row],[HH]]&gt;0,CampList[[#This Row],[Total]]/CampList[[#This Row],[HH]],"NA")</f>
        <v>5.9395973154362416</v>
      </c>
      <c r="U125" s="181" t="s">
        <v>464</v>
      </c>
      <c r="V125" s="197" t="s">
        <v>993</v>
      </c>
      <c r="W125" s="181" t="s">
        <v>507</v>
      </c>
      <c r="X125" s="181" t="s">
        <v>742</v>
      </c>
      <c r="Y125" s="309">
        <v>41244</v>
      </c>
      <c r="Z125" s="215" t="s">
        <v>934</v>
      </c>
      <c r="AA125" s="196" t="s">
        <v>774</v>
      </c>
      <c r="AB125" s="208">
        <v>43593</v>
      </c>
      <c r="AC125" s="217" t="s">
        <v>2056</v>
      </c>
      <c r="AD125" s="218" t="str">
        <f ca="1">IFERROR(OFFSET(DistanceToCamp[Nearest Town],MATCH(CampList[[#This Row],[CP_Pcode]],DistanceToCamp[CP_Pcode],0)-1,0,1,1),"")</f>
        <v>Myitkyina Town</v>
      </c>
      <c r="AE125" s="210">
        <f ca="1">IFERROR(OFFSET(DistanceToCamp[distance],MATCH(CampList[[#This Row],[CP_Pcode]],DistanceToCamp[CP_Pcode],0)-1,0,1,1),"")</f>
        <v>12.627188913244609</v>
      </c>
      <c r="AF125" s="219">
        <f ca="1">IFERROR(INT(CampList[[#This Row],[Distance]]/5)+1,"")</f>
        <v>3</v>
      </c>
    </row>
    <row r="126" spans="2:32" ht="15.75" customHeight="1" x14ac:dyDescent="0.3">
      <c r="B126" s="201" t="s">
        <v>1692</v>
      </c>
      <c r="C126" s="195" t="s">
        <v>378</v>
      </c>
      <c r="D126" s="195" t="s">
        <v>478</v>
      </c>
      <c r="E126" s="195" t="s">
        <v>5</v>
      </c>
      <c r="F126" s="195" t="s">
        <v>482</v>
      </c>
      <c r="G126" s="195" t="s">
        <v>5</v>
      </c>
      <c r="H126" s="195" t="s">
        <v>483</v>
      </c>
      <c r="I126" s="209" t="s">
        <v>577</v>
      </c>
      <c r="J126" s="209" t="s">
        <v>578</v>
      </c>
      <c r="K126" s="195"/>
      <c r="L126" s="195"/>
      <c r="M126" s="195" t="s">
        <v>1884</v>
      </c>
      <c r="N126" s="195" t="s">
        <v>11</v>
      </c>
      <c r="O126" s="202">
        <v>97.228835000000004</v>
      </c>
      <c r="P126" s="202">
        <v>24.263786</v>
      </c>
      <c r="Q126" s="215"/>
      <c r="R126" s="307">
        <v>181</v>
      </c>
      <c r="S126" s="307">
        <v>906</v>
      </c>
      <c r="T126" s="205">
        <f>IF(CampList[[#This Row],[HH]]&gt;0,CampList[[#This Row],[Total]]/CampList[[#This Row],[HH]],"NA")</f>
        <v>5.0055248618784534</v>
      </c>
      <c r="U126" s="197" t="s">
        <v>464</v>
      </c>
      <c r="V126" s="197" t="s">
        <v>993</v>
      </c>
      <c r="W126" s="225" t="s">
        <v>1881</v>
      </c>
      <c r="X126" s="197" t="s">
        <v>742</v>
      </c>
      <c r="Y126" s="309"/>
      <c r="Z126" s="207" t="s">
        <v>1311</v>
      </c>
      <c r="AA126" s="221" t="s">
        <v>1164</v>
      </c>
      <c r="AB126" s="227">
        <v>43542</v>
      </c>
      <c r="AC126" s="201" t="s">
        <v>1378</v>
      </c>
      <c r="AD126" s="197" t="str">
        <f ca="1">IFERROR(OFFSET(DistanceToCamp[Nearest Town],MATCH(CampList[[#This Row],[CP_Pcode]],DistanceToCamp[CP_Pcode],0)-1,0,1,1),"")</f>
        <v>Bhamo Town</v>
      </c>
      <c r="AE126" s="210">
        <f ca="1">IFERROR(OFFSET(DistanceToCamp[distance],MATCH(CampList[[#This Row],[CP_Pcode]],DistanceToCamp[CP_Pcode],0)-1,0,1,1),"")</f>
        <v>1.1354007641426449</v>
      </c>
      <c r="AF126" s="211">
        <f ca="1">IFERROR(INT(CampList[[#This Row],[Distance]]/5)+1,"")</f>
        <v>1</v>
      </c>
    </row>
    <row r="127" spans="2:32" ht="15.75" customHeight="1" x14ac:dyDescent="0.3">
      <c r="B127" s="201" t="s">
        <v>1692</v>
      </c>
      <c r="C127" s="195" t="s">
        <v>378</v>
      </c>
      <c r="D127" s="195" t="s">
        <v>478</v>
      </c>
      <c r="E127" s="195" t="s">
        <v>180</v>
      </c>
      <c r="F127" s="195" t="s">
        <v>479</v>
      </c>
      <c r="G127" s="195" t="s">
        <v>480</v>
      </c>
      <c r="H127" s="195" t="s">
        <v>481</v>
      </c>
      <c r="I127" s="195" t="s">
        <v>543</v>
      </c>
      <c r="J127" s="195" t="s">
        <v>544</v>
      </c>
      <c r="K127" s="195" t="s">
        <v>547</v>
      </c>
      <c r="L127" s="195" t="s">
        <v>548</v>
      </c>
      <c r="M127" s="195" t="s">
        <v>92</v>
      </c>
      <c r="N127" s="195" t="s">
        <v>91</v>
      </c>
      <c r="O127" s="202">
        <v>96.316400000000002</v>
      </c>
      <c r="P127" s="202">
        <v>25.61842</v>
      </c>
      <c r="Q127" s="203">
        <v>250</v>
      </c>
      <c r="R127" s="270">
        <v>12</v>
      </c>
      <c r="S127" s="270">
        <v>60</v>
      </c>
      <c r="T127" s="205">
        <f>IF(CampList[[#This Row],[HH]]&gt;0,CampList[[#This Row],[Total]]/CampList[[#This Row],[HH]],"NA")</f>
        <v>5</v>
      </c>
      <c r="U127" s="197" t="s">
        <v>464</v>
      </c>
      <c r="V127" s="197" t="s">
        <v>993</v>
      </c>
      <c r="W127" s="197" t="s">
        <v>507</v>
      </c>
      <c r="X127" s="197" t="s">
        <v>742</v>
      </c>
      <c r="Y127" s="308">
        <v>41275</v>
      </c>
      <c r="Z127" s="636" t="s">
        <v>462</v>
      </c>
      <c r="AA127" s="221" t="s">
        <v>774</v>
      </c>
      <c r="AB127" s="208">
        <v>43593</v>
      </c>
      <c r="AC127" s="201" t="s">
        <v>2082</v>
      </c>
      <c r="AD127" s="197" t="str">
        <f ca="1">IFERROR(OFFSET(DistanceToCamp[Nearest Town],MATCH(CampList[[#This Row],[CP_Pcode]],DistanceToCamp[CP_Pcode],0)-1,0,1,1),"")</f>
        <v>Hpakant Town</v>
      </c>
      <c r="AE127" s="210">
        <f ca="1">IFERROR(OFFSET(DistanceToCamp[distance],MATCH(CampList[[#This Row],[CP_Pcode]],DistanceToCamp[CP_Pcode],0)-1,0,1,1),"")</f>
        <v>0.75842119772531946</v>
      </c>
      <c r="AF127" s="211">
        <f ca="1">IFERROR(INT(CampList[[#This Row],[Distance]]/5)+1,"")</f>
        <v>1</v>
      </c>
    </row>
    <row r="128" spans="2:32" ht="15.75" customHeight="1" x14ac:dyDescent="0.3">
      <c r="B128" s="201" t="s">
        <v>1692</v>
      </c>
      <c r="C128" s="195" t="s">
        <v>378</v>
      </c>
      <c r="D128" s="195" t="s">
        <v>478</v>
      </c>
      <c r="E128" s="195" t="s">
        <v>180</v>
      </c>
      <c r="F128" s="195" t="s">
        <v>479</v>
      </c>
      <c r="G128" s="195" t="s">
        <v>480</v>
      </c>
      <c r="H128" s="195" t="s">
        <v>481</v>
      </c>
      <c r="I128" s="209" t="s">
        <v>552</v>
      </c>
      <c r="J128" s="209" t="s">
        <v>553</v>
      </c>
      <c r="K128" s="209" t="s">
        <v>552</v>
      </c>
      <c r="L128" s="209">
        <v>166773</v>
      </c>
      <c r="M128" s="195" t="s">
        <v>120</v>
      </c>
      <c r="N128" s="195" t="s">
        <v>119</v>
      </c>
      <c r="O128" s="202">
        <v>96.361609999999999</v>
      </c>
      <c r="P128" s="202">
        <v>25.656009999999998</v>
      </c>
      <c r="Q128" s="203">
        <v>317</v>
      </c>
      <c r="R128" s="270">
        <v>68</v>
      </c>
      <c r="S128" s="270">
        <v>343</v>
      </c>
      <c r="T128" s="205">
        <f>IF(CampList[[#This Row],[HH]]&gt;0,CampList[[#This Row],[Total]]/CampList[[#This Row],[HH]],"NA")</f>
        <v>5.0441176470588234</v>
      </c>
      <c r="U128" s="197" t="s">
        <v>464</v>
      </c>
      <c r="V128" s="197" t="s">
        <v>993</v>
      </c>
      <c r="W128" s="197" t="s">
        <v>507</v>
      </c>
      <c r="X128" s="197" t="s">
        <v>784</v>
      </c>
      <c r="Y128" s="308">
        <v>41275</v>
      </c>
      <c r="Z128" s="636" t="s">
        <v>934</v>
      </c>
      <c r="AA128" s="221" t="s">
        <v>774</v>
      </c>
      <c r="AB128" s="208">
        <v>43593</v>
      </c>
      <c r="AC128" s="201" t="s">
        <v>2057</v>
      </c>
      <c r="AD128" s="197" t="str">
        <f ca="1">IFERROR(OFFSET(DistanceToCamp[Nearest Town],MATCH(CampList[[#This Row],[CP_Pcode]],DistanceToCamp[CP_Pcode],0)-1,0,1,1),"")</f>
        <v>Hpakant Town</v>
      </c>
      <c r="AE128" s="210">
        <f ca="1">IFERROR(OFFSET(DistanceToCamp[distance],MATCH(CampList[[#This Row],[CP_Pcode]],DistanceToCamp[CP_Pcode],0)-1,0,1,1),"")</f>
        <v>6.3039408411778268</v>
      </c>
      <c r="AF128" s="211">
        <f ca="1">IFERROR(INT(CampList[[#This Row],[Distance]]/5)+1,"")</f>
        <v>2</v>
      </c>
    </row>
    <row r="129" spans="2:32" ht="15.75" hidden="1" customHeight="1" x14ac:dyDescent="0.3">
      <c r="B129" s="201" t="s">
        <v>775</v>
      </c>
      <c r="C129" s="195" t="s">
        <v>378</v>
      </c>
      <c r="D129" s="195" t="s">
        <v>478</v>
      </c>
      <c r="E129" s="195" t="s">
        <v>5</v>
      </c>
      <c r="F129" s="195" t="s">
        <v>482</v>
      </c>
      <c r="G129" s="195" t="s">
        <v>151</v>
      </c>
      <c r="H129" s="195" t="s">
        <v>492</v>
      </c>
      <c r="I129" s="209" t="s">
        <v>677</v>
      </c>
      <c r="J129" s="209" t="s">
        <v>678</v>
      </c>
      <c r="K129" s="209"/>
      <c r="L129" s="209"/>
      <c r="M129" s="195" t="s">
        <v>158</v>
      </c>
      <c r="N129" s="195" t="s">
        <v>157</v>
      </c>
      <c r="O129" s="202">
        <v>97.585667000000001</v>
      </c>
      <c r="P129" s="202">
        <v>23.9055</v>
      </c>
      <c r="Q129" s="203">
        <v>745</v>
      </c>
      <c r="R129" s="280">
        <v>0</v>
      </c>
      <c r="S129" s="281">
        <v>0</v>
      </c>
      <c r="T129" s="205" t="str">
        <f>IF(CampList[[#This Row],[HH]]&gt;0,CampList[[#This Row],[Total]]/CampList[[#This Row],[HH]],"NA")</f>
        <v>NA</v>
      </c>
      <c r="U129" s="197" t="s">
        <v>466</v>
      </c>
      <c r="V129" s="197" t="s">
        <v>993</v>
      </c>
      <c r="W129" s="197" t="s">
        <v>507</v>
      </c>
      <c r="X129" s="197" t="s">
        <v>785</v>
      </c>
      <c r="Y129" s="636">
        <v>41122</v>
      </c>
      <c r="Z129" s="636" t="s">
        <v>933</v>
      </c>
      <c r="AA129" s="221" t="s">
        <v>774</v>
      </c>
      <c r="AB129" s="208">
        <v>42235</v>
      </c>
      <c r="AC129" s="201" t="s">
        <v>1062</v>
      </c>
      <c r="AD129" s="197" t="str">
        <f ca="1">IFERROR(OFFSET(DistanceToCamp[Nearest Town],MATCH(CampList[[#This Row],[CP_Pcode]],DistanceToCamp[CP_Pcode],0)-1,0,1,1),"")</f>
        <v>Namhkan Town</v>
      </c>
      <c r="AE129" s="210">
        <f ca="1">IFERROR(OFFSET(DistanceToCamp[distance],MATCH(CampList[[#This Row],[CP_Pcode]],DistanceToCamp[CP_Pcode],0)-1,0,1,1),"")</f>
        <v>12.392289083396149</v>
      </c>
      <c r="AF129" s="211">
        <f ca="1">IFERROR(INT(CampList[[#This Row],[Distance]]/5)+1,"")</f>
        <v>3</v>
      </c>
    </row>
    <row r="130" spans="2:32" ht="15.75" hidden="1" customHeight="1" x14ac:dyDescent="0.3">
      <c r="B130" s="201" t="s">
        <v>775</v>
      </c>
      <c r="C130" s="195" t="s">
        <v>378</v>
      </c>
      <c r="D130" s="195" t="s">
        <v>478</v>
      </c>
      <c r="E130" s="195" t="s">
        <v>5</v>
      </c>
      <c r="F130" s="195" t="s">
        <v>482</v>
      </c>
      <c r="G130" s="195" t="s">
        <v>151</v>
      </c>
      <c r="H130" s="195" t="s">
        <v>492</v>
      </c>
      <c r="I130" s="209" t="s">
        <v>600</v>
      </c>
      <c r="J130" s="209" t="s">
        <v>601</v>
      </c>
      <c r="K130" s="209"/>
      <c r="L130" s="209"/>
      <c r="M130" s="195" t="s">
        <v>162</v>
      </c>
      <c r="N130" s="195" t="s">
        <v>161</v>
      </c>
      <c r="O130" s="202"/>
      <c r="P130" s="202"/>
      <c r="Q130" s="215"/>
      <c r="R130" s="280">
        <v>0</v>
      </c>
      <c r="S130" s="281">
        <v>0</v>
      </c>
      <c r="T130" s="205" t="str">
        <f>IF(CampList[[#This Row],[HH]]&gt;0,CampList[[#This Row],[Total]]/CampList[[#This Row],[HH]],"NA")</f>
        <v>NA</v>
      </c>
      <c r="U130" s="197" t="s">
        <v>466</v>
      </c>
      <c r="V130" s="197" t="s">
        <v>993</v>
      </c>
      <c r="W130" s="197" t="s">
        <v>507</v>
      </c>
      <c r="X130" s="197"/>
      <c r="Y130" s="216"/>
      <c r="Z130" s="207"/>
      <c r="AA130" s="221" t="s">
        <v>774</v>
      </c>
      <c r="AB130" s="208">
        <v>41737</v>
      </c>
      <c r="AC130" s="201" t="s">
        <v>892</v>
      </c>
      <c r="AD130" s="197" t="str">
        <f ca="1">IFERROR(OFFSET(DistanceToCamp[Nearest Town],MATCH(CampList[[#This Row],[CP_Pcode]],DistanceToCamp[CP_Pcode],0)-1,0,1,1),"")</f>
        <v/>
      </c>
      <c r="AE130" s="210" t="str">
        <f ca="1">IFERROR(OFFSET(DistanceToCamp[distance],MATCH(CampList[[#This Row],[CP_Pcode]],DistanceToCamp[CP_Pcode],0)-1,0,1,1),"")</f>
        <v/>
      </c>
      <c r="AF130" s="211" t="str">
        <f ca="1">IFERROR(INT(CampList[[#This Row],[Distance]]/5)+1,"")</f>
        <v/>
      </c>
    </row>
    <row r="131" spans="2:32" ht="15.75" hidden="1" customHeight="1" x14ac:dyDescent="0.3">
      <c r="B131" s="201" t="s">
        <v>775</v>
      </c>
      <c r="C131" s="195" t="s">
        <v>378</v>
      </c>
      <c r="D131" s="195" t="s">
        <v>478</v>
      </c>
      <c r="E131" s="195" t="s">
        <v>5</v>
      </c>
      <c r="F131" s="195" t="s">
        <v>482</v>
      </c>
      <c r="G131" s="195" t="s">
        <v>151</v>
      </c>
      <c r="H131" s="195" t="s">
        <v>492</v>
      </c>
      <c r="I131" s="209" t="s">
        <v>568</v>
      </c>
      <c r="J131" s="209" t="s">
        <v>569</v>
      </c>
      <c r="K131" s="209"/>
      <c r="L131" s="209"/>
      <c r="M131" s="195" t="s">
        <v>164</v>
      </c>
      <c r="N131" s="195" t="s">
        <v>163</v>
      </c>
      <c r="O131" s="202">
        <v>97.132339999999999</v>
      </c>
      <c r="P131" s="202">
        <v>23.75817</v>
      </c>
      <c r="Q131" s="215"/>
      <c r="R131" s="280">
        <v>0</v>
      </c>
      <c r="S131" s="281">
        <v>0</v>
      </c>
      <c r="T131" s="205" t="str">
        <f>IF(CampList[[#This Row],[HH]]&gt;0,CampList[[#This Row],[Total]]/CampList[[#This Row],[HH]],"NA")</f>
        <v>NA</v>
      </c>
      <c r="U131" s="197" t="s">
        <v>466</v>
      </c>
      <c r="V131" s="197" t="s">
        <v>993</v>
      </c>
      <c r="W131" s="197" t="s">
        <v>507</v>
      </c>
      <c r="X131" s="197"/>
      <c r="Y131" s="216"/>
      <c r="Z131" s="207"/>
      <c r="AA131" s="221" t="s">
        <v>522</v>
      </c>
      <c r="AB131" s="224"/>
      <c r="AC131" s="201" t="s">
        <v>777</v>
      </c>
      <c r="AD131" s="197" t="str">
        <f ca="1">IFERROR(OFFSET(DistanceToCamp[Nearest Town],MATCH(CampList[[#This Row],[CP_Pcode]],DistanceToCamp[CP_Pcode],0)-1,0,1,1),"")</f>
        <v/>
      </c>
      <c r="AE131" s="210" t="str">
        <f ca="1">IFERROR(OFFSET(DistanceToCamp[distance],MATCH(CampList[[#This Row],[CP_Pcode]],DistanceToCamp[CP_Pcode],0)-1,0,1,1),"")</f>
        <v/>
      </c>
      <c r="AF131" s="211" t="str">
        <f ca="1">IFERROR(INT(CampList[[#This Row],[Distance]]/5)+1,"")</f>
        <v/>
      </c>
    </row>
    <row r="132" spans="2:32" ht="15.75" hidden="1" customHeight="1" x14ac:dyDescent="0.3">
      <c r="B132" s="201" t="s">
        <v>775</v>
      </c>
      <c r="C132" s="195" t="s">
        <v>378</v>
      </c>
      <c r="D132" s="195" t="s">
        <v>478</v>
      </c>
      <c r="E132" s="195" t="s">
        <v>237</v>
      </c>
      <c r="F132" s="195" t="s">
        <v>484</v>
      </c>
      <c r="G132" s="195" t="s">
        <v>361</v>
      </c>
      <c r="H132" s="195" t="s">
        <v>501</v>
      </c>
      <c r="I132" s="195"/>
      <c r="J132" s="195"/>
      <c r="K132" s="195"/>
      <c r="L132" s="195"/>
      <c r="M132" s="195" t="s">
        <v>35</v>
      </c>
      <c r="N132" s="195" t="s">
        <v>360</v>
      </c>
      <c r="O132" s="202"/>
      <c r="P132" s="202"/>
      <c r="Q132" s="215"/>
      <c r="R132" s="280">
        <v>0</v>
      </c>
      <c r="S132" s="281">
        <v>0</v>
      </c>
      <c r="T132" s="205" t="str">
        <f>IF(CampList[[#This Row],[HH]]&gt;0,CampList[[#This Row],[Total]]/CampList[[#This Row],[HH]],"NA")</f>
        <v>NA</v>
      </c>
      <c r="U132" s="197" t="s">
        <v>464</v>
      </c>
      <c r="V132" s="197" t="s">
        <v>993</v>
      </c>
      <c r="W132" s="197" t="s">
        <v>507</v>
      </c>
      <c r="X132" s="197"/>
      <c r="Y132" s="216"/>
      <c r="Z132" s="207"/>
      <c r="AA132" s="221"/>
      <c r="AB132" s="208">
        <v>41712</v>
      </c>
      <c r="AC132" s="201" t="s">
        <v>877</v>
      </c>
      <c r="AD132" s="197" t="str">
        <f ca="1">IFERROR(OFFSET(DistanceToCamp[Nearest Town],MATCH(CampList[[#This Row],[CP_Pcode]],DistanceToCamp[CP_Pcode],0)-1,0,1,1),"")</f>
        <v/>
      </c>
      <c r="AE132" s="210" t="str">
        <f ca="1">IFERROR(OFFSET(DistanceToCamp[distance],MATCH(CampList[[#This Row],[CP_Pcode]],DistanceToCamp[CP_Pcode],0)-1,0,1,1),"")</f>
        <v/>
      </c>
      <c r="AF132" s="211" t="str">
        <f ca="1">IFERROR(INT(CampList[[#This Row],[Distance]]/5)+1,"")</f>
        <v/>
      </c>
    </row>
    <row r="133" spans="2:32" ht="15.75" customHeight="1" x14ac:dyDescent="0.3">
      <c r="B133" s="201" t="s">
        <v>1692</v>
      </c>
      <c r="C133" s="195" t="s">
        <v>378</v>
      </c>
      <c r="D133" s="195" t="s">
        <v>478</v>
      </c>
      <c r="E133" s="195" t="s">
        <v>180</v>
      </c>
      <c r="F133" s="195" t="s">
        <v>479</v>
      </c>
      <c r="G133" s="195" t="s">
        <v>480</v>
      </c>
      <c r="H133" s="195" t="s">
        <v>481</v>
      </c>
      <c r="I133" s="209" t="s">
        <v>552</v>
      </c>
      <c r="J133" s="209" t="s">
        <v>553</v>
      </c>
      <c r="K133" s="209" t="s">
        <v>554</v>
      </c>
      <c r="L133" s="209">
        <v>166775</v>
      </c>
      <c r="M133" s="195" t="s">
        <v>52</v>
      </c>
      <c r="N133" s="195" t="s">
        <v>51</v>
      </c>
      <c r="O133" s="202">
        <v>96.346469999999997</v>
      </c>
      <c r="P133" s="202">
        <v>25.647649999999999</v>
      </c>
      <c r="Q133" s="203">
        <v>0</v>
      </c>
      <c r="R133" s="270">
        <v>36</v>
      </c>
      <c r="S133" s="281">
        <v>227</v>
      </c>
      <c r="T133" s="205">
        <f>IF(CampList[[#This Row],[HH]]&gt;0,CampList[[#This Row],[Total]]/CampList[[#This Row],[HH]],"NA")</f>
        <v>6.3055555555555554</v>
      </c>
      <c r="U133" s="197" t="s">
        <v>464</v>
      </c>
      <c r="V133" s="197" t="s">
        <v>993</v>
      </c>
      <c r="W133" s="197" t="s">
        <v>507</v>
      </c>
      <c r="X133" s="197" t="s">
        <v>784</v>
      </c>
      <c r="Y133" s="308">
        <v>41275</v>
      </c>
      <c r="Z133" s="636" t="s">
        <v>1835</v>
      </c>
      <c r="AA133" s="221" t="s">
        <v>774</v>
      </c>
      <c r="AB133" s="208">
        <v>43593</v>
      </c>
      <c r="AC133" s="201" t="s">
        <v>1988</v>
      </c>
      <c r="AD133" s="197" t="str">
        <f ca="1">IFERROR(OFFSET(DistanceToCamp[Nearest Town],MATCH(CampList[[#This Row],[CP_Pcode]],DistanceToCamp[CP_Pcode],0)-1,0,1,1),"")</f>
        <v>Hpakant Town</v>
      </c>
      <c r="AE133" s="210">
        <f ca="1">IFERROR(OFFSET(DistanceToCamp[distance],MATCH(CampList[[#This Row],[CP_Pcode]],DistanceToCamp[CP_Pcode],0)-1,0,1,1),"")</f>
        <v>5.184483270539272</v>
      </c>
      <c r="AF133" s="211">
        <f ca="1">IFERROR(INT(CampList[[#This Row],[Distance]]/5)+1,"")</f>
        <v>2</v>
      </c>
    </row>
    <row r="134" spans="2:32" ht="15.75" customHeight="1" x14ac:dyDescent="0.3">
      <c r="B134" s="201" t="s">
        <v>1692</v>
      </c>
      <c r="C134" s="195" t="s">
        <v>378</v>
      </c>
      <c r="D134" s="195" t="s">
        <v>478</v>
      </c>
      <c r="E134" s="195" t="s">
        <v>180</v>
      </c>
      <c r="F134" s="195" t="s">
        <v>479</v>
      </c>
      <c r="G134" s="195" t="s">
        <v>480</v>
      </c>
      <c r="H134" s="195" t="s">
        <v>481</v>
      </c>
      <c r="I134" s="209" t="s">
        <v>552</v>
      </c>
      <c r="J134" s="209" t="s">
        <v>553</v>
      </c>
      <c r="K134" s="209" t="s">
        <v>1094</v>
      </c>
      <c r="L134" s="220">
        <v>216876</v>
      </c>
      <c r="M134" s="195" t="s">
        <v>76</v>
      </c>
      <c r="N134" s="195" t="s">
        <v>75</v>
      </c>
      <c r="O134" s="202">
        <v>96.35257</v>
      </c>
      <c r="P134" s="202">
        <v>25.637309999999999</v>
      </c>
      <c r="Q134" s="203">
        <v>277.60000000000002</v>
      </c>
      <c r="R134" s="270">
        <v>70</v>
      </c>
      <c r="S134" s="270">
        <v>376</v>
      </c>
      <c r="T134" s="205">
        <f>IF(CampList[[#This Row],[HH]]&gt;0,CampList[[#This Row],[Total]]/CampList[[#This Row],[HH]],"NA")</f>
        <v>5.371428571428571</v>
      </c>
      <c r="U134" s="197" t="s">
        <v>464</v>
      </c>
      <c r="V134" s="197" t="s">
        <v>993</v>
      </c>
      <c r="W134" s="197" t="s">
        <v>507</v>
      </c>
      <c r="X134" s="181" t="s">
        <v>742</v>
      </c>
      <c r="Y134" s="308">
        <v>41275</v>
      </c>
      <c r="Z134" s="636" t="s">
        <v>462</v>
      </c>
      <c r="AA134" s="221" t="s">
        <v>774</v>
      </c>
      <c r="AB134" s="208">
        <v>43593</v>
      </c>
      <c r="AC134" s="201" t="s">
        <v>2083</v>
      </c>
      <c r="AD134" s="197" t="str">
        <f ca="1">IFERROR(OFFSET(DistanceToCamp[Nearest Town],MATCH(CampList[[#This Row],[CP_Pcode]],DistanceToCamp[CP_Pcode],0)-1,0,1,1),"")</f>
        <v>Hpakant Town</v>
      </c>
      <c r="AE134" s="210">
        <f ca="1">IFERROR(OFFSET(DistanceToCamp[distance],MATCH(CampList[[#This Row],[CP_Pcode]],DistanceToCamp[CP_Pcode],0)-1,0,1,1),"")</f>
        <v>4.8862832644478198</v>
      </c>
      <c r="AF134" s="211">
        <f ca="1">IFERROR(INT(CampList[[#This Row],[Distance]]/5)+1,"")</f>
        <v>1</v>
      </c>
    </row>
    <row r="135" spans="2:32" ht="15.75" customHeight="1" x14ac:dyDescent="0.3">
      <c r="B135" s="201" t="s">
        <v>1692</v>
      </c>
      <c r="C135" s="195" t="s">
        <v>378</v>
      </c>
      <c r="D135" s="195" t="s">
        <v>478</v>
      </c>
      <c r="E135" s="195" t="s">
        <v>180</v>
      </c>
      <c r="F135" s="195" t="s">
        <v>479</v>
      </c>
      <c r="G135" s="195" t="s">
        <v>480</v>
      </c>
      <c r="H135" s="195" t="s">
        <v>481</v>
      </c>
      <c r="I135" s="209" t="s">
        <v>552</v>
      </c>
      <c r="J135" s="209" t="s">
        <v>553</v>
      </c>
      <c r="K135" s="209" t="s">
        <v>552</v>
      </c>
      <c r="L135" s="212">
        <v>166773</v>
      </c>
      <c r="M135" s="195" t="s">
        <v>41</v>
      </c>
      <c r="N135" s="195" t="s">
        <v>40</v>
      </c>
      <c r="O135" s="202">
        <v>96.345569999999995</v>
      </c>
      <c r="P135" s="202">
        <v>25.635300000000001</v>
      </c>
      <c r="Q135" s="203">
        <v>0</v>
      </c>
      <c r="R135" s="270">
        <v>70</v>
      </c>
      <c r="S135" s="270">
        <v>372</v>
      </c>
      <c r="T135" s="205">
        <f>IF(CampList[[#This Row],[HH]]&gt;0,CampList[[#This Row],[Total]]/CampList[[#This Row],[HH]],"NA")</f>
        <v>5.3142857142857141</v>
      </c>
      <c r="U135" s="197" t="s">
        <v>464</v>
      </c>
      <c r="V135" s="197" t="s">
        <v>993</v>
      </c>
      <c r="W135" s="197" t="s">
        <v>507</v>
      </c>
      <c r="X135" s="197" t="s">
        <v>742</v>
      </c>
      <c r="Y135" s="308">
        <v>41275</v>
      </c>
      <c r="Z135" s="636" t="s">
        <v>462</v>
      </c>
      <c r="AA135" s="221" t="s">
        <v>774</v>
      </c>
      <c r="AB135" s="208">
        <v>43593</v>
      </c>
      <c r="AC135" s="201" t="s">
        <v>2084</v>
      </c>
      <c r="AD135" s="197" t="str">
        <f ca="1">IFERROR(OFFSET(DistanceToCamp[Nearest Town],MATCH(CampList[[#This Row],[CP_Pcode]],DistanceToCamp[CP_Pcode],0)-1,0,1,1),"")</f>
        <v>Hpakant Town</v>
      </c>
      <c r="AE135" s="210">
        <f ca="1">IFERROR(OFFSET(DistanceToCamp[distance],MATCH(CampList[[#This Row],[CP_Pcode]],DistanceToCamp[CP_Pcode],0)-1,0,1,1),"")</f>
        <v>4.1842484710239098</v>
      </c>
      <c r="AF135" s="211">
        <f ca="1">IFERROR(INT(CampList[[#This Row],[Distance]]/5)+1,"")</f>
        <v>1</v>
      </c>
    </row>
    <row r="136" spans="2:32" ht="15.75" hidden="1" customHeight="1" x14ac:dyDescent="0.3">
      <c r="B136" s="201" t="s">
        <v>775</v>
      </c>
      <c r="C136" s="195" t="s">
        <v>378</v>
      </c>
      <c r="D136" s="195" t="s">
        <v>478</v>
      </c>
      <c r="E136" s="195" t="s">
        <v>5</v>
      </c>
      <c r="F136" s="195" t="s">
        <v>482</v>
      </c>
      <c r="G136" s="195" t="s">
        <v>5</v>
      </c>
      <c r="H136" s="195" t="s">
        <v>483</v>
      </c>
      <c r="I136" s="195"/>
      <c r="J136" s="195"/>
      <c r="K136" s="195"/>
      <c r="L136" s="195"/>
      <c r="M136" s="195" t="s">
        <v>10</v>
      </c>
      <c r="N136" s="195" t="s">
        <v>9</v>
      </c>
      <c r="O136" s="202"/>
      <c r="P136" s="202"/>
      <c r="Q136" s="215"/>
      <c r="R136" s="280">
        <v>0</v>
      </c>
      <c r="S136" s="281">
        <v>0</v>
      </c>
      <c r="T136" s="205" t="str">
        <f>IF(CampList[[#This Row],[HH]]&gt;0,CampList[[#This Row],[Total]]/CampList[[#This Row],[HH]],"NA")</f>
        <v>NA</v>
      </c>
      <c r="U136" s="197" t="s">
        <v>464</v>
      </c>
      <c r="V136" s="197" t="s">
        <v>993</v>
      </c>
      <c r="W136" s="225" t="s">
        <v>1898</v>
      </c>
      <c r="X136" s="197"/>
      <c r="Y136" s="216"/>
      <c r="Z136" s="207"/>
      <c r="AA136" s="299"/>
      <c r="AB136" s="227">
        <v>41666</v>
      </c>
      <c r="AC136" s="209" t="s">
        <v>843</v>
      </c>
      <c r="AD136" s="197" t="str">
        <f ca="1">IFERROR(OFFSET(DistanceToCamp[Nearest Town],MATCH(CampList[[#This Row],[CP_Pcode]],DistanceToCamp[CP_Pcode],0)-1,0,1,1),"")</f>
        <v/>
      </c>
      <c r="AE136" s="210" t="str">
        <f ca="1">IFERROR(OFFSET(DistanceToCamp[distance],MATCH(CampList[[#This Row],[CP_Pcode]],DistanceToCamp[CP_Pcode],0)-1,0,1,1),"")</f>
        <v/>
      </c>
      <c r="AF136" s="211" t="str">
        <f ca="1">IFERROR(INT(CampList[[#This Row],[Distance]]/5)+1,"")</f>
        <v/>
      </c>
    </row>
    <row r="137" spans="2:32" ht="15.75" customHeight="1" x14ac:dyDescent="0.3">
      <c r="B137" s="201" t="s">
        <v>1692</v>
      </c>
      <c r="C137" s="195" t="s">
        <v>378</v>
      </c>
      <c r="D137" s="195" t="s">
        <v>478</v>
      </c>
      <c r="E137" s="195" t="s">
        <v>180</v>
      </c>
      <c r="F137" s="195" t="s">
        <v>479</v>
      </c>
      <c r="G137" s="195" t="s">
        <v>480</v>
      </c>
      <c r="H137" s="195" t="s">
        <v>481</v>
      </c>
      <c r="I137" s="195" t="s">
        <v>538</v>
      </c>
      <c r="J137" s="195" t="s">
        <v>539</v>
      </c>
      <c r="K137" s="209" t="s">
        <v>540</v>
      </c>
      <c r="L137" s="209">
        <v>166785</v>
      </c>
      <c r="M137" s="195" t="s">
        <v>90</v>
      </c>
      <c r="N137" s="195" t="s">
        <v>89</v>
      </c>
      <c r="O137" s="202">
        <v>96.269199999999998</v>
      </c>
      <c r="P137" s="202">
        <v>25.566510000000001</v>
      </c>
      <c r="Q137" s="203">
        <v>278</v>
      </c>
      <c r="R137" s="270">
        <v>18</v>
      </c>
      <c r="S137" s="270">
        <v>105</v>
      </c>
      <c r="T137" s="205">
        <f>IF(CampList[[#This Row],[HH]]&gt;0,CampList[[#This Row],[Total]]/CampList[[#This Row],[HH]],"NA")</f>
        <v>5.833333333333333</v>
      </c>
      <c r="U137" s="197" t="s">
        <v>464</v>
      </c>
      <c r="V137" s="197" t="s">
        <v>993</v>
      </c>
      <c r="W137" s="197" t="s">
        <v>507</v>
      </c>
      <c r="X137" s="197" t="s">
        <v>784</v>
      </c>
      <c r="Y137" s="308">
        <v>41275</v>
      </c>
      <c r="Z137" s="636" t="s">
        <v>462</v>
      </c>
      <c r="AA137" s="221" t="s">
        <v>774</v>
      </c>
      <c r="AB137" s="208">
        <v>43593</v>
      </c>
      <c r="AC137" s="201" t="s">
        <v>2085</v>
      </c>
      <c r="AD137" s="197" t="str">
        <f ca="1">IFERROR(OFFSET(DistanceToCamp[Nearest Town],MATCH(CampList[[#This Row],[CP_Pcode]],DistanceToCamp[CP_Pcode],0)-1,0,1,1),"")</f>
        <v>Hpakant Town</v>
      </c>
      <c r="AE137" s="210">
        <f ca="1">IFERROR(OFFSET(DistanceToCamp[distance],MATCH(CampList[[#This Row],[CP_Pcode]],DistanceToCamp[CP_Pcode],0)-1,0,1,1),"")</f>
        <v>6.7094919928483892</v>
      </c>
      <c r="AF137" s="211">
        <f ca="1">IFERROR(INT(CampList[[#This Row],[Distance]]/5)+1,"")</f>
        <v>2</v>
      </c>
    </row>
    <row r="138" spans="2:32" ht="15.75" customHeight="1" x14ac:dyDescent="0.3">
      <c r="B138" s="201" t="s">
        <v>1692</v>
      </c>
      <c r="C138" s="195" t="s">
        <v>378</v>
      </c>
      <c r="D138" s="195" t="s">
        <v>478</v>
      </c>
      <c r="E138" s="195" t="s">
        <v>180</v>
      </c>
      <c r="F138" s="195" t="s">
        <v>479</v>
      </c>
      <c r="G138" s="195" t="s">
        <v>480</v>
      </c>
      <c r="H138" s="195" t="s">
        <v>481</v>
      </c>
      <c r="I138" s="195" t="s">
        <v>538</v>
      </c>
      <c r="J138" s="195" t="s">
        <v>539</v>
      </c>
      <c r="K138" s="195" t="s">
        <v>540</v>
      </c>
      <c r="L138" s="195">
        <v>166785</v>
      </c>
      <c r="M138" s="195" t="s">
        <v>118</v>
      </c>
      <c r="N138" s="195" t="s">
        <v>117</v>
      </c>
      <c r="O138" s="202">
        <v>96.279200000000003</v>
      </c>
      <c r="P138" s="202">
        <v>25.56551</v>
      </c>
      <c r="Q138" s="203">
        <v>259</v>
      </c>
      <c r="R138" s="270">
        <v>10</v>
      </c>
      <c r="S138" s="270">
        <v>38</v>
      </c>
      <c r="T138" s="205">
        <f>IF(CampList[[#This Row],[HH]]&gt;0,CampList[[#This Row],[Total]]/CampList[[#This Row],[HH]],"NA")</f>
        <v>3.8</v>
      </c>
      <c r="U138" s="197" t="s">
        <v>464</v>
      </c>
      <c r="V138" s="197" t="s">
        <v>993</v>
      </c>
      <c r="W138" s="197" t="s">
        <v>1376</v>
      </c>
      <c r="X138" s="197" t="s">
        <v>784</v>
      </c>
      <c r="Y138" s="308">
        <v>41275</v>
      </c>
      <c r="Z138" s="636" t="s">
        <v>1311</v>
      </c>
      <c r="AA138" s="195" t="s">
        <v>774</v>
      </c>
      <c r="AB138" s="208">
        <v>43143</v>
      </c>
      <c r="AC138" s="209" t="s">
        <v>1749</v>
      </c>
      <c r="AD138" s="197" t="str">
        <f ca="1">IFERROR(OFFSET(DistanceToCamp[Nearest Town],MATCH(CampList[[#This Row],[CP_Pcode]],DistanceToCamp[CP_Pcode],0)-1,0,1,1),"")</f>
        <v>Hpakant Town</v>
      </c>
      <c r="AE138" s="210">
        <f ca="1">IFERROR(OFFSET(DistanceToCamp[distance],MATCH(CampList[[#This Row],[CP_Pcode]],DistanceToCamp[CP_Pcode],0)-1,0,1,1),"")</f>
        <v>6.2085564346706201</v>
      </c>
      <c r="AF138" s="211">
        <f ca="1">IFERROR(INT(CampList[[#This Row],[Distance]]/5)+1,"")</f>
        <v>2</v>
      </c>
    </row>
    <row r="139" spans="2:32" ht="15.75" customHeight="1" x14ac:dyDescent="0.3">
      <c r="B139" s="201" t="s">
        <v>1692</v>
      </c>
      <c r="C139" s="195" t="s">
        <v>378</v>
      </c>
      <c r="D139" s="195" t="s">
        <v>478</v>
      </c>
      <c r="E139" s="195" t="s">
        <v>180</v>
      </c>
      <c r="F139" s="195" t="s">
        <v>479</v>
      </c>
      <c r="G139" s="195" t="s">
        <v>480</v>
      </c>
      <c r="H139" s="195" t="s">
        <v>481</v>
      </c>
      <c r="I139" s="195" t="s">
        <v>538</v>
      </c>
      <c r="J139" s="195" t="s">
        <v>539</v>
      </c>
      <c r="K139" s="195" t="s">
        <v>542</v>
      </c>
      <c r="L139" s="195">
        <v>166788</v>
      </c>
      <c r="M139" s="195" t="s">
        <v>126</v>
      </c>
      <c r="N139" s="195" t="s">
        <v>125</v>
      </c>
      <c r="O139" s="202">
        <v>96.286680000000004</v>
      </c>
      <c r="P139" s="202">
        <v>25.577559999999998</v>
      </c>
      <c r="Q139" s="203">
        <v>0</v>
      </c>
      <c r="R139" s="270">
        <v>32</v>
      </c>
      <c r="S139" s="270">
        <v>173</v>
      </c>
      <c r="T139" s="205">
        <f>IF(CampList[[#This Row],[HH]]&gt;0,CampList[[#This Row],[Total]]/CampList[[#This Row],[HH]],"NA")</f>
        <v>5.40625</v>
      </c>
      <c r="U139" s="197" t="s">
        <v>464</v>
      </c>
      <c r="V139" s="197" t="s">
        <v>993</v>
      </c>
      <c r="W139" s="197" t="s">
        <v>507</v>
      </c>
      <c r="X139" s="197" t="s">
        <v>742</v>
      </c>
      <c r="Y139" s="308">
        <v>41275</v>
      </c>
      <c r="Z139" s="636" t="s">
        <v>1835</v>
      </c>
      <c r="AA139" s="195" t="s">
        <v>774</v>
      </c>
      <c r="AB139" s="208">
        <v>43593</v>
      </c>
      <c r="AC139" s="209" t="s">
        <v>1989</v>
      </c>
      <c r="AD139" s="197" t="str">
        <f ca="1">IFERROR(OFFSET(DistanceToCamp[Nearest Town],MATCH(CampList[[#This Row],[CP_Pcode]],DistanceToCamp[CP_Pcode],0)-1,0,1,1),"")</f>
        <v>Hpakant Town</v>
      </c>
      <c r="AE139" s="210">
        <f ca="1">IFERROR(OFFSET(DistanceToCamp[distance],MATCH(CampList[[#This Row],[CP_Pcode]],DistanceToCamp[CP_Pcode],0)-1,0,1,1),"")</f>
        <v>4.6754712546149264</v>
      </c>
      <c r="AF139" s="211">
        <f ca="1">IFERROR(INT(CampList[[#This Row],[Distance]]/5)+1,"")</f>
        <v>1</v>
      </c>
    </row>
    <row r="140" spans="2:32" ht="15.75" customHeight="1" x14ac:dyDescent="0.3">
      <c r="B140" s="201" t="s">
        <v>1692</v>
      </c>
      <c r="C140" s="195" t="s">
        <v>378</v>
      </c>
      <c r="D140" s="195" t="s">
        <v>478</v>
      </c>
      <c r="E140" s="195" t="s">
        <v>180</v>
      </c>
      <c r="F140" s="651" t="s">
        <v>479</v>
      </c>
      <c r="G140" s="651" t="s">
        <v>480</v>
      </c>
      <c r="H140" s="651" t="s">
        <v>481</v>
      </c>
      <c r="I140" s="653" t="s">
        <v>543</v>
      </c>
      <c r="J140" s="653" t="s">
        <v>544</v>
      </c>
      <c r="K140" s="209" t="s">
        <v>547</v>
      </c>
      <c r="L140" s="209" t="s">
        <v>548</v>
      </c>
      <c r="M140" s="195" t="s">
        <v>43</v>
      </c>
      <c r="N140" s="195" t="s">
        <v>42</v>
      </c>
      <c r="O140" s="202">
        <v>96.317350000000005</v>
      </c>
      <c r="P140" s="202">
        <v>25.616509000000001</v>
      </c>
      <c r="Q140" s="203">
        <v>264</v>
      </c>
      <c r="R140" s="270">
        <v>13</v>
      </c>
      <c r="S140" s="270">
        <v>84</v>
      </c>
      <c r="T140" s="205">
        <f>IF(CampList[[#This Row],[HH]]&gt;0,CampList[[#This Row],[Total]]/CampList[[#This Row],[HH]],"NA")</f>
        <v>6.4615384615384617</v>
      </c>
      <c r="U140" s="197" t="s">
        <v>464</v>
      </c>
      <c r="V140" s="197" t="s">
        <v>993</v>
      </c>
      <c r="W140" s="197" t="s">
        <v>507</v>
      </c>
      <c r="X140" s="181" t="s">
        <v>742</v>
      </c>
      <c r="Y140" s="308">
        <v>41275</v>
      </c>
      <c r="Z140" s="636" t="s">
        <v>462</v>
      </c>
      <c r="AA140" s="221" t="s">
        <v>774</v>
      </c>
      <c r="AB140" s="208">
        <v>43593</v>
      </c>
      <c r="AC140" s="201" t="s">
        <v>2086</v>
      </c>
      <c r="AD140" s="197" t="str">
        <f ca="1">IFERROR(OFFSET(DistanceToCamp[Nearest Town],MATCH(CampList[[#This Row],[CP_Pcode]],DistanceToCamp[CP_Pcode],0)-1,0,1,1),"")</f>
        <v>Hpakant Town</v>
      </c>
      <c r="AE140" s="210">
        <f ca="1">IFERROR(OFFSET(DistanceToCamp[distance],MATCH(CampList[[#This Row],[CP_Pcode]],DistanceToCamp[CP_Pcode],0)-1,0,1,1),"")</f>
        <v>0.66733171900141897</v>
      </c>
      <c r="AF140" s="211">
        <f ca="1">IFERROR(INT(CampList[[#This Row],[Distance]]/5)+1,"")</f>
        <v>1</v>
      </c>
    </row>
    <row r="141" spans="2:32" ht="15.75" customHeight="1" x14ac:dyDescent="0.3">
      <c r="B141" s="201" t="s">
        <v>1692</v>
      </c>
      <c r="C141" s="195" t="s">
        <v>378</v>
      </c>
      <c r="D141" s="195" t="s">
        <v>478</v>
      </c>
      <c r="E141" s="195" t="s">
        <v>180</v>
      </c>
      <c r="F141" s="195" t="s">
        <v>479</v>
      </c>
      <c r="G141" s="195" t="s">
        <v>480</v>
      </c>
      <c r="H141" s="195" t="s">
        <v>481</v>
      </c>
      <c r="I141" s="209" t="s">
        <v>543</v>
      </c>
      <c r="J141" s="209" t="s">
        <v>544</v>
      </c>
      <c r="K141" s="209" t="s">
        <v>547</v>
      </c>
      <c r="L141" s="209" t="s">
        <v>548</v>
      </c>
      <c r="M141" s="195" t="s">
        <v>44</v>
      </c>
      <c r="N141" s="195" t="s">
        <v>45</v>
      </c>
      <c r="O141" s="202">
        <v>96.316564</v>
      </c>
      <c r="P141" s="202">
        <v>25.615960999999999</v>
      </c>
      <c r="Q141" s="203">
        <v>281</v>
      </c>
      <c r="R141" s="270">
        <v>2</v>
      </c>
      <c r="S141" s="270">
        <v>14</v>
      </c>
      <c r="T141" s="205">
        <f>IF(CampList[[#This Row],[HH]]&gt;0,CampList[[#This Row],[Total]]/CampList[[#This Row],[HH]],"NA")</f>
        <v>7</v>
      </c>
      <c r="U141" s="197" t="s">
        <v>464</v>
      </c>
      <c r="V141" s="197" t="s">
        <v>993</v>
      </c>
      <c r="W141" s="197" t="s">
        <v>1376</v>
      </c>
      <c r="X141" s="197" t="s">
        <v>742</v>
      </c>
      <c r="Y141" s="308">
        <v>41122</v>
      </c>
      <c r="Z141" s="206" t="s">
        <v>1311</v>
      </c>
      <c r="AA141" s="221" t="s">
        <v>774</v>
      </c>
      <c r="AB141" s="208">
        <v>43143</v>
      </c>
      <c r="AC141" s="201" t="s">
        <v>1750</v>
      </c>
      <c r="AD141" s="197" t="str">
        <f ca="1">IFERROR(OFFSET(DistanceToCamp[Nearest Town],MATCH(CampList[[#This Row],[CP_Pcode]],DistanceToCamp[CP_Pcode],0)-1,0,1,1),"")</f>
        <v>Hpakant Town</v>
      </c>
      <c r="AE141" s="210">
        <f ca="1">IFERROR(OFFSET(DistanceToCamp[distance],MATCH(CampList[[#This Row],[CP_Pcode]],DistanceToCamp[CP_Pcode],0)-1,0,1,1),"")</f>
        <v>0.56771790814545575</v>
      </c>
      <c r="AF141" s="211">
        <f ca="1">IFERROR(INT(CampList[[#This Row],[Distance]]/5)+1,"")</f>
        <v>1</v>
      </c>
    </row>
    <row r="142" spans="2:32" ht="15.75" customHeight="1" x14ac:dyDescent="0.3">
      <c r="B142" s="201" t="s">
        <v>1692</v>
      </c>
      <c r="C142" s="195" t="s">
        <v>378</v>
      </c>
      <c r="D142" s="195" t="s">
        <v>478</v>
      </c>
      <c r="E142" s="195" t="s">
        <v>180</v>
      </c>
      <c r="F142" s="195" t="s">
        <v>479</v>
      </c>
      <c r="G142" s="195" t="s">
        <v>480</v>
      </c>
      <c r="H142" s="195" t="s">
        <v>481</v>
      </c>
      <c r="I142" s="209" t="s">
        <v>549</v>
      </c>
      <c r="J142" s="209" t="s">
        <v>550</v>
      </c>
      <c r="K142" s="209" t="s">
        <v>549</v>
      </c>
      <c r="L142" s="653">
        <v>166776</v>
      </c>
      <c r="M142" s="195" t="s">
        <v>551</v>
      </c>
      <c r="N142" s="195" t="s">
        <v>46</v>
      </c>
      <c r="O142" s="202">
        <v>96.339590000000001</v>
      </c>
      <c r="P142" s="202">
        <v>25.617998</v>
      </c>
      <c r="Q142" s="215"/>
      <c r="R142" s="270">
        <v>11</v>
      </c>
      <c r="S142" s="270">
        <v>43</v>
      </c>
      <c r="T142" s="205">
        <f>IF(CampList[[#This Row],[HH]]&gt;0,CampList[[#This Row],[Total]]/CampList[[#This Row],[HH]],"NA")</f>
        <v>3.9090909090909092</v>
      </c>
      <c r="U142" s="197" t="s">
        <v>464</v>
      </c>
      <c r="V142" s="197" t="s">
        <v>993</v>
      </c>
      <c r="W142" s="197" t="s">
        <v>1376</v>
      </c>
      <c r="X142" s="197" t="s">
        <v>742</v>
      </c>
      <c r="Y142" s="308">
        <v>41275</v>
      </c>
      <c r="Z142" s="206" t="s">
        <v>1311</v>
      </c>
      <c r="AA142" s="221" t="s">
        <v>774</v>
      </c>
      <c r="AB142" s="208">
        <v>43143</v>
      </c>
      <c r="AC142" s="201" t="s">
        <v>1751</v>
      </c>
      <c r="AD142" s="197" t="str">
        <f ca="1">IFERROR(OFFSET(DistanceToCamp[Nearest Town],MATCH(CampList[[#This Row],[CP_Pcode]],DistanceToCamp[CP_Pcode],0)-1,0,1,1),"")</f>
        <v>Hpakant Town</v>
      </c>
      <c r="AE142" s="210">
        <f ca="1">IFERROR(OFFSET(DistanceToCamp[distance],MATCH(CampList[[#This Row],[CP_Pcode]],DistanceToCamp[CP_Pcode],0)-1,0,1,1),"")</f>
        <v>2.814225084976667</v>
      </c>
      <c r="AF142" s="211">
        <f ca="1">IFERROR(INT(CampList[[#This Row],[Distance]]/5)+1,"")</f>
        <v>1</v>
      </c>
    </row>
    <row r="143" spans="2:32" ht="15.75" hidden="1" customHeight="1" x14ac:dyDescent="0.3">
      <c r="B143" s="201" t="s">
        <v>775</v>
      </c>
      <c r="C143" s="195" t="s">
        <v>378</v>
      </c>
      <c r="D143" s="195" t="s">
        <v>478</v>
      </c>
      <c r="E143" s="195" t="s">
        <v>180</v>
      </c>
      <c r="F143" s="195" t="s">
        <v>479</v>
      </c>
      <c r="G143" s="195" t="s">
        <v>480</v>
      </c>
      <c r="H143" s="195" t="s">
        <v>481</v>
      </c>
      <c r="I143" s="209" t="s">
        <v>552</v>
      </c>
      <c r="J143" s="209" t="s">
        <v>553</v>
      </c>
      <c r="K143" s="209" t="s">
        <v>700</v>
      </c>
      <c r="L143" s="209">
        <v>216877</v>
      </c>
      <c r="M143" s="195" t="s">
        <v>48</v>
      </c>
      <c r="N143" s="195" t="s">
        <v>47</v>
      </c>
      <c r="O143" s="202">
        <v>96.339870000000005</v>
      </c>
      <c r="P143" s="202">
        <v>25.655989999999999</v>
      </c>
      <c r="Q143" s="215"/>
      <c r="R143" s="280"/>
      <c r="S143" s="281"/>
      <c r="T143" s="205" t="str">
        <f>IF(CampList[[#This Row],[HH]]&gt;0,CampList[[#This Row],[Total]]/CampList[[#This Row],[HH]],"NA")</f>
        <v>NA</v>
      </c>
      <c r="U143" s="197" t="s">
        <v>464</v>
      </c>
      <c r="V143" s="197" t="s">
        <v>993</v>
      </c>
      <c r="W143" s="197" t="s">
        <v>507</v>
      </c>
      <c r="X143" s="197"/>
      <c r="Y143" s="216"/>
      <c r="Z143" s="207"/>
      <c r="AA143" s="221"/>
      <c r="AB143" s="224"/>
      <c r="AC143" s="201" t="s">
        <v>541</v>
      </c>
      <c r="AD143" s="197" t="str">
        <f ca="1">IFERROR(OFFSET(DistanceToCamp[Nearest Town],MATCH(CampList[[#This Row],[CP_Pcode]],DistanceToCamp[CP_Pcode],0)-1,0,1,1),"")</f>
        <v/>
      </c>
      <c r="AE143" s="210" t="str">
        <f ca="1">IFERROR(OFFSET(DistanceToCamp[distance],MATCH(CampList[[#This Row],[CP_Pcode]],DistanceToCamp[CP_Pcode],0)-1,0,1,1),"")</f>
        <v/>
      </c>
      <c r="AF143" s="211" t="str">
        <f ca="1">IFERROR(INT(CampList[[#This Row],[Distance]]/5)+1,"")</f>
        <v/>
      </c>
    </row>
    <row r="144" spans="2:32" ht="15.75" hidden="1" customHeight="1" x14ac:dyDescent="0.3">
      <c r="B144" s="201" t="s">
        <v>775</v>
      </c>
      <c r="C144" s="195" t="s">
        <v>378</v>
      </c>
      <c r="D144" s="195" t="s">
        <v>478</v>
      </c>
      <c r="E144" s="195" t="s">
        <v>180</v>
      </c>
      <c r="F144" s="195" t="s">
        <v>479</v>
      </c>
      <c r="G144" s="195" t="s">
        <v>480</v>
      </c>
      <c r="H144" s="195" t="s">
        <v>481</v>
      </c>
      <c r="I144" s="209" t="s">
        <v>552</v>
      </c>
      <c r="J144" s="209" t="s">
        <v>553</v>
      </c>
      <c r="K144" s="209" t="s">
        <v>552</v>
      </c>
      <c r="L144" s="209">
        <v>166773</v>
      </c>
      <c r="M144" s="195" t="s">
        <v>128</v>
      </c>
      <c r="N144" s="195" t="s">
        <v>127</v>
      </c>
      <c r="O144" s="202">
        <v>96.359549999999999</v>
      </c>
      <c r="P144" s="202">
        <v>25.658650000000002</v>
      </c>
      <c r="Q144" s="215"/>
      <c r="R144" s="280">
        <v>0</v>
      </c>
      <c r="S144" s="281">
        <v>0</v>
      </c>
      <c r="T144" s="205" t="str">
        <f>IF(CampList[[#This Row],[HH]]&gt;0,CampList[[#This Row],[Total]]/CampList[[#This Row],[HH]],"NA")</f>
        <v>NA</v>
      </c>
      <c r="U144" s="197" t="s">
        <v>464</v>
      </c>
      <c r="V144" s="197" t="s">
        <v>993</v>
      </c>
      <c r="W144" s="197" t="s">
        <v>507</v>
      </c>
      <c r="X144" s="197"/>
      <c r="Y144" s="216"/>
      <c r="Z144" s="207"/>
      <c r="AA144" s="221"/>
      <c r="AB144" s="224"/>
      <c r="AC144" s="201" t="s">
        <v>541</v>
      </c>
      <c r="AD144" s="197" t="str">
        <f ca="1">IFERROR(OFFSET(DistanceToCamp[Nearest Town],MATCH(CampList[[#This Row],[CP_Pcode]],DistanceToCamp[CP_Pcode],0)-1,0,1,1),"")</f>
        <v/>
      </c>
      <c r="AE144" s="210" t="str">
        <f ca="1">IFERROR(OFFSET(DistanceToCamp[distance],MATCH(CampList[[#This Row],[CP_Pcode]],DistanceToCamp[CP_Pcode],0)-1,0,1,1),"")</f>
        <v/>
      </c>
      <c r="AF144" s="211" t="str">
        <f ca="1">IFERROR(INT(CampList[[#This Row],[Distance]]/5)+1,"")</f>
        <v/>
      </c>
    </row>
    <row r="145" spans="2:35" ht="15.75" hidden="1" customHeight="1" x14ac:dyDescent="0.3">
      <c r="B145" s="201" t="s">
        <v>775</v>
      </c>
      <c r="C145" s="195" t="s">
        <v>378</v>
      </c>
      <c r="D145" s="195" t="s">
        <v>478</v>
      </c>
      <c r="E145" s="195" t="s">
        <v>180</v>
      </c>
      <c r="F145" s="195" t="s">
        <v>479</v>
      </c>
      <c r="G145" s="195" t="s">
        <v>480</v>
      </c>
      <c r="H145" s="195" t="s">
        <v>481</v>
      </c>
      <c r="I145" s="209" t="s">
        <v>552</v>
      </c>
      <c r="J145" s="209" t="s">
        <v>553</v>
      </c>
      <c r="K145" s="209" t="s">
        <v>555</v>
      </c>
      <c r="L145" s="209">
        <v>216880</v>
      </c>
      <c r="M145" s="195" t="s">
        <v>60</v>
      </c>
      <c r="N145" s="195" t="s">
        <v>59</v>
      </c>
      <c r="O145" s="202">
        <v>96.353070000000002</v>
      </c>
      <c r="P145" s="202">
        <v>25.668469999999999</v>
      </c>
      <c r="Q145" s="203">
        <v>256</v>
      </c>
      <c r="R145" s="280"/>
      <c r="S145" s="281"/>
      <c r="T145" s="205" t="str">
        <f>IF(CampList[[#This Row],[HH]]&gt;0,CampList[[#This Row],[Total]]/CampList[[#This Row],[HH]],"NA")</f>
        <v>NA</v>
      </c>
      <c r="U145" s="197" t="s">
        <v>464</v>
      </c>
      <c r="V145" s="197" t="s">
        <v>993</v>
      </c>
      <c r="W145" s="197" t="s">
        <v>507</v>
      </c>
      <c r="X145" s="197" t="s">
        <v>784</v>
      </c>
      <c r="Y145" s="636">
        <v>41275</v>
      </c>
      <c r="Z145" s="636"/>
      <c r="AA145" s="221" t="s">
        <v>773</v>
      </c>
      <c r="AB145" s="208">
        <v>41774</v>
      </c>
      <c r="AC145" s="201" t="s">
        <v>894</v>
      </c>
      <c r="AD145" s="197" t="str">
        <f ca="1">IFERROR(OFFSET(DistanceToCamp[Nearest Town],MATCH(CampList[[#This Row],[CP_Pcode]],DistanceToCamp[CP_Pcode],0)-1,0,1,1),"")</f>
        <v/>
      </c>
      <c r="AE145" s="210" t="str">
        <f ca="1">IFERROR(OFFSET(DistanceToCamp[distance],MATCH(CampList[[#This Row],[CP_Pcode]],DistanceToCamp[CP_Pcode],0)-1,0,1,1),"")</f>
        <v/>
      </c>
      <c r="AF145" s="211" t="str">
        <f ca="1">IFERROR(INT(CampList[[#This Row],[Distance]]/5)+1,"")</f>
        <v/>
      </c>
    </row>
    <row r="146" spans="2:35" ht="15.75" hidden="1" customHeight="1" x14ac:dyDescent="0.3">
      <c r="B146" s="201" t="s">
        <v>775</v>
      </c>
      <c r="C146" s="195" t="s">
        <v>378</v>
      </c>
      <c r="D146" s="195" t="s">
        <v>478</v>
      </c>
      <c r="E146" s="195" t="s">
        <v>180</v>
      </c>
      <c r="F146" s="195" t="s">
        <v>479</v>
      </c>
      <c r="G146" s="195" t="s">
        <v>480</v>
      </c>
      <c r="H146" s="195" t="s">
        <v>481</v>
      </c>
      <c r="I146" s="209" t="s">
        <v>552</v>
      </c>
      <c r="J146" s="209" t="s">
        <v>553</v>
      </c>
      <c r="K146" s="209" t="s">
        <v>554</v>
      </c>
      <c r="L146" s="209">
        <v>166775</v>
      </c>
      <c r="M146" s="195" t="s">
        <v>39</v>
      </c>
      <c r="N146" s="195" t="s">
        <v>38</v>
      </c>
      <c r="O146" s="202"/>
      <c r="P146" s="202"/>
      <c r="Q146" s="215"/>
      <c r="R146" s="280"/>
      <c r="S146" s="281"/>
      <c r="T146" s="205" t="str">
        <f>IF(CampList[[#This Row],[HH]]&gt;0,CampList[[#This Row],[Total]]/CampList[[#This Row],[HH]],"NA")</f>
        <v>NA</v>
      </c>
      <c r="U146" s="197" t="s">
        <v>464</v>
      </c>
      <c r="V146" s="197" t="s">
        <v>993</v>
      </c>
      <c r="W146" s="197" t="s">
        <v>507</v>
      </c>
      <c r="X146" s="197"/>
      <c r="Y146" s="216"/>
      <c r="Z146" s="207"/>
      <c r="AA146" s="221"/>
      <c r="AB146" s="224"/>
      <c r="AC146" s="201" t="s">
        <v>541</v>
      </c>
      <c r="AD146" s="197" t="str">
        <f ca="1">IFERROR(OFFSET(DistanceToCamp[Nearest Town],MATCH(CampList[[#This Row],[CP_Pcode]],DistanceToCamp[CP_Pcode],0)-1,0,1,1),"")</f>
        <v/>
      </c>
      <c r="AE146" s="210" t="str">
        <f ca="1">IFERROR(OFFSET(DistanceToCamp[distance],MATCH(CampList[[#This Row],[CP_Pcode]],DistanceToCamp[CP_Pcode],0)-1,0,1,1),"")</f>
        <v/>
      </c>
      <c r="AF146" s="211" t="str">
        <f ca="1">IFERROR(INT(CampList[[#This Row],[Distance]]/5)+1,"")</f>
        <v/>
      </c>
    </row>
    <row r="147" spans="2:35" ht="15.75" customHeight="1" x14ac:dyDescent="0.3">
      <c r="B147" s="201" t="s">
        <v>1692</v>
      </c>
      <c r="C147" s="195" t="s">
        <v>378</v>
      </c>
      <c r="D147" s="195" t="s">
        <v>478</v>
      </c>
      <c r="E147" s="195" t="s">
        <v>5</v>
      </c>
      <c r="F147" s="195" t="s">
        <v>482</v>
      </c>
      <c r="G147" s="195" t="s">
        <v>5</v>
      </c>
      <c r="H147" s="195" t="s">
        <v>483</v>
      </c>
      <c r="I147" s="195" t="s">
        <v>585</v>
      </c>
      <c r="J147" s="195" t="s">
        <v>586</v>
      </c>
      <c r="K147" s="195" t="s">
        <v>587</v>
      </c>
      <c r="L147" s="195">
        <v>166854</v>
      </c>
      <c r="M147" s="195" t="s">
        <v>364</v>
      </c>
      <c r="N147" s="195" t="s">
        <v>374</v>
      </c>
      <c r="O147" s="202">
        <v>97.252650000000003</v>
      </c>
      <c r="P147" s="202">
        <v>24.222349999999999</v>
      </c>
      <c r="Q147" s="203">
        <v>0</v>
      </c>
      <c r="R147" s="181">
        <v>147</v>
      </c>
      <c r="S147" s="270">
        <v>783</v>
      </c>
      <c r="T147" s="205">
        <f>IF(CampList[[#This Row],[HH]]&gt;0,CampList[[#This Row],[Total]]/CampList[[#This Row],[HH]],"NA")</f>
        <v>5.3265306122448983</v>
      </c>
      <c r="U147" s="197" t="s">
        <v>464</v>
      </c>
      <c r="V147" s="197" t="s">
        <v>993</v>
      </c>
      <c r="W147" s="197" t="s">
        <v>507</v>
      </c>
      <c r="X147" s="197" t="s">
        <v>742</v>
      </c>
      <c r="Y147" s="308">
        <v>41275</v>
      </c>
      <c r="Z147" s="636" t="s">
        <v>1834</v>
      </c>
      <c r="AA147" s="195" t="s">
        <v>774</v>
      </c>
      <c r="AB147" s="208">
        <v>43593</v>
      </c>
      <c r="AC147" s="209" t="s">
        <v>1964</v>
      </c>
      <c r="AD147" s="197" t="str">
        <f ca="1">IFERROR(OFFSET(DistanceToCamp[Nearest Town],MATCH(CampList[[#This Row],[CP_Pcode]],DistanceToCamp[CP_Pcode],0)-1,0,1,1),"")</f>
        <v>Bhamo Town</v>
      </c>
      <c r="AE147" s="210">
        <f ca="1">IFERROR(OFFSET(DistanceToCamp[distance],MATCH(CampList[[#This Row],[CP_Pcode]],DistanceToCamp[CP_Pcode],0)-1,0,1,1),"")</f>
        <v>4.067486452659054</v>
      </c>
      <c r="AF147" s="211">
        <f ca="1">IFERROR(INT(CampList[[#This Row],[Distance]]/5)+1,"")</f>
        <v>1</v>
      </c>
    </row>
    <row r="148" spans="2:35" ht="15.75" hidden="1" customHeight="1" x14ac:dyDescent="0.3">
      <c r="B148" s="201" t="s">
        <v>775</v>
      </c>
      <c r="C148" s="195" t="s">
        <v>378</v>
      </c>
      <c r="D148" s="195" t="s">
        <v>478</v>
      </c>
      <c r="E148" s="195" t="s">
        <v>180</v>
      </c>
      <c r="F148" s="195" t="s">
        <v>479</v>
      </c>
      <c r="G148" s="195" t="s">
        <v>480</v>
      </c>
      <c r="H148" s="195" t="s">
        <v>481</v>
      </c>
      <c r="I148" s="209" t="s">
        <v>543</v>
      </c>
      <c r="J148" s="209" t="s">
        <v>544</v>
      </c>
      <c r="K148" s="209" t="s">
        <v>641</v>
      </c>
      <c r="L148" s="209" t="s">
        <v>642</v>
      </c>
      <c r="M148" s="195" t="s">
        <v>74</v>
      </c>
      <c r="N148" s="195" t="s">
        <v>73</v>
      </c>
      <c r="O148" s="202"/>
      <c r="P148" s="202"/>
      <c r="Q148" s="215"/>
      <c r="R148" s="280"/>
      <c r="S148" s="281"/>
      <c r="T148" s="205" t="str">
        <f>IF(CampList[[#This Row],[HH]]&gt;0,CampList[[#This Row],[Total]]/CampList[[#This Row],[HH]],"NA")</f>
        <v>NA</v>
      </c>
      <c r="U148" s="197" t="s">
        <v>464</v>
      </c>
      <c r="V148" s="197" t="s">
        <v>993</v>
      </c>
      <c r="W148" s="197" t="s">
        <v>507</v>
      </c>
      <c r="X148" s="197"/>
      <c r="Y148" s="216"/>
      <c r="Z148" s="207"/>
      <c r="AA148" s="221"/>
      <c r="AB148" s="224"/>
      <c r="AC148" s="201" t="s">
        <v>541</v>
      </c>
      <c r="AD148" s="197" t="str">
        <f ca="1">IFERROR(OFFSET(DistanceToCamp[Nearest Town],MATCH(CampList[[#This Row],[CP_Pcode]],DistanceToCamp[CP_Pcode],0)-1,0,1,1),"")</f>
        <v/>
      </c>
      <c r="AE148" s="210" t="str">
        <f ca="1">IFERROR(OFFSET(DistanceToCamp[distance],MATCH(CampList[[#This Row],[CP_Pcode]],DistanceToCamp[CP_Pcode],0)-1,0,1,1),"")</f>
        <v/>
      </c>
      <c r="AF148" s="211" t="str">
        <f ca="1">IFERROR(INT(CampList[[#This Row],[Distance]]/5)+1,"")</f>
        <v/>
      </c>
    </row>
    <row r="149" spans="2:35" ht="15.75" customHeight="1" x14ac:dyDescent="0.3">
      <c r="B149" s="201" t="s">
        <v>1692</v>
      </c>
      <c r="C149" s="195" t="s">
        <v>378</v>
      </c>
      <c r="D149" s="195" t="s">
        <v>478</v>
      </c>
      <c r="E149" s="195" t="s">
        <v>5</v>
      </c>
      <c r="F149" s="195" t="s">
        <v>482</v>
      </c>
      <c r="G149" s="195" t="s">
        <v>5</v>
      </c>
      <c r="H149" s="195" t="s">
        <v>483</v>
      </c>
      <c r="I149" s="209" t="s">
        <v>1091</v>
      </c>
      <c r="J149" s="209" t="s">
        <v>1090</v>
      </c>
      <c r="K149" s="209" t="s">
        <v>1091</v>
      </c>
      <c r="L149" s="220">
        <v>166904</v>
      </c>
      <c r="M149" s="195" t="s">
        <v>465</v>
      </c>
      <c r="N149" s="195" t="s">
        <v>375</v>
      </c>
      <c r="O149" s="202">
        <v>97.252650000000003</v>
      </c>
      <c r="P149" s="202">
        <v>24.260466999999998</v>
      </c>
      <c r="Q149" s="203">
        <v>0</v>
      </c>
      <c r="R149" s="270">
        <v>12</v>
      </c>
      <c r="S149" s="270">
        <v>52</v>
      </c>
      <c r="T149" s="205">
        <f>IF(CampList[[#This Row],[HH]]&gt;0,CampList[[#This Row],[Total]]/CampList[[#This Row],[HH]],"NA")</f>
        <v>4.333333333333333</v>
      </c>
      <c r="U149" s="197" t="s">
        <v>464</v>
      </c>
      <c r="V149" s="197" t="s">
        <v>993</v>
      </c>
      <c r="W149" s="197" t="s">
        <v>507</v>
      </c>
      <c r="X149" s="197" t="s">
        <v>742</v>
      </c>
      <c r="Y149" s="308">
        <v>40787</v>
      </c>
      <c r="Z149" s="636" t="s">
        <v>1834</v>
      </c>
      <c r="AA149" s="221" t="s">
        <v>774</v>
      </c>
      <c r="AB149" s="208">
        <v>43593</v>
      </c>
      <c r="AC149" s="201" t="s">
        <v>1965</v>
      </c>
      <c r="AD149" s="197" t="str">
        <f ca="1">IFERROR(OFFSET(DistanceToCamp[Nearest Town],MATCH(CampList[[#This Row],[CP_Pcode]],DistanceToCamp[CP_Pcode],0)-1,0,1,1),"")</f>
        <v>Bhamo Town</v>
      </c>
      <c r="AE149" s="210">
        <f ca="1">IFERROR(OFFSET(DistanceToCamp[distance],MATCH(CampList[[#This Row],[CP_Pcode]],DistanceToCamp[CP_Pcode],0)-1,0,1,1),"")</f>
        <v>1.9489261822960435</v>
      </c>
      <c r="AF149" s="211">
        <f ca="1">IFERROR(INT(CampList[[#This Row],[Distance]]/5)+1,"")</f>
        <v>1</v>
      </c>
    </row>
    <row r="150" spans="2:35" ht="15.75" hidden="1" customHeight="1" x14ac:dyDescent="0.3">
      <c r="B150" s="201" t="s">
        <v>775</v>
      </c>
      <c r="C150" s="195" t="s">
        <v>378</v>
      </c>
      <c r="D150" s="195" t="s">
        <v>478</v>
      </c>
      <c r="E150" s="195" t="s">
        <v>180</v>
      </c>
      <c r="F150" s="195" t="s">
        <v>479</v>
      </c>
      <c r="G150" s="195" t="s">
        <v>480</v>
      </c>
      <c r="H150" s="195" t="s">
        <v>481</v>
      </c>
      <c r="I150" s="209" t="s">
        <v>552</v>
      </c>
      <c r="J150" s="209" t="s">
        <v>553</v>
      </c>
      <c r="K150" s="209" t="s">
        <v>552</v>
      </c>
      <c r="L150" s="209">
        <v>166773</v>
      </c>
      <c r="M150" s="195" t="s">
        <v>142</v>
      </c>
      <c r="N150" s="195" t="s">
        <v>141</v>
      </c>
      <c r="O150" s="202">
        <v>96.354159999999993</v>
      </c>
      <c r="P150" s="202">
        <v>25.658670000000001</v>
      </c>
      <c r="Q150" s="203">
        <v>0</v>
      </c>
      <c r="R150" s="280">
        <v>0</v>
      </c>
      <c r="S150" s="281">
        <v>0</v>
      </c>
      <c r="T150" s="205" t="str">
        <f>IF(CampList[[#This Row],[HH]]&gt;0,CampList[[#This Row],[Total]]/CampList[[#This Row],[HH]],"NA")</f>
        <v>NA</v>
      </c>
      <c r="U150" s="197" t="s">
        <v>464</v>
      </c>
      <c r="V150" s="197" t="s">
        <v>993</v>
      </c>
      <c r="W150" s="197" t="s">
        <v>507</v>
      </c>
      <c r="X150" s="197" t="s">
        <v>784</v>
      </c>
      <c r="Y150" s="636">
        <v>41275</v>
      </c>
      <c r="Z150" s="636"/>
      <c r="AA150" s="221" t="s">
        <v>773</v>
      </c>
      <c r="AB150" s="208">
        <v>41774</v>
      </c>
      <c r="AC150" s="201" t="s">
        <v>896</v>
      </c>
      <c r="AD150" s="197" t="str">
        <f ca="1">IFERROR(OFFSET(DistanceToCamp[Nearest Town],MATCH(CampList[[#This Row],[CP_Pcode]],DistanceToCamp[CP_Pcode],0)-1,0,1,1),"")</f>
        <v/>
      </c>
      <c r="AE150" s="210" t="str">
        <f ca="1">IFERROR(OFFSET(DistanceToCamp[distance],MATCH(CampList[[#This Row],[CP_Pcode]],DistanceToCamp[CP_Pcode],0)-1,0,1,1),"")</f>
        <v/>
      </c>
      <c r="AF150" s="211" t="str">
        <f ca="1">IFERROR(INT(CampList[[#This Row],[Distance]]/5)+1,"")</f>
        <v/>
      </c>
    </row>
    <row r="151" spans="2:35" ht="15.75" hidden="1" customHeight="1" x14ac:dyDescent="0.3">
      <c r="B151" s="201" t="s">
        <v>775</v>
      </c>
      <c r="C151" s="195" t="s">
        <v>378</v>
      </c>
      <c r="D151" s="195" t="s">
        <v>478</v>
      </c>
      <c r="E151" s="195" t="s">
        <v>180</v>
      </c>
      <c r="F151" s="195" t="s">
        <v>479</v>
      </c>
      <c r="G151" s="195" t="s">
        <v>480</v>
      </c>
      <c r="H151" s="195" t="s">
        <v>481</v>
      </c>
      <c r="I151" s="209" t="s">
        <v>552</v>
      </c>
      <c r="J151" s="209" t="s">
        <v>553</v>
      </c>
      <c r="K151" s="209" t="s">
        <v>552</v>
      </c>
      <c r="L151" s="209">
        <v>166773</v>
      </c>
      <c r="M151" s="195" t="s">
        <v>98</v>
      </c>
      <c r="N151" s="195" t="s">
        <v>97</v>
      </c>
      <c r="O151" s="202">
        <v>96.359309999999994</v>
      </c>
      <c r="P151" s="202">
        <v>25.651440000000001</v>
      </c>
      <c r="Q151" s="215"/>
      <c r="R151" s="280">
        <v>0</v>
      </c>
      <c r="S151" s="281">
        <v>0</v>
      </c>
      <c r="T151" s="205" t="str">
        <f>IF(CampList[[#This Row],[HH]]&gt;0,CampList[[#This Row],[Total]]/CampList[[#This Row],[HH]],"NA")</f>
        <v>NA</v>
      </c>
      <c r="U151" s="197" t="s">
        <v>464</v>
      </c>
      <c r="V151" s="197" t="s">
        <v>993</v>
      </c>
      <c r="W151" s="197" t="s">
        <v>507</v>
      </c>
      <c r="X151" s="197"/>
      <c r="Y151" s="216"/>
      <c r="Z151" s="207"/>
      <c r="AA151" s="221"/>
      <c r="AB151" s="224"/>
      <c r="AC151" s="201" t="s">
        <v>541</v>
      </c>
      <c r="AD151" s="197" t="str">
        <f ca="1">IFERROR(OFFSET(DistanceToCamp[Nearest Town],MATCH(CampList[[#This Row],[CP_Pcode]],DistanceToCamp[CP_Pcode],0)-1,0,1,1),"")</f>
        <v/>
      </c>
      <c r="AE151" s="210" t="str">
        <f ca="1">IFERROR(OFFSET(DistanceToCamp[distance],MATCH(CampList[[#This Row],[CP_Pcode]],DistanceToCamp[CP_Pcode],0)-1,0,1,1),"")</f>
        <v/>
      </c>
      <c r="AF151" s="211" t="str">
        <f ca="1">IFERROR(INT(CampList[[#This Row],[Distance]]/5)+1,"")</f>
        <v/>
      </c>
    </row>
    <row r="152" spans="2:35" ht="15.75" hidden="1" customHeight="1" x14ac:dyDescent="0.3">
      <c r="B152" s="201" t="s">
        <v>775</v>
      </c>
      <c r="C152" s="195" t="s">
        <v>378</v>
      </c>
      <c r="D152" s="195" t="s">
        <v>478</v>
      </c>
      <c r="E152" s="195" t="s">
        <v>180</v>
      </c>
      <c r="F152" s="195" t="s">
        <v>479</v>
      </c>
      <c r="G152" s="195" t="s">
        <v>480</v>
      </c>
      <c r="H152" s="195" t="s">
        <v>481</v>
      </c>
      <c r="I152" s="209" t="s">
        <v>552</v>
      </c>
      <c r="J152" s="209" t="s">
        <v>553</v>
      </c>
      <c r="K152" s="209" t="s">
        <v>552</v>
      </c>
      <c r="L152" s="209">
        <v>166773</v>
      </c>
      <c r="M152" s="195" t="s">
        <v>62</v>
      </c>
      <c r="N152" s="195" t="s">
        <v>61</v>
      </c>
      <c r="O152" s="202">
        <v>96.355270000000004</v>
      </c>
      <c r="P152" s="202">
        <v>25.656130000000001</v>
      </c>
      <c r="Q152" s="203">
        <v>0</v>
      </c>
      <c r="R152" s="270"/>
      <c r="S152" s="270"/>
      <c r="T152" s="205" t="str">
        <f>IF(CampList[[#This Row],[HH]]&gt;0,CampList[[#This Row],[Total]]/CampList[[#This Row],[HH]],"NA")</f>
        <v>NA</v>
      </c>
      <c r="U152" s="197" t="s">
        <v>464</v>
      </c>
      <c r="V152" s="197" t="s">
        <v>993</v>
      </c>
      <c r="W152" s="197" t="s">
        <v>507</v>
      </c>
      <c r="X152" s="197" t="s">
        <v>784</v>
      </c>
      <c r="Y152" s="308">
        <v>41275</v>
      </c>
      <c r="Z152" s="636" t="s">
        <v>424</v>
      </c>
      <c r="AA152" s="221" t="s">
        <v>774</v>
      </c>
      <c r="AB152" s="208">
        <v>42919</v>
      </c>
      <c r="AC152" s="201" t="s">
        <v>1267</v>
      </c>
      <c r="AD152" s="197" t="str">
        <f ca="1">IFERROR(OFFSET(DistanceToCamp[Nearest Town],MATCH(CampList[[#This Row],[CP_Pcode]],DistanceToCamp[CP_Pcode],0)-1,0,1,1),"")</f>
        <v>Hpakant Town</v>
      </c>
      <c r="AE152" s="210">
        <f ca="1">IFERROR(OFFSET(DistanceToCamp[distance],MATCH(CampList[[#This Row],[CP_Pcode]],DistanceToCamp[CP_Pcode],0)-1,0,1,1),"")</f>
        <v>6.4753396248436657</v>
      </c>
      <c r="AF152" s="211">
        <f ca="1">IFERROR(INT(CampList[[#This Row],[Distance]]/5)+1,"")</f>
        <v>2</v>
      </c>
    </row>
    <row r="153" spans="2:35" ht="15.75" hidden="1" customHeight="1" x14ac:dyDescent="0.3">
      <c r="B153" s="201" t="s">
        <v>775</v>
      </c>
      <c r="C153" s="195" t="s">
        <v>378</v>
      </c>
      <c r="D153" s="195" t="s">
        <v>478</v>
      </c>
      <c r="E153" s="195" t="s">
        <v>180</v>
      </c>
      <c r="F153" s="195" t="s">
        <v>479</v>
      </c>
      <c r="G153" s="195" t="s">
        <v>480</v>
      </c>
      <c r="H153" s="195" t="s">
        <v>481</v>
      </c>
      <c r="I153" s="209" t="s">
        <v>538</v>
      </c>
      <c r="J153" s="209" t="s">
        <v>539</v>
      </c>
      <c r="K153" s="209" t="s">
        <v>538</v>
      </c>
      <c r="L153" s="209">
        <v>166783</v>
      </c>
      <c r="M153" s="195" t="s">
        <v>78</v>
      </c>
      <c r="N153" s="195" t="s">
        <v>77</v>
      </c>
      <c r="O153" s="202"/>
      <c r="P153" s="202"/>
      <c r="Q153" s="215"/>
      <c r="R153" s="280"/>
      <c r="S153" s="281"/>
      <c r="T153" s="205" t="str">
        <f>IF(CampList[[#This Row],[HH]]&gt;0,CampList[[#This Row],[Total]]/CampList[[#This Row],[HH]],"NA")</f>
        <v>NA</v>
      </c>
      <c r="U153" s="197" t="s">
        <v>464</v>
      </c>
      <c r="V153" s="197" t="s">
        <v>993</v>
      </c>
      <c r="W153" s="197" t="s">
        <v>507</v>
      </c>
      <c r="X153" s="197" t="s">
        <v>784</v>
      </c>
      <c r="Y153" s="216"/>
      <c r="Z153" s="207"/>
      <c r="AA153" s="221" t="s">
        <v>774</v>
      </c>
      <c r="AB153" s="208">
        <v>41774</v>
      </c>
      <c r="AC153" s="201" t="s">
        <v>896</v>
      </c>
      <c r="AD153" s="197" t="str">
        <f ca="1">IFERROR(OFFSET(DistanceToCamp[Nearest Town],MATCH(CampList[[#This Row],[CP_Pcode]],DistanceToCamp[CP_Pcode],0)-1,0,1,1),"")</f>
        <v/>
      </c>
      <c r="AE153" s="210" t="str">
        <f ca="1">IFERROR(OFFSET(DistanceToCamp[distance],MATCH(CampList[[#This Row],[CP_Pcode]],DistanceToCamp[CP_Pcode],0)-1,0,1,1),"")</f>
        <v/>
      </c>
      <c r="AF153" s="211" t="str">
        <f ca="1">IFERROR(INT(CampList[[#This Row],[Distance]]/5)+1,"")</f>
        <v/>
      </c>
    </row>
    <row r="154" spans="2:35" ht="15.75" customHeight="1" x14ac:dyDescent="0.3">
      <c r="B154" s="201" t="s">
        <v>1692</v>
      </c>
      <c r="C154" s="195" t="s">
        <v>378</v>
      </c>
      <c r="D154" s="195" t="s">
        <v>478</v>
      </c>
      <c r="E154" s="195" t="s">
        <v>237</v>
      </c>
      <c r="F154" s="195" t="s">
        <v>484</v>
      </c>
      <c r="G154" s="195" t="s">
        <v>27</v>
      </c>
      <c r="H154" s="195" t="s">
        <v>487</v>
      </c>
      <c r="I154" s="650" t="s">
        <v>731</v>
      </c>
      <c r="J154" s="650" t="s">
        <v>732</v>
      </c>
      <c r="K154" s="222" t="s">
        <v>1649</v>
      </c>
      <c r="L154" s="650" t="s">
        <v>1650</v>
      </c>
      <c r="M154" s="195" t="s">
        <v>363</v>
      </c>
      <c r="N154" s="195" t="s">
        <v>376</v>
      </c>
      <c r="O154" s="202">
        <v>98.129990000000006</v>
      </c>
      <c r="P154" s="202">
        <v>25.887339999999998</v>
      </c>
      <c r="Q154" s="215">
        <v>259.10000000000002</v>
      </c>
      <c r="R154" s="270">
        <v>206</v>
      </c>
      <c r="S154" s="270">
        <v>856</v>
      </c>
      <c r="T154" s="205">
        <f>IF(CampList[[#This Row],[HH]]&gt;0,CampList[[#This Row],[Total]]/CampList[[#This Row],[HH]],"NA")</f>
        <v>4.1553398058252426</v>
      </c>
      <c r="U154" s="197" t="s">
        <v>464</v>
      </c>
      <c r="V154" s="197" t="s">
        <v>993</v>
      </c>
      <c r="W154" s="197" t="s">
        <v>507</v>
      </c>
      <c r="X154" s="197" t="s">
        <v>784</v>
      </c>
      <c r="Y154" s="308">
        <v>40940</v>
      </c>
      <c r="Z154" s="636" t="s">
        <v>462</v>
      </c>
      <c r="AA154" s="221" t="s">
        <v>774</v>
      </c>
      <c r="AB154" s="208">
        <v>43593</v>
      </c>
      <c r="AC154" s="201" t="s">
        <v>2087</v>
      </c>
      <c r="AD154" s="197" t="str">
        <f ca="1">IFERROR(OFFSET(DistanceToCamp[Nearest Town],MATCH(CampList[[#This Row],[CP_Pcode]],DistanceToCamp[CP_Pcode],0)-1,0,1,1),"")</f>
        <v>Chipwi Town</v>
      </c>
      <c r="AE154" s="210">
        <f ca="1">IFERROR(OFFSET(DistanceToCamp[distance],MATCH(CampList[[#This Row],[CP_Pcode]],DistanceToCamp[CP_Pcode],0)-1,0,1,1),"")</f>
        <v>0</v>
      </c>
      <c r="AF154" s="211">
        <f ca="1">IFERROR(INT(CampList[[#This Row],[Distance]]/5)+1,"")</f>
        <v>1</v>
      </c>
    </row>
    <row r="155" spans="2:35" ht="15.75" customHeight="1" x14ac:dyDescent="0.3">
      <c r="B155" s="201" t="s">
        <v>1692</v>
      </c>
      <c r="C155" s="195" t="s">
        <v>378</v>
      </c>
      <c r="D155" s="195" t="s">
        <v>478</v>
      </c>
      <c r="E155" s="195" t="s">
        <v>5</v>
      </c>
      <c r="F155" s="195" t="s">
        <v>482</v>
      </c>
      <c r="G155" s="195" t="s">
        <v>151</v>
      </c>
      <c r="H155" s="195" t="s">
        <v>492</v>
      </c>
      <c r="I155" s="209" t="s">
        <v>590</v>
      </c>
      <c r="J155" s="209" t="s">
        <v>591</v>
      </c>
      <c r="K155" s="195"/>
      <c r="L155" s="195"/>
      <c r="M155" s="195" t="s">
        <v>1881</v>
      </c>
      <c r="N155" s="195" t="s">
        <v>388</v>
      </c>
      <c r="O155" s="202">
        <v>97.298055000000005</v>
      </c>
      <c r="P155" s="202">
        <v>24.118618999999999</v>
      </c>
      <c r="Q155" s="215"/>
      <c r="R155" s="306">
        <v>67</v>
      </c>
      <c r="S155" s="307">
        <v>324</v>
      </c>
      <c r="T155" s="205">
        <f>IF(CampList[[#This Row],[HH]]&gt;0,CampList[[#This Row],[Total]]/CampList[[#This Row],[HH]],"NA")</f>
        <v>4.8358208955223878</v>
      </c>
      <c r="U155" s="197" t="s">
        <v>464</v>
      </c>
      <c r="V155" s="197" t="s">
        <v>993</v>
      </c>
      <c r="W155" s="225" t="s">
        <v>1881</v>
      </c>
      <c r="X155" s="197" t="s">
        <v>742</v>
      </c>
      <c r="Y155" s="309"/>
      <c r="Z155" s="207" t="s">
        <v>1311</v>
      </c>
      <c r="AA155" s="221" t="s">
        <v>1164</v>
      </c>
      <c r="AB155" s="227">
        <v>43542</v>
      </c>
      <c r="AC155" s="201" t="s">
        <v>1924</v>
      </c>
      <c r="AD155" s="197" t="str">
        <f ca="1">IFERROR(OFFSET(DistanceToCamp[Nearest Town],MATCH(CampList[[#This Row],[CP_Pcode]],DistanceToCamp[CP_Pcode],0)-1,0,1,1),"")</f>
        <v>Mansi Town</v>
      </c>
      <c r="AE155" s="210">
        <f ca="1">IFERROR(OFFSET(DistanceToCamp[distance],MATCH(CampList[[#This Row],[CP_Pcode]],DistanceToCamp[CP_Pcode],0)-1,0,1,1),"")</f>
        <v>0.51447052329458698</v>
      </c>
      <c r="AF155" s="211">
        <f ca="1">IFERROR(INT(CampList[[#This Row],[Distance]]/5)+1,"")</f>
        <v>1</v>
      </c>
    </row>
    <row r="156" spans="2:35" ht="15.75" hidden="1" customHeight="1" x14ac:dyDescent="0.3">
      <c r="B156" s="201" t="s">
        <v>775</v>
      </c>
      <c r="C156" s="195" t="s">
        <v>378</v>
      </c>
      <c r="D156" s="195" t="s">
        <v>478</v>
      </c>
      <c r="E156" s="195" t="s">
        <v>180</v>
      </c>
      <c r="F156" s="195" t="s">
        <v>479</v>
      </c>
      <c r="G156" s="195" t="s">
        <v>480</v>
      </c>
      <c r="H156" s="195" t="s">
        <v>481</v>
      </c>
      <c r="I156" s="195" t="s">
        <v>538</v>
      </c>
      <c r="J156" s="195" t="s">
        <v>539</v>
      </c>
      <c r="K156" s="195" t="s">
        <v>540</v>
      </c>
      <c r="L156" s="214">
        <v>166785</v>
      </c>
      <c r="M156" s="195" t="s">
        <v>124</v>
      </c>
      <c r="N156" s="195" t="s">
        <v>123</v>
      </c>
      <c r="O156" s="202">
        <v>96.353030000000004</v>
      </c>
      <c r="P156" s="202">
        <v>25.668399999999998</v>
      </c>
      <c r="Q156" s="203">
        <v>0</v>
      </c>
      <c r="R156" s="270">
        <v>8</v>
      </c>
      <c r="S156" s="270">
        <v>32</v>
      </c>
      <c r="T156" s="205">
        <f>IF(CampList[[#This Row],[HH]]&gt;0,CampList[[#This Row],[Total]]/CampList[[#This Row],[HH]],"NA")</f>
        <v>4</v>
      </c>
      <c r="U156" s="197" t="s">
        <v>464</v>
      </c>
      <c r="V156" s="197" t="s">
        <v>993</v>
      </c>
      <c r="W156" s="197" t="s">
        <v>507</v>
      </c>
      <c r="X156" s="197" t="s">
        <v>784</v>
      </c>
      <c r="Y156" s="308">
        <v>41275</v>
      </c>
      <c r="Z156" s="206" t="s">
        <v>424</v>
      </c>
      <c r="AA156" s="195" t="s">
        <v>774</v>
      </c>
      <c r="AB156" s="208">
        <v>43039</v>
      </c>
      <c r="AC156" s="209" t="s">
        <v>1530</v>
      </c>
      <c r="AD156" s="197" t="str">
        <f ca="1">IFERROR(OFFSET(DistanceToCamp[Nearest Town],MATCH(CampList[[#This Row],[CP_Pcode]],DistanceToCamp[CP_Pcode],0)-1,0,1,1),"")</f>
        <v>Hpakant Town</v>
      </c>
      <c r="AE156" s="210">
        <f ca="1">IFERROR(OFFSET(DistanceToCamp[distance],MATCH(CampList[[#This Row],[CP_Pcode]],DistanceToCamp[CP_Pcode],0)-1,0,1,1),"")</f>
        <v>7.419312682373878</v>
      </c>
      <c r="AF156" s="211">
        <f ca="1">IFERROR(INT(CampList[[#This Row],[Distance]]/5)+1,"")</f>
        <v>2</v>
      </c>
    </row>
    <row r="157" spans="2:35" ht="15.75" customHeight="1" x14ac:dyDescent="0.3">
      <c r="B157" s="201" t="s">
        <v>1692</v>
      </c>
      <c r="C157" s="195" t="s">
        <v>378</v>
      </c>
      <c r="D157" s="195" t="s">
        <v>478</v>
      </c>
      <c r="E157" s="195" t="s">
        <v>5</v>
      </c>
      <c r="F157" s="195" t="s">
        <v>482</v>
      </c>
      <c r="G157" s="195" t="s">
        <v>185</v>
      </c>
      <c r="H157" s="195" t="s">
        <v>486</v>
      </c>
      <c r="I157" s="195" t="s">
        <v>602</v>
      </c>
      <c r="J157" s="195" t="s">
        <v>603</v>
      </c>
      <c r="K157" s="195"/>
      <c r="L157" s="195"/>
      <c r="M157" s="195" t="s">
        <v>1881</v>
      </c>
      <c r="N157" s="195" t="s">
        <v>389</v>
      </c>
      <c r="O157" s="202">
        <v>97.348405</v>
      </c>
      <c r="P157" s="202">
        <v>24.251232000000002</v>
      </c>
      <c r="Q157" s="215"/>
      <c r="R157" s="306">
        <v>223</v>
      </c>
      <c r="S157" s="307">
        <v>1067</v>
      </c>
      <c r="T157" s="205">
        <f>IF(CampList[[#This Row],[HH]]&gt;0,CampList[[#This Row],[Total]]/CampList[[#This Row],[HH]],"NA")</f>
        <v>4.7847533632286998</v>
      </c>
      <c r="U157" s="197" t="s">
        <v>464</v>
      </c>
      <c r="V157" s="197" t="s">
        <v>993</v>
      </c>
      <c r="W157" s="225" t="s">
        <v>1881</v>
      </c>
      <c r="X157" s="197" t="s">
        <v>742</v>
      </c>
      <c r="Y157" s="309"/>
      <c r="Z157" s="207" t="s">
        <v>1311</v>
      </c>
      <c r="AA157" s="221" t="s">
        <v>1164</v>
      </c>
      <c r="AB157" s="227">
        <v>43542</v>
      </c>
      <c r="AC157" s="201" t="s">
        <v>1925</v>
      </c>
      <c r="AD157" s="197" t="str">
        <f ca="1">IFERROR(OFFSET(DistanceToCamp[Nearest Town],MATCH(CampList[[#This Row],[CP_Pcode]],DistanceToCamp[CP_Pcode],0)-1,0,1,1),"")</f>
        <v>Momauk Town</v>
      </c>
      <c r="AE157" s="210">
        <f ca="1">IFERROR(OFFSET(DistanceToCamp[distance],MATCH(CampList[[#This Row],[CP_Pcode]],DistanceToCamp[CP_Pcode],0)-1,0,1,1),"")</f>
        <v>0.60629049139006752</v>
      </c>
      <c r="AF157" s="211">
        <f ca="1">IFERROR(INT(CampList[[#This Row],[Distance]]/5)+1,"")</f>
        <v>1</v>
      </c>
    </row>
    <row r="158" spans="2:35" ht="15.75" hidden="1" customHeight="1" x14ac:dyDescent="0.3">
      <c r="B158" s="201" t="s">
        <v>775</v>
      </c>
      <c r="C158" s="195" t="s">
        <v>378</v>
      </c>
      <c r="D158" s="195" t="s">
        <v>478</v>
      </c>
      <c r="E158" s="195" t="s">
        <v>180</v>
      </c>
      <c r="F158" s="195" t="s">
        <v>479</v>
      </c>
      <c r="G158" s="195" t="s">
        <v>480</v>
      </c>
      <c r="H158" s="195" t="s">
        <v>481</v>
      </c>
      <c r="I158" s="209" t="s">
        <v>538</v>
      </c>
      <c r="J158" s="209" t="s">
        <v>539</v>
      </c>
      <c r="K158" s="209" t="s">
        <v>538</v>
      </c>
      <c r="L158" s="209">
        <v>166783</v>
      </c>
      <c r="M158" s="195" t="s">
        <v>64</v>
      </c>
      <c r="N158" s="195" t="s">
        <v>63</v>
      </c>
      <c r="O158" s="202">
        <v>96.288250000000005</v>
      </c>
      <c r="P158" s="202">
        <v>25.57921</v>
      </c>
      <c r="Q158" s="203">
        <v>0</v>
      </c>
      <c r="R158" s="280"/>
      <c r="S158" s="281"/>
      <c r="T158" s="205" t="str">
        <f>IF(CampList[[#This Row],[HH]]&gt;0,CampList[[#This Row],[Total]]/CampList[[#This Row],[HH]],"NA")</f>
        <v>NA</v>
      </c>
      <c r="U158" s="197" t="s">
        <v>464</v>
      </c>
      <c r="V158" s="197" t="s">
        <v>993</v>
      </c>
      <c r="W158" s="197" t="s">
        <v>507</v>
      </c>
      <c r="X158" s="197" t="s">
        <v>784</v>
      </c>
      <c r="Y158" s="636">
        <v>41275</v>
      </c>
      <c r="Z158" s="636" t="s">
        <v>934</v>
      </c>
      <c r="AA158" s="221" t="s">
        <v>773</v>
      </c>
      <c r="AB158" s="208">
        <v>41736</v>
      </c>
      <c r="AC158" s="209" t="s">
        <v>888</v>
      </c>
      <c r="AD158" s="197" t="str">
        <f ca="1">IFERROR(OFFSET(DistanceToCamp[Nearest Town],MATCH(CampList[[#This Row],[CP_Pcode]],DistanceToCamp[CP_Pcode],0)-1,0,1,1),"")</f>
        <v/>
      </c>
      <c r="AE158" s="210" t="str">
        <f ca="1">IFERROR(OFFSET(DistanceToCamp[distance],MATCH(CampList[[#This Row],[CP_Pcode]],DistanceToCamp[CP_Pcode],0)-1,0,1,1),"")</f>
        <v/>
      </c>
      <c r="AF158" s="211" t="str">
        <f ca="1">IFERROR(INT(CampList[[#This Row],[Distance]]/5)+1,"")</f>
        <v/>
      </c>
    </row>
    <row r="159" spans="2:35" ht="15.75" hidden="1" customHeight="1" x14ac:dyDescent="0.3">
      <c r="B159" s="201" t="s">
        <v>775</v>
      </c>
      <c r="C159" s="195" t="s">
        <v>378</v>
      </c>
      <c r="D159" s="195" t="s">
        <v>478</v>
      </c>
      <c r="E159" s="195" t="s">
        <v>180</v>
      </c>
      <c r="F159" s="195" t="s">
        <v>479</v>
      </c>
      <c r="G159" s="195" t="s">
        <v>480</v>
      </c>
      <c r="H159" s="195" t="s">
        <v>481</v>
      </c>
      <c r="I159" s="209" t="s">
        <v>538</v>
      </c>
      <c r="J159" s="209" t="s">
        <v>539</v>
      </c>
      <c r="K159" s="209" t="s">
        <v>538</v>
      </c>
      <c r="L159" s="209">
        <v>166783</v>
      </c>
      <c r="M159" s="195" t="s">
        <v>82</v>
      </c>
      <c r="N159" s="195" t="s">
        <v>81</v>
      </c>
      <c r="O159" s="202"/>
      <c r="P159" s="202"/>
      <c r="Q159" s="215"/>
      <c r="R159" s="280"/>
      <c r="S159" s="281"/>
      <c r="T159" s="205" t="str">
        <f>IF(CampList[[#This Row],[HH]]&gt;0,CampList[[#This Row],[Total]]/CampList[[#This Row],[HH]],"NA")</f>
        <v>NA</v>
      </c>
      <c r="U159" s="197" t="s">
        <v>464</v>
      </c>
      <c r="V159" s="197" t="s">
        <v>993</v>
      </c>
      <c r="W159" s="197" t="s">
        <v>507</v>
      </c>
      <c r="X159" s="197"/>
      <c r="Y159" s="216"/>
      <c r="Z159" s="207"/>
      <c r="AA159" s="221" t="s">
        <v>773</v>
      </c>
      <c r="AB159" s="208">
        <v>41663</v>
      </c>
      <c r="AC159" s="201" t="s">
        <v>842</v>
      </c>
      <c r="AD159" s="197" t="str">
        <f ca="1">IFERROR(OFFSET(DistanceToCamp[Nearest Town],MATCH(CampList[[#This Row],[CP_Pcode]],DistanceToCamp[CP_Pcode],0)-1,0,1,1),"")</f>
        <v/>
      </c>
      <c r="AE159" s="210" t="str">
        <f ca="1">IFERROR(OFFSET(DistanceToCamp[distance],MATCH(CampList[[#This Row],[CP_Pcode]],DistanceToCamp[CP_Pcode],0)-1,0,1,1),"")</f>
        <v/>
      </c>
      <c r="AF159" s="211" t="str">
        <f ca="1">IFERROR(INT(CampList[[#This Row],[Distance]]/5)+1,"")</f>
        <v/>
      </c>
      <c r="AH159" s="280"/>
      <c r="AI159" s="281"/>
    </row>
    <row r="160" spans="2:35" ht="15.75" hidden="1" customHeight="1" x14ac:dyDescent="0.3">
      <c r="B160" s="201" t="s">
        <v>775</v>
      </c>
      <c r="C160" s="195" t="s">
        <v>378</v>
      </c>
      <c r="D160" s="195" t="s">
        <v>478</v>
      </c>
      <c r="E160" s="195" t="s">
        <v>180</v>
      </c>
      <c r="F160" s="195" t="s">
        <v>479</v>
      </c>
      <c r="G160" s="195" t="s">
        <v>480</v>
      </c>
      <c r="H160" s="195" t="s">
        <v>481</v>
      </c>
      <c r="I160" s="209" t="s">
        <v>558</v>
      </c>
      <c r="J160" s="209" t="s">
        <v>559</v>
      </c>
      <c r="K160" s="209" t="s">
        <v>560</v>
      </c>
      <c r="L160" s="209">
        <v>166817</v>
      </c>
      <c r="M160" s="195" t="s">
        <v>58</v>
      </c>
      <c r="N160" s="195" t="s">
        <v>57</v>
      </c>
      <c r="O160" s="202">
        <v>96.673805000000002</v>
      </c>
      <c r="P160" s="202">
        <v>25.728653000000001</v>
      </c>
      <c r="Q160" s="215"/>
      <c r="R160" s="280"/>
      <c r="S160" s="281"/>
      <c r="T160" s="205" t="str">
        <f>IF(CampList[[#This Row],[HH]]&gt;0,CampList[[#This Row],[Total]]/CampList[[#This Row],[HH]],"NA")</f>
        <v>NA</v>
      </c>
      <c r="U160" s="197" t="s">
        <v>464</v>
      </c>
      <c r="V160" s="197" t="s">
        <v>993</v>
      </c>
      <c r="W160" s="197" t="s">
        <v>507</v>
      </c>
      <c r="X160" s="197" t="s">
        <v>784</v>
      </c>
      <c r="Y160" s="216"/>
      <c r="Z160" s="636" t="s">
        <v>462</v>
      </c>
      <c r="AA160" s="221" t="s">
        <v>774</v>
      </c>
      <c r="AB160" s="208">
        <v>42096</v>
      </c>
      <c r="AC160" s="201" t="s">
        <v>1063</v>
      </c>
      <c r="AD160" s="197" t="str">
        <f ca="1">IFERROR(OFFSET(DistanceToCamp[Nearest Town],MATCH(CampList[[#This Row],[CP_Pcode]],DistanceToCamp[CP_Pcode],0)-1,0,1,1),"")</f>
        <v>Kamaing Town</v>
      </c>
      <c r="AE160" s="210">
        <f ca="1">IFERROR(OFFSET(DistanceToCamp[distance],MATCH(CampList[[#This Row],[CP_Pcode]],DistanceToCamp[CP_Pcode],0)-1,0,1,1),"")</f>
        <v>23.222739740353646</v>
      </c>
      <c r="AF160" s="211">
        <f ca="1">IFERROR(INT(CampList[[#This Row],[Distance]]/5)+1,"")</f>
        <v>5</v>
      </c>
    </row>
    <row r="161" spans="2:32" ht="15.75" hidden="1" customHeight="1" x14ac:dyDescent="0.3">
      <c r="B161" s="201" t="s">
        <v>775</v>
      </c>
      <c r="C161" s="195" t="s">
        <v>378</v>
      </c>
      <c r="D161" s="195" t="s">
        <v>478</v>
      </c>
      <c r="E161" s="195" t="s">
        <v>180</v>
      </c>
      <c r="F161" s="195" t="s">
        <v>479</v>
      </c>
      <c r="G161" s="195" t="s">
        <v>480</v>
      </c>
      <c r="H161" s="195" t="s">
        <v>481</v>
      </c>
      <c r="I161" s="209" t="s">
        <v>543</v>
      </c>
      <c r="J161" s="209" t="s">
        <v>544</v>
      </c>
      <c r="K161" s="209" t="s">
        <v>547</v>
      </c>
      <c r="L161" s="209" t="s">
        <v>548</v>
      </c>
      <c r="M161" s="195" t="s">
        <v>56</v>
      </c>
      <c r="N161" s="195" t="s">
        <v>55</v>
      </c>
      <c r="O161" s="202"/>
      <c r="P161" s="202"/>
      <c r="Q161" s="215"/>
      <c r="R161" s="280">
        <v>0</v>
      </c>
      <c r="S161" s="281">
        <v>0</v>
      </c>
      <c r="T161" s="205" t="str">
        <f>IF(CampList[[#This Row],[HH]]&gt;0,CampList[[#This Row],[Total]]/CampList[[#This Row],[HH]],"NA")</f>
        <v>NA</v>
      </c>
      <c r="U161" s="197" t="s">
        <v>464</v>
      </c>
      <c r="V161" s="197" t="s">
        <v>993</v>
      </c>
      <c r="W161" s="197" t="s">
        <v>507</v>
      </c>
      <c r="X161" s="197"/>
      <c r="Y161" s="216"/>
      <c r="Z161" s="207"/>
      <c r="AA161" s="221"/>
      <c r="AB161" s="224"/>
      <c r="AC161" s="201"/>
      <c r="AD161" s="197" t="str">
        <f ca="1">IFERROR(OFFSET(DistanceToCamp[Nearest Town],MATCH(CampList[[#This Row],[CP_Pcode]],DistanceToCamp[CP_Pcode],0)-1,0,1,1),"")</f>
        <v/>
      </c>
      <c r="AE161" s="210" t="str">
        <f ca="1">IFERROR(OFFSET(DistanceToCamp[distance],MATCH(CampList[[#This Row],[CP_Pcode]],DistanceToCamp[CP_Pcode],0)-1,0,1,1),"")</f>
        <v/>
      </c>
      <c r="AF161" s="211" t="str">
        <f ca="1">IFERROR(INT(CampList[[#This Row],[Distance]]/5)+1,"")</f>
        <v/>
      </c>
    </row>
    <row r="162" spans="2:32" ht="15.75" customHeight="1" x14ac:dyDescent="0.3">
      <c r="B162" s="201" t="s">
        <v>1692</v>
      </c>
      <c r="C162" s="195" t="s">
        <v>378</v>
      </c>
      <c r="D162" s="195" t="s">
        <v>478</v>
      </c>
      <c r="E162" s="195" t="s">
        <v>5</v>
      </c>
      <c r="F162" s="195" t="s">
        <v>482</v>
      </c>
      <c r="G162" s="195" t="s">
        <v>185</v>
      </c>
      <c r="H162" s="195" t="s">
        <v>486</v>
      </c>
      <c r="I162" s="195" t="s">
        <v>738</v>
      </c>
      <c r="J162" s="195" t="s">
        <v>922</v>
      </c>
      <c r="K162" s="195" t="s">
        <v>923</v>
      </c>
      <c r="L162" s="195">
        <v>167060</v>
      </c>
      <c r="M162" s="195" t="s">
        <v>474</v>
      </c>
      <c r="N162" s="195" t="s">
        <v>475</v>
      </c>
      <c r="O162" s="228">
        <v>97.343406999999999</v>
      </c>
      <c r="P162" s="202">
        <v>24.377054000000001</v>
      </c>
      <c r="Q162" s="215"/>
      <c r="R162" s="306">
        <v>3</v>
      </c>
      <c r="S162" s="307">
        <v>18</v>
      </c>
      <c r="T162" s="205">
        <f>IF(CampList[[#This Row],[HH]]&gt;0,CampList[[#This Row],[Total]]/CampList[[#This Row],[HH]],"NA")</f>
        <v>6</v>
      </c>
      <c r="U162" s="197" t="s">
        <v>464</v>
      </c>
      <c r="V162" s="197" t="s">
        <v>993</v>
      </c>
      <c r="W162" s="197" t="s">
        <v>1881</v>
      </c>
      <c r="X162" s="197" t="s">
        <v>784</v>
      </c>
      <c r="Y162" s="309"/>
      <c r="Z162" s="207" t="s">
        <v>1311</v>
      </c>
      <c r="AA162" s="221" t="s">
        <v>773</v>
      </c>
      <c r="AB162" s="208">
        <v>42950</v>
      </c>
      <c r="AC162" s="201" t="s">
        <v>1164</v>
      </c>
      <c r="AD162" s="197" t="str">
        <f ca="1">IFERROR(OFFSET(DistanceToCamp[Nearest Town],MATCH(CampList[[#This Row],[CP_Pcode]],DistanceToCamp[CP_Pcode],0)-1,0,1,1),"")</f>
        <v>Momauk Town</v>
      </c>
      <c r="AE162" s="210">
        <f ca="1">IFERROR(OFFSET(DistanceToCamp[distance],MATCH(CampList[[#This Row],[CP_Pcode]],DistanceToCamp[CP_Pcode],0)-1,0,1,1),"")</f>
        <v>13.446032768350749</v>
      </c>
      <c r="AF162" s="211">
        <f ca="1">IFERROR(INT(CampList[[#This Row],[Distance]]/5)+1,"")</f>
        <v>3</v>
      </c>
    </row>
    <row r="163" spans="2:32" ht="15.75" customHeight="1" x14ac:dyDescent="0.3">
      <c r="B163" s="201" t="s">
        <v>1692</v>
      </c>
      <c r="C163" s="195" t="s">
        <v>378</v>
      </c>
      <c r="D163" s="195" t="s">
        <v>478</v>
      </c>
      <c r="E163" s="195" t="s">
        <v>299</v>
      </c>
      <c r="F163" s="195" t="s">
        <v>499</v>
      </c>
      <c r="G163" s="195" t="s">
        <v>746</v>
      </c>
      <c r="H163" s="195" t="s">
        <v>747</v>
      </c>
      <c r="I163" s="195" t="s">
        <v>748</v>
      </c>
      <c r="J163" s="195" t="s">
        <v>749</v>
      </c>
      <c r="K163" s="195"/>
      <c r="L163" s="195"/>
      <c r="M163" s="195" t="s">
        <v>746</v>
      </c>
      <c r="N163" s="195" t="s">
        <v>750</v>
      </c>
      <c r="O163" s="202">
        <v>97.568836000000005</v>
      </c>
      <c r="P163" s="202">
        <v>26.541930000000001</v>
      </c>
      <c r="Q163" s="203">
        <v>1025</v>
      </c>
      <c r="R163" s="203">
        <v>5</v>
      </c>
      <c r="S163" s="215">
        <v>32</v>
      </c>
      <c r="T163" s="205">
        <f>IF(CampList[[#This Row],[HH]]&gt;0,CampList[[#This Row],[Total]]/CampList[[#This Row],[HH]],"NA")</f>
        <v>6.4</v>
      </c>
      <c r="U163" s="197" t="s">
        <v>464</v>
      </c>
      <c r="V163" s="197" t="s">
        <v>993</v>
      </c>
      <c r="W163" s="197" t="s">
        <v>1376</v>
      </c>
      <c r="X163" s="197" t="s">
        <v>784</v>
      </c>
      <c r="Y163" s="308"/>
      <c r="Z163" s="207" t="s">
        <v>1311</v>
      </c>
      <c r="AA163" s="221" t="s">
        <v>773</v>
      </c>
      <c r="AB163" s="208">
        <v>42927</v>
      </c>
      <c r="AC163" s="209"/>
      <c r="AD163" s="197" t="str">
        <f ca="1">IFERROR(OFFSET(DistanceToCamp[Nearest Town],MATCH(CampList[[#This Row],[CP_Pcode]],DistanceToCamp[CP_Pcode],0)-1,0,1,1),"")</f>
        <v>Sumprabum Town</v>
      </c>
      <c r="AE163" s="210">
        <f ca="1">IFERROR(OFFSET(DistanceToCamp[distance],MATCH(CampList[[#This Row],[CP_Pcode]],DistanceToCamp[CP_Pcode],0)-1,0,1,1),"")</f>
        <v>0.23004407510846425</v>
      </c>
      <c r="AF163" s="211">
        <f ca="1">IFERROR(INT(CampList[[#This Row],[Distance]]/5)+1,"")</f>
        <v>1</v>
      </c>
    </row>
    <row r="164" spans="2:32" ht="15.75" customHeight="1" x14ac:dyDescent="0.3">
      <c r="B164" s="201" t="s">
        <v>1692</v>
      </c>
      <c r="C164" s="195" t="s">
        <v>378</v>
      </c>
      <c r="D164" s="195" t="s">
        <v>478</v>
      </c>
      <c r="E164" s="195" t="s">
        <v>237</v>
      </c>
      <c r="F164" s="195" t="s">
        <v>484</v>
      </c>
      <c r="G164" s="195" t="s">
        <v>309</v>
      </c>
      <c r="H164" s="195" t="s">
        <v>485</v>
      </c>
      <c r="I164" s="195" t="s">
        <v>667</v>
      </c>
      <c r="J164" s="195" t="s">
        <v>668</v>
      </c>
      <c r="K164" s="195"/>
      <c r="L164" s="213"/>
      <c r="M164" s="195" t="s">
        <v>751</v>
      </c>
      <c r="N164" s="195" t="s">
        <v>752</v>
      </c>
      <c r="O164" s="202">
        <v>97.541793999999996</v>
      </c>
      <c r="P164" s="202">
        <v>24.752471</v>
      </c>
      <c r="Q164" s="215"/>
      <c r="R164" s="204"/>
      <c r="S164" s="215">
        <v>872</v>
      </c>
      <c r="T164" s="205" t="str">
        <f>IF(CampList[[#This Row],[HH]]&gt;0,CampList[[#This Row],[Total]]/CampList[[#This Row],[HH]],"NA")</f>
        <v>NA</v>
      </c>
      <c r="U164" s="197" t="s">
        <v>466</v>
      </c>
      <c r="V164" s="197" t="s">
        <v>993</v>
      </c>
      <c r="W164" s="197" t="s">
        <v>847</v>
      </c>
      <c r="X164" s="197" t="s">
        <v>742</v>
      </c>
      <c r="Y164" s="309"/>
      <c r="Z164" s="207" t="s">
        <v>1311</v>
      </c>
      <c r="AA164" s="221" t="s">
        <v>522</v>
      </c>
      <c r="AB164" s="208">
        <v>42736</v>
      </c>
      <c r="AC164" s="209" t="s">
        <v>949</v>
      </c>
      <c r="AD164" s="197" t="str">
        <f ca="1">IFERROR(OFFSET(DistanceToCamp[Nearest Town],MATCH(CampList[[#This Row],[CP_Pcode]],DistanceToCamp[CP_Pcode],0)-1,0,1,1),"")</f>
        <v>Laiza town</v>
      </c>
      <c r="AE164" s="210">
        <f ca="1">IFERROR(OFFSET(DistanceToCamp[distance],MATCH(CampList[[#This Row],[CP_Pcode]],DistanceToCamp[CP_Pcode],0)-1,0,1,1),"")</f>
        <v>2.3307568207764655</v>
      </c>
      <c r="AF164" s="211">
        <f ca="1">IFERROR(INT(CampList[[#This Row],[Distance]]/5)+1,"")</f>
        <v>1</v>
      </c>
    </row>
    <row r="165" spans="2:32" ht="15.75" customHeight="1" x14ac:dyDescent="0.3">
      <c r="B165" s="201" t="s">
        <v>1692</v>
      </c>
      <c r="C165" s="196" t="s">
        <v>378</v>
      </c>
      <c r="D165" s="196" t="s">
        <v>478</v>
      </c>
      <c r="E165" s="196" t="s">
        <v>237</v>
      </c>
      <c r="F165" s="196" t="s">
        <v>484</v>
      </c>
      <c r="G165" s="196" t="s">
        <v>27</v>
      </c>
      <c r="H165" s="196" t="s">
        <v>487</v>
      </c>
      <c r="I165" s="196" t="s">
        <v>997</v>
      </c>
      <c r="J165" s="214" t="s">
        <v>1102</v>
      </c>
      <c r="K165" s="196" t="s">
        <v>656</v>
      </c>
      <c r="L165" s="196" t="s">
        <v>1103</v>
      </c>
      <c r="M165" s="196" t="s">
        <v>790</v>
      </c>
      <c r="N165" s="196" t="s">
        <v>789</v>
      </c>
      <c r="O165" s="204">
        <v>98.377780000000001</v>
      </c>
      <c r="P165" s="204">
        <v>25.60867</v>
      </c>
      <c r="Q165" s="215">
        <v>2345</v>
      </c>
      <c r="R165" s="270">
        <v>57</v>
      </c>
      <c r="S165" s="270">
        <v>274</v>
      </c>
      <c r="T165" s="205">
        <f>IF(CampList[[#This Row],[HH]]&gt;0,CampList[[#This Row],[Total]]/CampList[[#This Row],[HH]],"NA")</f>
        <v>4.807017543859649</v>
      </c>
      <c r="U165" s="181" t="s">
        <v>464</v>
      </c>
      <c r="V165" s="197" t="s">
        <v>993</v>
      </c>
      <c r="W165" s="181" t="s">
        <v>507</v>
      </c>
      <c r="X165" s="181" t="s">
        <v>784</v>
      </c>
      <c r="Y165" s="309">
        <v>41091</v>
      </c>
      <c r="Z165" s="215" t="s">
        <v>934</v>
      </c>
      <c r="AA165" s="196" t="s">
        <v>774</v>
      </c>
      <c r="AB165" s="208">
        <v>43593</v>
      </c>
      <c r="AC165" s="217" t="s">
        <v>2058</v>
      </c>
      <c r="AD165" s="218" t="str">
        <f ca="1">IFERROR(OFFSET(DistanceToCamp[Nearest Town],MATCH(CampList[[#This Row],[CP_Pcode]],DistanceToCamp[CP_Pcode],0)-1,0,1,1),"")</f>
        <v>Pang War Town</v>
      </c>
      <c r="AE165" s="210">
        <f ca="1">IFERROR(OFFSET(DistanceToCamp[distance],MATCH(CampList[[#This Row],[CP_Pcode]],DistanceToCamp[CP_Pcode],0)-1,0,1,1),"")</f>
        <v>0.18710270881855062</v>
      </c>
      <c r="AF165" s="219">
        <f ca="1">IFERROR(INT(CampList[[#This Row],[Distance]]/5)+1,"")</f>
        <v>1</v>
      </c>
    </row>
    <row r="166" spans="2:32" ht="15.75" customHeight="1" x14ac:dyDescent="0.3">
      <c r="B166" s="201" t="s">
        <v>1692</v>
      </c>
      <c r="C166" s="195" t="s">
        <v>378</v>
      </c>
      <c r="D166" s="195" t="s">
        <v>478</v>
      </c>
      <c r="E166" s="195" t="s">
        <v>5</v>
      </c>
      <c r="F166" s="195" t="s">
        <v>482</v>
      </c>
      <c r="G166" s="195" t="s">
        <v>151</v>
      </c>
      <c r="H166" s="195" t="s">
        <v>492</v>
      </c>
      <c r="I166" s="195" t="s">
        <v>811</v>
      </c>
      <c r="J166" s="195" t="s">
        <v>1106</v>
      </c>
      <c r="K166" s="195" t="s">
        <v>811</v>
      </c>
      <c r="L166" s="195">
        <v>167301</v>
      </c>
      <c r="M166" s="195" t="s">
        <v>845</v>
      </c>
      <c r="N166" s="195" t="s">
        <v>844</v>
      </c>
      <c r="O166" s="202">
        <v>97.227057000000002</v>
      </c>
      <c r="P166" s="202">
        <v>23.976571</v>
      </c>
      <c r="Q166" s="215">
        <v>478</v>
      </c>
      <c r="R166" s="806">
        <v>156</v>
      </c>
      <c r="S166" s="806">
        <v>694</v>
      </c>
      <c r="T166" s="205">
        <f>IF(CampList[[#This Row],[HH]]&gt;0,CampList[[#This Row],[Total]]/CampList[[#This Row],[HH]],"NA")</f>
        <v>4.4487179487179489</v>
      </c>
      <c r="U166" s="197" t="s">
        <v>464</v>
      </c>
      <c r="V166" s="197" t="s">
        <v>993</v>
      </c>
      <c r="W166" s="197" t="s">
        <v>507</v>
      </c>
      <c r="X166" s="197" t="s">
        <v>784</v>
      </c>
      <c r="Y166" s="308">
        <v>41548</v>
      </c>
      <c r="Z166" s="636" t="s">
        <v>933</v>
      </c>
      <c r="AA166" s="195" t="s">
        <v>774</v>
      </c>
      <c r="AB166" s="208">
        <v>43593</v>
      </c>
      <c r="AC166" s="209" t="s">
        <v>2088</v>
      </c>
      <c r="AD166" s="197" t="str">
        <f ca="1">IFERROR(OFFSET(DistanceToCamp[Nearest Town],MATCH(CampList[[#This Row],[CP_Pcode]],DistanceToCamp[CP_Pcode],0)-1,0,1,1),"")</f>
        <v>Kamaing Town</v>
      </c>
      <c r="AE166" s="210">
        <f ca="1">IFERROR(OFFSET(DistanceToCamp[distance],MATCH(CampList[[#This Row],[CP_Pcode]],DistanceToCamp[CP_Pcode],0)-1,0,1,1),"")</f>
        <v>12.257552920582597</v>
      </c>
      <c r="AF166" s="211">
        <f ca="1">IFERROR(INT(CampList[[#This Row],[Distance]]/5)+1,"")</f>
        <v>3</v>
      </c>
    </row>
    <row r="167" spans="2:32" ht="15.75" customHeight="1" x14ac:dyDescent="0.3">
      <c r="B167" s="201" t="s">
        <v>1692</v>
      </c>
      <c r="C167" s="196" t="s">
        <v>378</v>
      </c>
      <c r="D167" s="196" t="s">
        <v>478</v>
      </c>
      <c r="E167" s="196" t="s">
        <v>237</v>
      </c>
      <c r="F167" s="196" t="s">
        <v>484</v>
      </c>
      <c r="G167" s="196" t="s">
        <v>27</v>
      </c>
      <c r="H167" s="196" t="s">
        <v>487</v>
      </c>
      <c r="I167" s="196" t="s">
        <v>730</v>
      </c>
      <c r="J167" s="214" t="s">
        <v>729</v>
      </c>
      <c r="K167" s="196" t="s">
        <v>873</v>
      </c>
      <c r="L167" s="196"/>
      <c r="M167" s="196" t="s">
        <v>873</v>
      </c>
      <c r="N167" s="196" t="s">
        <v>874</v>
      </c>
      <c r="O167" s="204">
        <v>98.356260000000006</v>
      </c>
      <c r="P167" s="204">
        <v>25.645959999999999</v>
      </c>
      <c r="Q167" s="215">
        <v>1945</v>
      </c>
      <c r="R167" s="270">
        <v>32</v>
      </c>
      <c r="S167" s="270">
        <v>167</v>
      </c>
      <c r="T167" s="205">
        <f>IF(CampList[[#This Row],[HH]]&gt;0,CampList[[#This Row],[Total]]/CampList[[#This Row],[HH]],"NA")</f>
        <v>5.21875</v>
      </c>
      <c r="U167" s="181" t="s">
        <v>464</v>
      </c>
      <c r="V167" s="197" t="s">
        <v>993</v>
      </c>
      <c r="W167" s="181" t="s">
        <v>507</v>
      </c>
      <c r="X167" s="181" t="s">
        <v>742</v>
      </c>
      <c r="Y167" s="309">
        <v>41091</v>
      </c>
      <c r="Z167" s="215" t="s">
        <v>934</v>
      </c>
      <c r="AA167" s="196" t="s">
        <v>774</v>
      </c>
      <c r="AB167" s="208">
        <v>43593</v>
      </c>
      <c r="AC167" s="217" t="s">
        <v>2059</v>
      </c>
      <c r="AD167" s="218" t="str">
        <f ca="1">IFERROR(OFFSET(DistanceToCamp[Nearest Town],MATCH(CampList[[#This Row],[CP_Pcode]],DistanceToCamp[CP_Pcode],0)-1,0,1,1),"")</f>
        <v>Naypyitaw Town</v>
      </c>
      <c r="AE167" s="210">
        <f ca="1">IFERROR(OFFSET(DistanceToCamp[distance],MATCH(CampList[[#This Row],[CP_Pcode]],DistanceToCamp[CP_Pcode],0)-1,0,1,1),"")</f>
        <v>0</v>
      </c>
      <c r="AF167" s="219">
        <f ca="1">IFERROR(INT(CampList[[#This Row],[Distance]]/5)+1,"")</f>
        <v>1</v>
      </c>
    </row>
    <row r="168" spans="2:32" ht="15.75" customHeight="1" x14ac:dyDescent="0.3">
      <c r="B168" s="201" t="s">
        <v>1692</v>
      </c>
      <c r="C168" s="195" t="s">
        <v>378</v>
      </c>
      <c r="D168" s="195" t="s">
        <v>478</v>
      </c>
      <c r="E168" s="195" t="s">
        <v>299</v>
      </c>
      <c r="F168" s="195" t="s">
        <v>499</v>
      </c>
      <c r="G168" s="195" t="s">
        <v>299</v>
      </c>
      <c r="H168" s="195" t="s">
        <v>505</v>
      </c>
      <c r="I168" s="195" t="s">
        <v>881</v>
      </c>
      <c r="J168" s="195" t="s">
        <v>882</v>
      </c>
      <c r="K168" s="195" t="s">
        <v>889</v>
      </c>
      <c r="L168" s="195">
        <v>217032</v>
      </c>
      <c r="M168" s="195" t="s">
        <v>1885</v>
      </c>
      <c r="N168" s="195" t="s">
        <v>891</v>
      </c>
      <c r="O168" s="204">
        <v>97.561105999999995</v>
      </c>
      <c r="P168" s="204">
        <v>27.248964999999998</v>
      </c>
      <c r="Q168" s="215">
        <v>398</v>
      </c>
      <c r="R168" s="204">
        <v>10</v>
      </c>
      <c r="S168" s="215">
        <v>56</v>
      </c>
      <c r="T168" s="205">
        <f>IF(CampList[[#This Row],[HH]]&gt;0,CampList[[#This Row],[Total]]/CampList[[#This Row],[HH]],"NA")</f>
        <v>5.6</v>
      </c>
      <c r="U168" s="197" t="s">
        <v>464</v>
      </c>
      <c r="V168" s="197" t="s">
        <v>993</v>
      </c>
      <c r="W168" s="197" t="s">
        <v>1881</v>
      </c>
      <c r="X168" s="197" t="s">
        <v>784</v>
      </c>
      <c r="Y168" s="309">
        <v>41487</v>
      </c>
      <c r="Z168" s="207" t="s">
        <v>1311</v>
      </c>
      <c r="AA168" s="195" t="s">
        <v>774</v>
      </c>
      <c r="AB168" s="208">
        <v>41736</v>
      </c>
      <c r="AC168" s="209" t="s">
        <v>1379</v>
      </c>
      <c r="AD168" s="197" t="str">
        <f ca="1">IFERROR(OFFSET(DistanceToCamp[Nearest Town],MATCH(CampList[[#This Row],[CP_Pcode]],DistanceToCamp[CP_Pcode],0)-1,0,1,1),"")</f>
        <v>Machanbaw Town</v>
      </c>
      <c r="AE168" s="210">
        <f ca="1">IFERROR(OFFSET(DistanceToCamp[distance],MATCH(CampList[[#This Row],[CP_Pcode]],DistanceToCamp[CP_Pcode],0)-1,0,1,1),"")</f>
        <v>4.789460146835963</v>
      </c>
      <c r="AF168" s="211">
        <f ca="1">IFERROR(INT(CampList[[#This Row],[Distance]]/5)+1,"")</f>
        <v>1</v>
      </c>
    </row>
    <row r="169" spans="2:32" ht="15.75" customHeight="1" x14ac:dyDescent="0.3">
      <c r="B169" s="201" t="s">
        <v>1692</v>
      </c>
      <c r="C169" s="196" t="s">
        <v>378</v>
      </c>
      <c r="D169" s="196" t="s">
        <v>478</v>
      </c>
      <c r="E169" s="196" t="s">
        <v>5</v>
      </c>
      <c r="F169" s="196" t="s">
        <v>482</v>
      </c>
      <c r="G169" s="196" t="s">
        <v>151</v>
      </c>
      <c r="H169" s="196" t="s">
        <v>492</v>
      </c>
      <c r="I169" s="196" t="s">
        <v>600</v>
      </c>
      <c r="J169" s="214" t="s">
        <v>601</v>
      </c>
      <c r="K169" s="209" t="s">
        <v>600</v>
      </c>
      <c r="L169" s="220">
        <v>167405</v>
      </c>
      <c r="M169" s="196" t="s">
        <v>909</v>
      </c>
      <c r="N169" s="196" t="s">
        <v>910</v>
      </c>
      <c r="O169" s="204">
        <v>97.578367</v>
      </c>
      <c r="P169" s="204">
        <v>23.833477999999999</v>
      </c>
      <c r="Q169" s="215">
        <v>925</v>
      </c>
      <c r="R169" s="204">
        <v>138</v>
      </c>
      <c r="S169" s="797">
        <v>732</v>
      </c>
      <c r="T169" s="205">
        <f>IF(CampList[[#This Row],[HH]]&gt;0,CampList[[#This Row],[Total]]/CampList[[#This Row],[HH]],"NA")</f>
        <v>5.3043478260869561</v>
      </c>
      <c r="U169" s="181" t="s">
        <v>464</v>
      </c>
      <c r="V169" s="197" t="s">
        <v>993</v>
      </c>
      <c r="W169" s="181" t="s">
        <v>507</v>
      </c>
      <c r="X169" s="181" t="s">
        <v>784</v>
      </c>
      <c r="Y169" s="309">
        <v>41791</v>
      </c>
      <c r="Z169" s="215" t="s">
        <v>933</v>
      </c>
      <c r="AA169" s="196" t="s">
        <v>774</v>
      </c>
      <c r="AB169" s="208">
        <v>43593</v>
      </c>
      <c r="AC169" s="217" t="s">
        <v>2032</v>
      </c>
      <c r="AD169" s="218" t="str">
        <f ca="1">IFERROR(OFFSET(DistanceToCamp[Nearest Town],MATCH(CampList[[#This Row],[CP_Pcode]],DistanceToCamp[CP_Pcode],0)-1,0,1,1),"")</f>
        <v>Namhkan Town</v>
      </c>
      <c r="AE169" s="210">
        <f ca="1">IFERROR(OFFSET(DistanceToCamp[distance],MATCH(CampList[[#This Row],[CP_Pcode]],DistanceToCamp[CP_Pcode],0)-1,0,1,1),"")</f>
        <v>10.527586947557506</v>
      </c>
      <c r="AF169" s="219">
        <f ca="1">IFERROR(INT(CampList[[#This Row],[Distance]]/5)+1,"")</f>
        <v>3</v>
      </c>
    </row>
    <row r="170" spans="2:32" ht="15.75" hidden="1" customHeight="1" x14ac:dyDescent="0.3">
      <c r="B170" s="201" t="s">
        <v>775</v>
      </c>
      <c r="C170" s="195" t="s">
        <v>378</v>
      </c>
      <c r="D170" s="195" t="s">
        <v>478</v>
      </c>
      <c r="E170" s="195" t="s">
        <v>5</v>
      </c>
      <c r="F170" s="195" t="s">
        <v>482</v>
      </c>
      <c r="G170" s="195" t="s">
        <v>185</v>
      </c>
      <c r="H170" s="195" t="s">
        <v>486</v>
      </c>
      <c r="I170" s="209" t="s">
        <v>743</v>
      </c>
      <c r="J170" s="209" t="s">
        <v>744</v>
      </c>
      <c r="K170" s="209" t="s">
        <v>745</v>
      </c>
      <c r="L170" s="209">
        <v>167270</v>
      </c>
      <c r="M170" s="195" t="s">
        <v>205</v>
      </c>
      <c r="N170" s="195" t="s">
        <v>390</v>
      </c>
      <c r="O170" s="202">
        <v>97.276591999999994</v>
      </c>
      <c r="P170" s="202">
        <v>24.759551999999999</v>
      </c>
      <c r="Q170" s="215"/>
      <c r="R170" s="306"/>
      <c r="S170" s="307"/>
      <c r="T170" s="205" t="str">
        <f>IF(CampList[[#This Row],[HH]]&gt;0,CampList[[#This Row],[Total]]/CampList[[#This Row],[HH]],"NA")</f>
        <v>NA</v>
      </c>
      <c r="U170" s="197" t="s">
        <v>464</v>
      </c>
      <c r="V170" s="197" t="s">
        <v>993</v>
      </c>
      <c r="W170" s="225" t="s">
        <v>1898</v>
      </c>
      <c r="X170" s="197" t="s">
        <v>784</v>
      </c>
      <c r="Y170" s="309"/>
      <c r="Z170" s="207"/>
      <c r="AA170" s="221" t="s">
        <v>773</v>
      </c>
      <c r="AB170" s="208">
        <v>42927</v>
      </c>
      <c r="AC170" s="201" t="s">
        <v>1285</v>
      </c>
      <c r="AD170" s="197" t="str">
        <f ca="1">IFERROR(OFFSET(DistanceToCamp[Nearest Town],MATCH(CampList[[#This Row],[CP_Pcode]],DistanceToCamp[CP_Pcode],0)-1,0,1,1),"")</f>
        <v>Dawthponeyan  Town</v>
      </c>
      <c r="AE170" s="210">
        <f ca="1">IFERROR(OFFSET(DistanceToCamp[distance],MATCH(CampList[[#This Row],[CP_Pcode]],DistanceToCamp[CP_Pcode],0)-1,0,1,1),"")</f>
        <v>24.701686141136339</v>
      </c>
      <c r="AF170" s="211">
        <f ca="1">IFERROR(INT(CampList[[#This Row],[Distance]]/5)+1,"")</f>
        <v>5</v>
      </c>
    </row>
    <row r="171" spans="2:32" ht="15.75" hidden="1" customHeight="1" x14ac:dyDescent="0.3">
      <c r="B171" s="201" t="s">
        <v>775</v>
      </c>
      <c r="C171" s="195" t="s">
        <v>378</v>
      </c>
      <c r="D171" s="195" t="s">
        <v>478</v>
      </c>
      <c r="E171" s="195" t="s">
        <v>5</v>
      </c>
      <c r="F171" s="195" t="s">
        <v>482</v>
      </c>
      <c r="G171" s="195" t="s">
        <v>301</v>
      </c>
      <c r="H171" s="195" t="s">
        <v>493</v>
      </c>
      <c r="I171" s="195" t="s">
        <v>561</v>
      </c>
      <c r="J171" s="195" t="s">
        <v>562</v>
      </c>
      <c r="K171" s="195"/>
      <c r="L171" s="195"/>
      <c r="M171" s="195" t="s">
        <v>12</v>
      </c>
      <c r="N171" s="195" t="s">
        <v>391</v>
      </c>
      <c r="O171" s="202">
        <v>96.793177</v>
      </c>
      <c r="P171" s="202">
        <v>24.224830999999998</v>
      </c>
      <c r="Q171" s="215"/>
      <c r="R171" s="306"/>
      <c r="S171" s="307"/>
      <c r="T171" s="205" t="str">
        <f>IF(CampList[[#This Row],[HH]]&gt;0,CampList[[#This Row],[Total]]/CampList[[#This Row],[HH]],"NA")</f>
        <v>NA</v>
      </c>
      <c r="U171" s="197" t="s">
        <v>464</v>
      </c>
      <c r="V171" s="197" t="s">
        <v>993</v>
      </c>
      <c r="W171" s="225" t="s">
        <v>1898</v>
      </c>
      <c r="X171" s="197" t="s">
        <v>742</v>
      </c>
      <c r="Y171" s="309"/>
      <c r="Z171" s="207"/>
      <c r="AA171" s="221" t="s">
        <v>773</v>
      </c>
      <c r="AB171" s="208">
        <v>42927</v>
      </c>
      <c r="AC171" s="201" t="s">
        <v>1282</v>
      </c>
      <c r="AD171" s="197" t="str">
        <f ca="1">IFERROR(OFFSET(DistanceToCamp[Nearest Town],MATCH(CampList[[#This Row],[CP_Pcode]],DistanceToCamp[CP_Pcode],0)-1,0,1,1),"")</f>
        <v>Shwegu Town</v>
      </c>
      <c r="AE171" s="210">
        <f ca="1">IFERROR(OFFSET(DistanceToCamp[distance],MATCH(CampList[[#This Row],[CP_Pcode]],DistanceToCamp[CP_Pcode],0)-1,0,1,1),"")</f>
        <v>2.3794331620169178</v>
      </c>
      <c r="AF171" s="211">
        <f ca="1">IFERROR(INT(CampList[[#This Row],[Distance]]/5)+1,"")</f>
        <v>1</v>
      </c>
    </row>
    <row r="172" spans="2:32" ht="15.75" customHeight="1" x14ac:dyDescent="0.3">
      <c r="B172" s="201" t="s">
        <v>1692</v>
      </c>
      <c r="C172" s="195" t="s">
        <v>378</v>
      </c>
      <c r="D172" s="195" t="s">
        <v>478</v>
      </c>
      <c r="E172" s="195" t="s">
        <v>180</v>
      </c>
      <c r="F172" s="195" t="s">
        <v>479</v>
      </c>
      <c r="G172" s="195" t="s">
        <v>480</v>
      </c>
      <c r="H172" s="195" t="s">
        <v>481</v>
      </c>
      <c r="I172" s="209" t="s">
        <v>549</v>
      </c>
      <c r="J172" s="209" t="s">
        <v>550</v>
      </c>
      <c r="K172" s="209" t="s">
        <v>549</v>
      </c>
      <c r="L172" s="209">
        <v>166776</v>
      </c>
      <c r="M172" s="195" t="s">
        <v>913</v>
      </c>
      <c r="N172" s="195" t="s">
        <v>914</v>
      </c>
      <c r="O172" s="202">
        <v>96.312790000000007</v>
      </c>
      <c r="P172" s="202">
        <v>25.611160000000002</v>
      </c>
      <c r="Q172" s="215"/>
      <c r="R172" s="181">
        <v>107</v>
      </c>
      <c r="S172" s="181">
        <v>519</v>
      </c>
      <c r="T172" s="205">
        <f>IF(CampList[[#This Row],[HH]]&gt;0,CampList[[#This Row],[Total]]/CampList[[#This Row],[HH]],"NA")</f>
        <v>4.8504672897196262</v>
      </c>
      <c r="U172" s="197" t="s">
        <v>464</v>
      </c>
      <c r="V172" s="197" t="s">
        <v>993</v>
      </c>
      <c r="W172" s="197" t="s">
        <v>507</v>
      </c>
      <c r="X172" s="197" t="s">
        <v>742</v>
      </c>
      <c r="Y172" s="309">
        <v>41122</v>
      </c>
      <c r="Z172" s="636" t="s">
        <v>1835</v>
      </c>
      <c r="AA172" s="195" t="s">
        <v>774</v>
      </c>
      <c r="AB172" s="208">
        <v>43593</v>
      </c>
      <c r="AC172" s="209" t="s">
        <v>1990</v>
      </c>
      <c r="AD172" s="197" t="str">
        <f ca="1">IFERROR(OFFSET(DistanceToCamp[Nearest Town],MATCH(CampList[[#This Row],[CP_Pcode]],DistanceToCamp[CP_Pcode],0)-1,0,1,1),"")</f>
        <v>Hpakant Town</v>
      </c>
      <c r="AE172" s="210">
        <f ca="1">IFERROR(OFFSET(DistanceToCamp[distance],MATCH(CampList[[#This Row],[CP_Pcode]],DistanceToCamp[CP_Pcode],0)-1,0,1,1),"")</f>
        <v>0.19374952337076978</v>
      </c>
      <c r="AF172" s="219">
        <f ca="1">IFERROR(INT(CampList[[#This Row],[Distance]]/5)+1,"")</f>
        <v>1</v>
      </c>
    </row>
    <row r="173" spans="2:32" ht="15.75" hidden="1" customHeight="1" x14ac:dyDescent="0.3">
      <c r="B173" s="201" t="s">
        <v>775</v>
      </c>
      <c r="C173" s="195" t="s">
        <v>378</v>
      </c>
      <c r="D173" s="195" t="s">
        <v>478</v>
      </c>
      <c r="E173" s="195" t="s">
        <v>180</v>
      </c>
      <c r="F173" s="195" t="s">
        <v>479</v>
      </c>
      <c r="G173" s="195" t="s">
        <v>480</v>
      </c>
      <c r="H173" s="195" t="s">
        <v>481</v>
      </c>
      <c r="I173" s="209" t="s">
        <v>543</v>
      </c>
      <c r="J173" s="209" t="s">
        <v>544</v>
      </c>
      <c r="K173" s="209" t="s">
        <v>547</v>
      </c>
      <c r="L173" s="209" t="s">
        <v>548</v>
      </c>
      <c r="M173" s="195" t="s">
        <v>467</v>
      </c>
      <c r="N173" s="195" t="s">
        <v>468</v>
      </c>
      <c r="O173" s="202">
        <v>96.315601999999998</v>
      </c>
      <c r="P173" s="202">
        <v>25.615006000000001</v>
      </c>
      <c r="Q173" s="215"/>
      <c r="R173" s="280">
        <v>0</v>
      </c>
      <c r="S173" s="281">
        <v>0</v>
      </c>
      <c r="T173" s="205" t="str">
        <f>IF(CampList[[#This Row],[HH]]&gt;0,CampList[[#This Row],[Total]]/CampList[[#This Row],[HH]],"NA")</f>
        <v>NA</v>
      </c>
      <c r="U173" s="197" t="s">
        <v>464</v>
      </c>
      <c r="V173" s="197" t="s">
        <v>993</v>
      </c>
      <c r="W173" s="197" t="s">
        <v>507</v>
      </c>
      <c r="X173" s="197"/>
      <c r="Y173" s="216"/>
      <c r="Z173" s="207"/>
      <c r="AA173" s="221"/>
      <c r="AB173" s="224"/>
      <c r="AC173" s="201" t="s">
        <v>541</v>
      </c>
      <c r="AD173" s="197" t="str">
        <f ca="1">IFERROR(OFFSET(DistanceToCamp[Nearest Town],MATCH(CampList[[#This Row],[CP_Pcode]],DistanceToCamp[CP_Pcode],0)-1,0,1,1),"")</f>
        <v/>
      </c>
      <c r="AE173" s="210" t="str">
        <f ca="1">IFERROR(OFFSET(DistanceToCamp[distance],MATCH(CampList[[#This Row],[CP_Pcode]],DistanceToCamp[CP_Pcode],0)-1,0,1,1),"")</f>
        <v/>
      </c>
      <c r="AF173" s="211" t="str">
        <f ca="1">IFERROR(INT(CampList[[#This Row],[Distance]]/5)+1,"")</f>
        <v/>
      </c>
    </row>
    <row r="174" spans="2:32" ht="15.75" hidden="1" customHeight="1" x14ac:dyDescent="0.3">
      <c r="B174" s="201" t="s">
        <v>775</v>
      </c>
      <c r="C174" s="195" t="s">
        <v>378</v>
      </c>
      <c r="D174" s="195" t="s">
        <v>478</v>
      </c>
      <c r="E174" s="195" t="s">
        <v>5</v>
      </c>
      <c r="F174" s="195" t="s">
        <v>482</v>
      </c>
      <c r="G174" s="195" t="s">
        <v>151</v>
      </c>
      <c r="H174" s="195" t="s">
        <v>492</v>
      </c>
      <c r="I174" s="653" t="s">
        <v>681</v>
      </c>
      <c r="J174" s="653" t="s">
        <v>682</v>
      </c>
      <c r="K174" s="209"/>
      <c r="L174" s="653"/>
      <c r="M174" s="195" t="s">
        <v>469</v>
      </c>
      <c r="N174" s="195" t="s">
        <v>470</v>
      </c>
      <c r="O174" s="202">
        <v>97.601243999999994</v>
      </c>
      <c r="P174" s="202">
        <v>23.867713999999999</v>
      </c>
      <c r="Q174" s="203">
        <v>755</v>
      </c>
      <c r="R174" s="280">
        <v>0</v>
      </c>
      <c r="S174" s="281">
        <v>0</v>
      </c>
      <c r="T174" s="205" t="str">
        <f>IF(CampList[[#This Row],[HH]]&gt;0,CampList[[#This Row],[Total]]/CampList[[#This Row],[HH]],"NA")</f>
        <v>NA</v>
      </c>
      <c r="U174" s="197" t="s">
        <v>466</v>
      </c>
      <c r="V174" s="197" t="s">
        <v>993</v>
      </c>
      <c r="W174" s="197" t="s">
        <v>507</v>
      </c>
      <c r="X174" s="197" t="s">
        <v>784</v>
      </c>
      <c r="Y174" s="636">
        <v>41365</v>
      </c>
      <c r="Z174" s="636" t="s">
        <v>933</v>
      </c>
      <c r="AA174" s="221" t="s">
        <v>774</v>
      </c>
      <c r="AB174" s="208">
        <v>41811</v>
      </c>
      <c r="AC174" s="201" t="s">
        <v>939</v>
      </c>
      <c r="AD174" s="197" t="str">
        <f ca="1">IFERROR(OFFSET(DistanceToCamp[Nearest Town],MATCH(CampList[[#This Row],[CP_Pcode]],DistanceToCamp[CP_Pcode],0)-1,0,1,1),"")</f>
        <v/>
      </c>
      <c r="AE174" s="210" t="str">
        <f ca="1">IFERROR(OFFSET(DistanceToCamp[distance],MATCH(CampList[[#This Row],[CP_Pcode]],DistanceToCamp[CP_Pcode],0)-1,0,1,1),"")</f>
        <v/>
      </c>
      <c r="AF174" s="211" t="str">
        <f ca="1">IFERROR(INT(CampList[[#This Row],[Distance]]/5)+1,"")</f>
        <v/>
      </c>
    </row>
    <row r="175" spans="2:32" ht="15.75" hidden="1" customHeight="1" x14ac:dyDescent="0.3">
      <c r="B175" s="201" t="s">
        <v>775</v>
      </c>
      <c r="C175" s="195" t="s">
        <v>378</v>
      </c>
      <c r="D175" s="195" t="s">
        <v>478</v>
      </c>
      <c r="E175" s="195" t="s">
        <v>5</v>
      </c>
      <c r="F175" s="195" t="s">
        <v>482</v>
      </c>
      <c r="G175" s="195" t="s">
        <v>151</v>
      </c>
      <c r="H175" s="195" t="s">
        <v>492</v>
      </c>
      <c r="I175" s="209" t="s">
        <v>566</v>
      </c>
      <c r="J175" s="209" t="s">
        <v>567</v>
      </c>
      <c r="K175" s="209"/>
      <c r="L175" s="209"/>
      <c r="M175" s="195" t="s">
        <v>471</v>
      </c>
      <c r="N175" s="195" t="s">
        <v>472</v>
      </c>
      <c r="O175" s="202">
        <v>96.808850000000007</v>
      </c>
      <c r="P175" s="202">
        <v>24.20645</v>
      </c>
      <c r="Q175" s="203">
        <v>781.8</v>
      </c>
      <c r="R175" s="280">
        <v>0</v>
      </c>
      <c r="S175" s="281">
        <v>0</v>
      </c>
      <c r="T175" s="205" t="str">
        <f>IF(CampList[[#This Row],[HH]]&gt;0,CampList[[#This Row],[Total]]/CampList[[#This Row],[HH]],"NA")</f>
        <v>NA</v>
      </c>
      <c r="U175" s="197" t="s">
        <v>466</v>
      </c>
      <c r="V175" s="197" t="s">
        <v>993</v>
      </c>
      <c r="W175" s="197" t="s">
        <v>507</v>
      </c>
      <c r="X175" s="197" t="s">
        <v>784</v>
      </c>
      <c r="Y175" s="636">
        <v>41091</v>
      </c>
      <c r="Z175" s="636"/>
      <c r="AA175" s="221" t="s">
        <v>774</v>
      </c>
      <c r="AB175" s="208">
        <v>41661</v>
      </c>
      <c r="AC175" s="201" t="s">
        <v>841</v>
      </c>
      <c r="AD175" s="197" t="str">
        <f ca="1">IFERROR(OFFSET(DistanceToCamp[Nearest Town],MATCH(CampList[[#This Row],[CP_Pcode]],DistanceToCamp[CP_Pcode],0)-1,0,1,1),"")</f>
        <v/>
      </c>
      <c r="AE175" s="210" t="str">
        <f ca="1">IFERROR(OFFSET(DistanceToCamp[distance],MATCH(CampList[[#This Row],[CP_Pcode]],DistanceToCamp[CP_Pcode],0)-1,0,1,1),"")</f>
        <v/>
      </c>
      <c r="AF175" s="211" t="str">
        <f ca="1">IFERROR(INT(CampList[[#This Row],[Distance]]/5)+1,"")</f>
        <v/>
      </c>
    </row>
    <row r="176" spans="2:32" ht="23.4" hidden="1" customHeight="1" x14ac:dyDescent="0.3">
      <c r="B176" s="201" t="s">
        <v>775</v>
      </c>
      <c r="C176" s="195" t="s">
        <v>378</v>
      </c>
      <c r="D176" s="195" t="s">
        <v>478</v>
      </c>
      <c r="E176" s="195" t="s">
        <v>5</v>
      </c>
      <c r="F176" s="195" t="s">
        <v>482</v>
      </c>
      <c r="G176" s="195" t="s">
        <v>151</v>
      </c>
      <c r="H176" s="195" t="s">
        <v>492</v>
      </c>
      <c r="I176" s="209" t="s">
        <v>568</v>
      </c>
      <c r="J176" s="209" t="s">
        <v>569</v>
      </c>
      <c r="K176" s="209"/>
      <c r="L176" s="209"/>
      <c r="M176" s="195" t="s">
        <v>791</v>
      </c>
      <c r="N176" s="195" t="s">
        <v>473</v>
      </c>
      <c r="O176" s="202">
        <v>97.132339999999999</v>
      </c>
      <c r="P176" s="202">
        <v>23.75817</v>
      </c>
      <c r="Q176" s="203">
        <v>781.8</v>
      </c>
      <c r="R176" s="280">
        <v>0</v>
      </c>
      <c r="S176" s="281">
        <v>0</v>
      </c>
      <c r="T176" s="205" t="str">
        <f>IF(CampList[[#This Row],[HH]]&gt;0,CampList[[#This Row],[Total]]/CampList[[#This Row],[HH]],"NA")</f>
        <v>NA</v>
      </c>
      <c r="U176" s="197" t="s">
        <v>466</v>
      </c>
      <c r="V176" s="197" t="s">
        <v>993</v>
      </c>
      <c r="W176" s="197" t="s">
        <v>507</v>
      </c>
      <c r="X176" s="197" t="s">
        <v>784</v>
      </c>
      <c r="Y176" s="636">
        <v>41091</v>
      </c>
      <c r="Z176" s="636"/>
      <c r="AA176" s="221" t="s">
        <v>774</v>
      </c>
      <c r="AB176" s="224"/>
      <c r="AC176" s="201" t="s">
        <v>841</v>
      </c>
      <c r="AD176" s="197" t="str">
        <f ca="1">IFERROR(OFFSET(DistanceToCamp[Nearest Town],MATCH(CampList[[#This Row],[CP_Pcode]],DistanceToCamp[CP_Pcode],0)-1,0,1,1),"")</f>
        <v/>
      </c>
      <c r="AE176" s="210" t="str">
        <f ca="1">IFERROR(OFFSET(DistanceToCamp[distance],MATCH(CampList[[#This Row],[CP_Pcode]],DistanceToCamp[CP_Pcode],0)-1,0,1,1),"")</f>
        <v/>
      </c>
      <c r="AF176" s="211" t="str">
        <f ca="1">IFERROR(INT(CampList[[#This Row],[Distance]]/5)+1,"")</f>
        <v/>
      </c>
    </row>
    <row r="177" spans="2:32" ht="15.75" customHeight="1" x14ac:dyDescent="0.3">
      <c r="B177" s="201" t="s">
        <v>1692</v>
      </c>
      <c r="C177" s="195" t="s">
        <v>378</v>
      </c>
      <c r="D177" s="195" t="s">
        <v>478</v>
      </c>
      <c r="E177" s="195" t="s">
        <v>5</v>
      </c>
      <c r="F177" s="195" t="s">
        <v>482</v>
      </c>
      <c r="G177" s="195" t="s">
        <v>151</v>
      </c>
      <c r="H177" s="195" t="s">
        <v>492</v>
      </c>
      <c r="I177" s="195" t="s">
        <v>600</v>
      </c>
      <c r="J177" s="195" t="s">
        <v>601</v>
      </c>
      <c r="K177" s="195" t="s">
        <v>600</v>
      </c>
      <c r="L177" s="195">
        <v>167405</v>
      </c>
      <c r="M177" s="195" t="s">
        <v>936</v>
      </c>
      <c r="N177" s="195" t="s">
        <v>937</v>
      </c>
      <c r="O177" s="204">
        <v>97.590767</v>
      </c>
      <c r="P177" s="204">
        <v>23.829599000000002</v>
      </c>
      <c r="Q177" s="215"/>
      <c r="R177" s="270">
        <v>156</v>
      </c>
      <c r="S177" s="270">
        <v>650</v>
      </c>
      <c r="T177" s="205">
        <f>IF(CampList[[#This Row],[HH]]&gt;0,CampList[[#This Row],[Total]]/CampList[[#This Row],[HH]],"NA")</f>
        <v>4.166666666666667</v>
      </c>
      <c r="U177" s="197" t="s">
        <v>464</v>
      </c>
      <c r="V177" s="197" t="s">
        <v>993</v>
      </c>
      <c r="W177" s="197" t="s">
        <v>507</v>
      </c>
      <c r="X177" s="197" t="s">
        <v>784</v>
      </c>
      <c r="Y177" s="309">
        <v>41730</v>
      </c>
      <c r="Z177" s="636" t="s">
        <v>1900</v>
      </c>
      <c r="AA177" s="195" t="s">
        <v>774</v>
      </c>
      <c r="AB177" s="208">
        <v>43593</v>
      </c>
      <c r="AC177" s="209" t="s">
        <v>2010</v>
      </c>
      <c r="AD177" s="197" t="str">
        <f ca="1">IFERROR(OFFSET(DistanceToCamp[Nearest Town],MATCH(CampList[[#This Row],[CP_Pcode]],DistanceToCamp[CP_Pcode],0)-1,0,1,1),"")</f>
        <v>Namhkan Town</v>
      </c>
      <c r="AE177" s="210">
        <f ca="1">IFERROR(OFFSET(DistanceToCamp[distance],MATCH(CampList[[#This Row],[CP_Pcode]],DistanceToCamp[CP_Pcode],0)-1,0,1,1),"")</f>
        <v>9.2957189123335944</v>
      </c>
      <c r="AF177" s="219">
        <f ca="1">IFERROR(INT(CampList[[#This Row],[Distance]]/5)+1,"")</f>
        <v>2</v>
      </c>
    </row>
    <row r="178" spans="2:32" ht="15.75" customHeight="1" x14ac:dyDescent="0.3">
      <c r="B178" s="201" t="s">
        <v>1692</v>
      </c>
      <c r="C178" s="195" t="s">
        <v>378</v>
      </c>
      <c r="D178" s="195" t="s">
        <v>478</v>
      </c>
      <c r="E178" s="195" t="s">
        <v>180</v>
      </c>
      <c r="F178" s="195" t="s">
        <v>479</v>
      </c>
      <c r="G178" s="195" t="s">
        <v>180</v>
      </c>
      <c r="H178" s="195" t="s">
        <v>504</v>
      </c>
      <c r="I178" s="195" t="s">
        <v>1005</v>
      </c>
      <c r="J178" s="195" t="s">
        <v>1108</v>
      </c>
      <c r="K178" s="195" t="s">
        <v>1109</v>
      </c>
      <c r="L178" s="195" t="s">
        <v>1110</v>
      </c>
      <c r="M178" s="195" t="s">
        <v>1886</v>
      </c>
      <c r="N178" s="195" t="s">
        <v>984</v>
      </c>
      <c r="O178" s="204">
        <v>96.52534</v>
      </c>
      <c r="P178" s="204">
        <v>24.996279999999999</v>
      </c>
      <c r="Q178" s="215"/>
      <c r="R178" s="204">
        <v>27</v>
      </c>
      <c r="S178" s="215">
        <v>126</v>
      </c>
      <c r="T178" s="205">
        <f>IF(CampList[[#This Row],[HH]]&gt;0,CampList[[#This Row],[Total]]/CampList[[#This Row],[HH]],"NA")</f>
        <v>4.666666666666667</v>
      </c>
      <c r="U178" s="197" t="s">
        <v>464</v>
      </c>
      <c r="V178" s="197" t="s">
        <v>993</v>
      </c>
      <c r="W178" s="225" t="s">
        <v>1881</v>
      </c>
      <c r="X178" s="197" t="s">
        <v>742</v>
      </c>
      <c r="Y178" s="309">
        <v>41275</v>
      </c>
      <c r="Z178" s="207" t="s">
        <v>1311</v>
      </c>
      <c r="AA178" s="221" t="s">
        <v>1164</v>
      </c>
      <c r="AB178" s="227">
        <v>43542</v>
      </c>
      <c r="AC178" s="209" t="s">
        <v>1926</v>
      </c>
      <c r="AD178" s="197" t="str">
        <f ca="1">IFERROR(OFFSET(DistanceToCamp[Nearest Town],MATCH(CampList[[#This Row],[CP_Pcode]],DistanceToCamp[CP_Pcode],0)-1,0,1,1),"")</f>
        <v>Hopin Town</v>
      </c>
      <c r="AE178" s="210">
        <f ca="1">IFERROR(OFFSET(DistanceToCamp[distance],MATCH(CampList[[#This Row],[CP_Pcode]],DistanceToCamp[CP_Pcode],0)-1,0,1,1),"")</f>
        <v>0</v>
      </c>
      <c r="AF178" s="211">
        <f ca="1">IFERROR(INT(CampList[[#This Row],[Distance]]/5)+1,"")</f>
        <v>1</v>
      </c>
    </row>
    <row r="179" spans="2:32" ht="15.75" hidden="1" customHeight="1" x14ac:dyDescent="0.3">
      <c r="B179" s="201" t="s">
        <v>775</v>
      </c>
      <c r="C179" s="195" t="s">
        <v>378</v>
      </c>
      <c r="D179" s="195" t="s">
        <v>478</v>
      </c>
      <c r="E179" s="195" t="s">
        <v>5</v>
      </c>
      <c r="F179" s="195" t="s">
        <v>482</v>
      </c>
      <c r="G179" s="195" t="s">
        <v>151</v>
      </c>
      <c r="H179" s="195" t="s">
        <v>492</v>
      </c>
      <c r="I179" s="209" t="s">
        <v>568</v>
      </c>
      <c r="J179" s="209" t="s">
        <v>569</v>
      </c>
      <c r="K179" s="195"/>
      <c r="L179" s="213"/>
      <c r="M179" s="195" t="s">
        <v>792</v>
      </c>
      <c r="N179" s="195" t="s">
        <v>793</v>
      </c>
      <c r="O179" s="202"/>
      <c r="P179" s="202"/>
      <c r="Q179" s="215"/>
      <c r="R179" s="280">
        <v>0</v>
      </c>
      <c r="S179" s="281">
        <v>0</v>
      </c>
      <c r="T179" s="205" t="str">
        <f>IF(CampList[[#This Row],[HH]]&gt;0,CampList[[#This Row],[Total]]/CampList[[#This Row],[HH]],"NA")</f>
        <v>NA</v>
      </c>
      <c r="U179" s="197" t="s">
        <v>466</v>
      </c>
      <c r="V179" s="197" t="s">
        <v>993</v>
      </c>
      <c r="W179" s="197" t="s">
        <v>507</v>
      </c>
      <c r="X179" s="197"/>
      <c r="Y179" s="216"/>
      <c r="Z179" s="207"/>
      <c r="AA179" s="221" t="s">
        <v>774</v>
      </c>
      <c r="AB179" s="224"/>
      <c r="AC179" s="201" t="s">
        <v>841</v>
      </c>
      <c r="AD179" s="197" t="str">
        <f ca="1">IFERROR(OFFSET(DistanceToCamp[Nearest Town],MATCH(CampList[[#This Row],[CP_Pcode]],DistanceToCamp[CP_Pcode],0)-1,0,1,1),"")</f>
        <v/>
      </c>
      <c r="AE179" s="210" t="str">
        <f ca="1">IFERROR(OFFSET(DistanceToCamp[distance],MATCH(CampList[[#This Row],[CP_Pcode]],DistanceToCamp[CP_Pcode],0)-1,0,1,1),"")</f>
        <v/>
      </c>
      <c r="AF179" s="211" t="str">
        <f ca="1">IFERROR(INT(CampList[[#This Row],[Distance]]/5)+1,"")</f>
        <v/>
      </c>
    </row>
    <row r="180" spans="2:32" ht="15.75" customHeight="1" x14ac:dyDescent="0.3">
      <c r="B180" s="201" t="s">
        <v>1692</v>
      </c>
      <c r="C180" s="195" t="s">
        <v>378</v>
      </c>
      <c r="D180" s="195" t="s">
        <v>478</v>
      </c>
      <c r="E180" s="195" t="s">
        <v>180</v>
      </c>
      <c r="F180" s="195" t="s">
        <v>479</v>
      </c>
      <c r="G180" s="195" t="s">
        <v>180</v>
      </c>
      <c r="H180" s="195" t="s">
        <v>504</v>
      </c>
      <c r="I180" s="195" t="s">
        <v>958</v>
      </c>
      <c r="J180" s="195" t="s">
        <v>1036</v>
      </c>
      <c r="K180" s="195"/>
      <c r="L180" s="195"/>
      <c r="M180" s="195" t="s">
        <v>1887</v>
      </c>
      <c r="N180" s="195" t="s">
        <v>985</v>
      </c>
      <c r="O180" s="204">
        <v>96.366919999999993</v>
      </c>
      <c r="P180" s="204">
        <v>24.764959999999999</v>
      </c>
      <c r="Q180" s="215"/>
      <c r="R180" s="204">
        <v>15</v>
      </c>
      <c r="S180" s="215">
        <v>71</v>
      </c>
      <c r="T180" s="205">
        <f>IF(CampList[[#This Row],[HH]]&gt;0,CampList[[#This Row],[Total]]/CampList[[#This Row],[HH]],"NA")</f>
        <v>4.7333333333333334</v>
      </c>
      <c r="U180" s="197" t="s">
        <v>464</v>
      </c>
      <c r="V180" s="197" t="s">
        <v>993</v>
      </c>
      <c r="W180" s="225" t="s">
        <v>1881</v>
      </c>
      <c r="X180" s="197" t="s">
        <v>742</v>
      </c>
      <c r="Y180" s="309">
        <v>41275</v>
      </c>
      <c r="Z180" s="207" t="s">
        <v>1311</v>
      </c>
      <c r="AA180" s="221" t="s">
        <v>1164</v>
      </c>
      <c r="AB180" s="227">
        <v>43542</v>
      </c>
      <c r="AC180" s="209" t="s">
        <v>1927</v>
      </c>
      <c r="AD180" s="197" t="str">
        <f ca="1">IFERROR(OFFSET(DistanceToCamp[Nearest Town],MATCH(CampList[[#This Row],[CP_Pcode]],DistanceToCamp[CP_Pcode],0)-1,0,1,1),"")</f>
        <v>Mohnyin Town</v>
      </c>
      <c r="AE180" s="210">
        <f ca="1">IFERROR(OFFSET(DistanceToCamp[distance],MATCH(CampList[[#This Row],[CP_Pcode]],DistanceToCamp[CP_Pcode],0)-1,0,1,1),"")</f>
        <v>0</v>
      </c>
      <c r="AF180" s="211">
        <f ca="1">IFERROR(INT(CampList[[#This Row],[Distance]]/5)+1,"")</f>
        <v>1</v>
      </c>
    </row>
    <row r="181" spans="2:32" ht="15.75" hidden="1" customHeight="1" x14ac:dyDescent="0.3">
      <c r="B181" s="201" t="s">
        <v>775</v>
      </c>
      <c r="C181" s="195" t="s">
        <v>378</v>
      </c>
      <c r="D181" s="195" t="s">
        <v>478</v>
      </c>
      <c r="E181" s="195" t="s">
        <v>5</v>
      </c>
      <c r="F181" s="195" t="s">
        <v>482</v>
      </c>
      <c r="G181" s="195" t="s">
        <v>5</v>
      </c>
      <c r="H181" s="195" t="s">
        <v>483</v>
      </c>
      <c r="I181" s="209"/>
      <c r="J181" s="209"/>
      <c r="K181" s="209"/>
      <c r="L181" s="209"/>
      <c r="M181" s="195" t="s">
        <v>795</v>
      </c>
      <c r="N181" s="195" t="s">
        <v>783</v>
      </c>
      <c r="O181" s="202"/>
      <c r="P181" s="202"/>
      <c r="Q181" s="203"/>
      <c r="R181" s="280">
        <v>0</v>
      </c>
      <c r="S181" s="281">
        <v>0</v>
      </c>
      <c r="T181" s="205" t="str">
        <f>IF(CampList[[#This Row],[HH]]&gt;0,CampList[[#This Row],[Total]]/CampList[[#This Row],[HH]],"NA")</f>
        <v>NA</v>
      </c>
      <c r="U181" s="197" t="s">
        <v>464</v>
      </c>
      <c r="V181" s="197" t="s">
        <v>993</v>
      </c>
      <c r="W181" s="197" t="s">
        <v>507</v>
      </c>
      <c r="X181" s="197" t="s">
        <v>742</v>
      </c>
      <c r="Y181" s="636"/>
      <c r="Z181" s="636"/>
      <c r="AA181" s="221" t="s">
        <v>774</v>
      </c>
      <c r="AB181" s="208">
        <v>41701</v>
      </c>
      <c r="AC181" s="201" t="s">
        <v>871</v>
      </c>
      <c r="AD181" s="197" t="str">
        <f ca="1">IFERROR(OFFSET(DistanceToCamp[Nearest Town],MATCH(CampList[[#This Row],[CP_Pcode]],DistanceToCamp[CP_Pcode],0)-1,0,1,1),"")</f>
        <v/>
      </c>
      <c r="AE181" s="210" t="str">
        <f ca="1">IFERROR(OFFSET(DistanceToCamp[distance],MATCH(CampList[[#This Row],[CP_Pcode]],DistanceToCamp[CP_Pcode],0)-1,0,1,1),"")</f>
        <v/>
      </c>
      <c r="AF181" s="211" t="str">
        <f ca="1">IFERROR(INT(CampList[[#This Row],[Distance]]/5)+1,"")</f>
        <v/>
      </c>
    </row>
    <row r="182" spans="2:32" ht="23.4" hidden="1" customHeight="1" x14ac:dyDescent="0.3">
      <c r="B182" s="201" t="s">
        <v>775</v>
      </c>
      <c r="C182" s="195" t="s">
        <v>378</v>
      </c>
      <c r="D182" s="195" t="s">
        <v>478</v>
      </c>
      <c r="E182" s="195" t="s">
        <v>5</v>
      </c>
      <c r="F182" s="195" t="s">
        <v>482</v>
      </c>
      <c r="G182" s="195" t="s">
        <v>151</v>
      </c>
      <c r="H182" s="195" t="s">
        <v>492</v>
      </c>
      <c r="I182" s="209" t="s">
        <v>798</v>
      </c>
      <c r="J182" s="209" t="s">
        <v>799</v>
      </c>
      <c r="K182" s="209" t="s">
        <v>797</v>
      </c>
      <c r="L182" s="209">
        <v>167391</v>
      </c>
      <c r="M182" s="195" t="s">
        <v>802</v>
      </c>
      <c r="N182" s="195" t="s">
        <v>796</v>
      </c>
      <c r="O182" s="202">
        <v>97.710989999999995</v>
      </c>
      <c r="P182" s="229">
        <v>24.181640000000002</v>
      </c>
      <c r="Q182" s="215"/>
      <c r="R182" s="280">
        <v>0</v>
      </c>
      <c r="S182" s="281">
        <v>0</v>
      </c>
      <c r="T182" s="205" t="str">
        <f>IF(CampList[[#This Row],[HH]]&gt;0,CampList[[#This Row],[Total]]/CampList[[#This Row],[HH]],"NA")</f>
        <v>NA</v>
      </c>
      <c r="U182" s="197" t="s">
        <v>464</v>
      </c>
      <c r="V182" s="197" t="s">
        <v>993</v>
      </c>
      <c r="W182" s="197" t="s">
        <v>507</v>
      </c>
      <c r="X182" s="197"/>
      <c r="Y182" s="216"/>
      <c r="Z182" s="207"/>
      <c r="AA182" s="221" t="s">
        <v>774</v>
      </c>
      <c r="AB182" s="208">
        <v>41701</v>
      </c>
      <c r="AC182" s="201" t="s">
        <v>866</v>
      </c>
      <c r="AD182" s="197" t="str">
        <f ca="1">IFERROR(OFFSET(DistanceToCamp[Nearest Town],MATCH(CampList[[#This Row],[CP_Pcode]],DistanceToCamp[CP_Pcode],0)-1,0,1,1),"")</f>
        <v/>
      </c>
      <c r="AE182" s="210" t="str">
        <f ca="1">IFERROR(OFFSET(DistanceToCamp[distance],MATCH(CampList[[#This Row],[CP_Pcode]],DistanceToCamp[CP_Pcode],0)-1,0,1,1),"")</f>
        <v/>
      </c>
      <c r="AF182" s="211" t="str">
        <f ca="1">IFERROR(INT(CampList[[#This Row],[Distance]]/5)+1,"")</f>
        <v/>
      </c>
    </row>
    <row r="183" spans="2:32" ht="15.75" hidden="1" customHeight="1" x14ac:dyDescent="0.3">
      <c r="B183" s="201" t="s">
        <v>775</v>
      </c>
      <c r="C183" s="195" t="s">
        <v>378</v>
      </c>
      <c r="D183" s="195" t="s">
        <v>478</v>
      </c>
      <c r="E183" s="195" t="s">
        <v>5</v>
      </c>
      <c r="F183" s="195" t="s">
        <v>482</v>
      </c>
      <c r="G183" s="195" t="s">
        <v>151</v>
      </c>
      <c r="H183" s="195" t="s">
        <v>492</v>
      </c>
      <c r="I183" s="209" t="s">
        <v>798</v>
      </c>
      <c r="J183" s="209" t="s">
        <v>799</v>
      </c>
      <c r="K183" s="209" t="s">
        <v>797</v>
      </c>
      <c r="L183" s="209">
        <v>167391</v>
      </c>
      <c r="M183" s="195" t="s">
        <v>801</v>
      </c>
      <c r="N183" s="195" t="s">
        <v>800</v>
      </c>
      <c r="O183" s="202">
        <v>97.710989999999995</v>
      </c>
      <c r="P183" s="229">
        <v>24.181640000000002</v>
      </c>
      <c r="Q183" s="215"/>
      <c r="R183" s="280">
        <v>0</v>
      </c>
      <c r="S183" s="281">
        <v>0</v>
      </c>
      <c r="T183" s="205" t="str">
        <f>IF(CampList[[#This Row],[HH]]&gt;0,CampList[[#This Row],[Total]]/CampList[[#This Row],[HH]],"NA")</f>
        <v>NA</v>
      </c>
      <c r="U183" s="197" t="s">
        <v>464</v>
      </c>
      <c r="V183" s="197" t="s">
        <v>993</v>
      </c>
      <c r="W183" s="197" t="s">
        <v>507</v>
      </c>
      <c r="X183" s="197"/>
      <c r="Y183" s="216"/>
      <c r="Z183" s="207"/>
      <c r="AA183" s="221" t="s">
        <v>774</v>
      </c>
      <c r="AB183" s="208">
        <v>41701</v>
      </c>
      <c r="AC183" s="201" t="s">
        <v>866</v>
      </c>
      <c r="AD183" s="197" t="str">
        <f ca="1">IFERROR(OFFSET(DistanceToCamp[Nearest Town],MATCH(CampList[[#This Row],[CP_Pcode]],DistanceToCamp[CP_Pcode],0)-1,0,1,1),"")</f>
        <v/>
      </c>
      <c r="AE183" s="210" t="str">
        <f ca="1">IFERROR(OFFSET(DistanceToCamp[distance],MATCH(CampList[[#This Row],[CP_Pcode]],DistanceToCamp[CP_Pcode],0)-1,0,1,1),"")</f>
        <v/>
      </c>
      <c r="AF183" s="211" t="str">
        <f ca="1">IFERROR(INT(CampList[[#This Row],[Distance]]/5)+1,"")</f>
        <v/>
      </c>
    </row>
    <row r="184" spans="2:32" ht="15.75" hidden="1" customHeight="1" x14ac:dyDescent="0.3">
      <c r="B184" s="201" t="s">
        <v>775</v>
      </c>
      <c r="C184" s="195" t="s">
        <v>378</v>
      </c>
      <c r="D184" s="195" t="s">
        <v>478</v>
      </c>
      <c r="E184" s="195" t="s">
        <v>5</v>
      </c>
      <c r="F184" s="195" t="s">
        <v>482</v>
      </c>
      <c r="G184" s="195" t="s">
        <v>151</v>
      </c>
      <c r="H184" s="195" t="s">
        <v>492</v>
      </c>
      <c r="I184" s="209"/>
      <c r="J184" s="209"/>
      <c r="K184" s="209"/>
      <c r="L184" s="209"/>
      <c r="M184" s="195" t="s">
        <v>804</v>
      </c>
      <c r="N184" s="195" t="s">
        <v>805</v>
      </c>
      <c r="O184" s="202"/>
      <c r="P184" s="202"/>
      <c r="Q184" s="215"/>
      <c r="R184" s="280">
        <v>0</v>
      </c>
      <c r="S184" s="281">
        <v>0</v>
      </c>
      <c r="T184" s="205" t="str">
        <f>IF(CampList[[#This Row],[HH]]&gt;0,CampList[[#This Row],[Total]]/CampList[[#This Row],[HH]],"NA")</f>
        <v>NA</v>
      </c>
      <c r="U184" s="197" t="s">
        <v>464</v>
      </c>
      <c r="V184" s="197" t="s">
        <v>993</v>
      </c>
      <c r="W184" s="197" t="s">
        <v>507</v>
      </c>
      <c r="X184" s="197"/>
      <c r="Y184" s="216"/>
      <c r="Z184" s="207"/>
      <c r="AA184" s="221" t="s">
        <v>774</v>
      </c>
      <c r="AB184" s="208">
        <v>41701</v>
      </c>
      <c r="AC184" s="201" t="s">
        <v>865</v>
      </c>
      <c r="AD184" s="197" t="str">
        <f ca="1">IFERROR(OFFSET(DistanceToCamp[Nearest Town],MATCH(CampList[[#This Row],[CP_Pcode]],DistanceToCamp[CP_Pcode],0)-1,0,1,1),"")</f>
        <v/>
      </c>
      <c r="AE184" s="210" t="str">
        <f ca="1">IFERROR(OFFSET(DistanceToCamp[distance],MATCH(CampList[[#This Row],[CP_Pcode]],DistanceToCamp[CP_Pcode],0)-1,0,1,1),"")</f>
        <v/>
      </c>
      <c r="AF184" s="211" t="str">
        <f ca="1">IFERROR(INT(CampList[[#This Row],[Distance]]/5)+1,"")</f>
        <v/>
      </c>
    </row>
    <row r="185" spans="2:32" ht="15.75" hidden="1" customHeight="1" x14ac:dyDescent="0.3">
      <c r="B185" s="201" t="s">
        <v>775</v>
      </c>
      <c r="C185" s="195" t="s">
        <v>378</v>
      </c>
      <c r="D185" s="195" t="s">
        <v>478</v>
      </c>
      <c r="E185" s="195" t="s">
        <v>5</v>
      </c>
      <c r="F185" s="195" t="s">
        <v>482</v>
      </c>
      <c r="G185" s="195" t="s">
        <v>151</v>
      </c>
      <c r="H185" s="195" t="s">
        <v>492</v>
      </c>
      <c r="I185" s="209"/>
      <c r="J185" s="209"/>
      <c r="K185" s="209"/>
      <c r="L185" s="209"/>
      <c r="M185" s="195" t="s">
        <v>808</v>
      </c>
      <c r="N185" s="195" t="s">
        <v>806</v>
      </c>
      <c r="O185" s="202"/>
      <c r="P185" s="202"/>
      <c r="Q185" s="215"/>
      <c r="R185" s="280">
        <v>0</v>
      </c>
      <c r="S185" s="281">
        <v>0</v>
      </c>
      <c r="T185" s="205" t="str">
        <f>IF(CampList[[#This Row],[HH]]&gt;0,CampList[[#This Row],[Total]]/CampList[[#This Row],[HH]],"NA")</f>
        <v>NA</v>
      </c>
      <c r="U185" s="197" t="s">
        <v>464</v>
      </c>
      <c r="V185" s="197" t="s">
        <v>993</v>
      </c>
      <c r="W185" s="197" t="s">
        <v>507</v>
      </c>
      <c r="X185" s="197"/>
      <c r="Y185" s="216"/>
      <c r="Z185" s="207"/>
      <c r="AA185" s="221" t="s">
        <v>774</v>
      </c>
      <c r="AB185" s="208">
        <v>41701</v>
      </c>
      <c r="AC185" s="201" t="s">
        <v>865</v>
      </c>
      <c r="AD185" s="197" t="str">
        <f ca="1">IFERROR(OFFSET(DistanceToCamp[Nearest Town],MATCH(CampList[[#This Row],[CP_Pcode]],DistanceToCamp[CP_Pcode],0)-1,0,1,1),"")</f>
        <v/>
      </c>
      <c r="AE185" s="210" t="str">
        <f ca="1">IFERROR(OFFSET(DistanceToCamp[distance],MATCH(CampList[[#This Row],[CP_Pcode]],DistanceToCamp[CP_Pcode],0)-1,0,1,1),"")</f>
        <v/>
      </c>
      <c r="AF185" s="211" t="str">
        <f ca="1">IFERROR(INT(CampList[[#This Row],[Distance]]/5)+1,"")</f>
        <v/>
      </c>
    </row>
    <row r="186" spans="2:32" ht="15.75" hidden="1" customHeight="1" x14ac:dyDescent="0.3">
      <c r="B186" s="201" t="s">
        <v>775</v>
      </c>
      <c r="C186" s="195" t="s">
        <v>378</v>
      </c>
      <c r="D186" s="195" t="s">
        <v>478</v>
      </c>
      <c r="E186" s="195" t="s">
        <v>5</v>
      </c>
      <c r="F186" s="195" t="s">
        <v>482</v>
      </c>
      <c r="G186" s="195" t="s">
        <v>151</v>
      </c>
      <c r="H186" s="195" t="s">
        <v>492</v>
      </c>
      <c r="I186" s="209"/>
      <c r="J186" s="209"/>
      <c r="K186" s="209"/>
      <c r="L186" s="209"/>
      <c r="M186" s="195" t="s">
        <v>803</v>
      </c>
      <c r="N186" s="195" t="s">
        <v>807</v>
      </c>
      <c r="O186" s="202"/>
      <c r="P186" s="202"/>
      <c r="Q186" s="215"/>
      <c r="R186" s="280">
        <v>0</v>
      </c>
      <c r="S186" s="281">
        <v>0</v>
      </c>
      <c r="T186" s="205" t="str">
        <f>IF(CampList[[#This Row],[HH]]&gt;0,CampList[[#This Row],[Total]]/CampList[[#This Row],[HH]],"NA")</f>
        <v>NA</v>
      </c>
      <c r="U186" s="197" t="s">
        <v>464</v>
      </c>
      <c r="V186" s="197" t="s">
        <v>993</v>
      </c>
      <c r="W186" s="225" t="s">
        <v>1898</v>
      </c>
      <c r="X186" s="197" t="s">
        <v>784</v>
      </c>
      <c r="Y186" s="216"/>
      <c r="Z186" s="207"/>
      <c r="AA186" s="221" t="s">
        <v>774</v>
      </c>
      <c r="AB186" s="208">
        <v>42090</v>
      </c>
      <c r="AC186" s="201" t="s">
        <v>1025</v>
      </c>
      <c r="AD186" s="197" t="str">
        <f ca="1">IFERROR(OFFSET(DistanceToCamp[Nearest Town],MATCH(CampList[[#This Row],[CP_Pcode]],DistanceToCamp[CP_Pcode],0)-1,0,1,1),"")</f>
        <v/>
      </c>
      <c r="AE186" s="210" t="str">
        <f ca="1">IFERROR(OFFSET(DistanceToCamp[distance],MATCH(CampList[[#This Row],[CP_Pcode]],DistanceToCamp[CP_Pcode],0)-1,0,1,1),"")</f>
        <v/>
      </c>
      <c r="AF186" s="211" t="str">
        <f ca="1">IFERROR(INT(CampList[[#This Row],[Distance]]/5)+1,"")</f>
        <v/>
      </c>
    </row>
    <row r="187" spans="2:32" ht="15.75" hidden="1" customHeight="1" x14ac:dyDescent="0.3">
      <c r="B187" s="201" t="s">
        <v>775</v>
      </c>
      <c r="C187" s="195" t="s">
        <v>378</v>
      </c>
      <c r="D187" s="195" t="s">
        <v>478</v>
      </c>
      <c r="E187" s="195" t="s">
        <v>5</v>
      </c>
      <c r="F187" s="195" t="s">
        <v>482</v>
      </c>
      <c r="G187" s="195" t="s">
        <v>151</v>
      </c>
      <c r="H187" s="195" t="s">
        <v>492</v>
      </c>
      <c r="I187" s="209"/>
      <c r="J187" s="209"/>
      <c r="K187" s="209"/>
      <c r="L187" s="209"/>
      <c r="M187" s="195" t="s">
        <v>810</v>
      </c>
      <c r="N187" s="195" t="s">
        <v>809</v>
      </c>
      <c r="O187" s="202"/>
      <c r="P187" s="229"/>
      <c r="Q187" s="215"/>
      <c r="R187" s="280">
        <v>0</v>
      </c>
      <c r="S187" s="281">
        <v>0</v>
      </c>
      <c r="T187" s="205" t="str">
        <f>IF(CampList[[#This Row],[HH]]&gt;0,CampList[[#This Row],[Total]]/CampList[[#This Row],[HH]],"NA")</f>
        <v>NA</v>
      </c>
      <c r="U187" s="197" t="s">
        <v>464</v>
      </c>
      <c r="V187" s="197" t="s">
        <v>993</v>
      </c>
      <c r="W187" s="197" t="s">
        <v>784</v>
      </c>
      <c r="X187" s="197"/>
      <c r="Y187" s="216"/>
      <c r="Z187" s="207"/>
      <c r="AA187" s="221" t="s">
        <v>774</v>
      </c>
      <c r="AB187" s="208">
        <v>41677</v>
      </c>
      <c r="AC187" s="201" t="s">
        <v>846</v>
      </c>
      <c r="AD187" s="197" t="str">
        <f ca="1">IFERROR(OFFSET(DistanceToCamp[Nearest Town],MATCH(CampList[[#This Row],[CP_Pcode]],DistanceToCamp[CP_Pcode],0)-1,0,1,1),"")</f>
        <v/>
      </c>
      <c r="AE187" s="210" t="str">
        <f ca="1">IFERROR(OFFSET(DistanceToCamp[distance],MATCH(CampList[[#This Row],[CP_Pcode]],DistanceToCamp[CP_Pcode],0)-1,0,1,1),"")</f>
        <v/>
      </c>
      <c r="AF187" s="211" t="str">
        <f ca="1">IFERROR(INT(CampList[[#This Row],[Distance]]/5)+1,"")</f>
        <v/>
      </c>
    </row>
    <row r="188" spans="2:32" ht="15.75" customHeight="1" x14ac:dyDescent="0.3">
      <c r="B188" s="201" t="s">
        <v>1692</v>
      </c>
      <c r="C188" s="195" t="s">
        <v>378</v>
      </c>
      <c r="D188" s="195" t="s">
        <v>478</v>
      </c>
      <c r="E188" s="195" t="s">
        <v>299</v>
      </c>
      <c r="F188" s="195" t="s">
        <v>499</v>
      </c>
      <c r="G188" s="195" t="s">
        <v>299</v>
      </c>
      <c r="H188" s="195" t="s">
        <v>505</v>
      </c>
      <c r="I188" s="196" t="s">
        <v>740</v>
      </c>
      <c r="J188" s="214" t="s">
        <v>741</v>
      </c>
      <c r="K188" s="196" t="s">
        <v>1050</v>
      </c>
      <c r="L188" s="209" t="s">
        <v>1051</v>
      </c>
      <c r="M188" s="196" t="s">
        <v>1044</v>
      </c>
      <c r="N188" s="195" t="s">
        <v>1043</v>
      </c>
      <c r="O188" s="231">
        <v>97.416121000000004</v>
      </c>
      <c r="P188" s="231">
        <v>27.337499999999999</v>
      </c>
      <c r="Q188" s="215"/>
      <c r="R188" s="270">
        <v>61</v>
      </c>
      <c r="S188" s="223">
        <v>281</v>
      </c>
      <c r="T188" s="205">
        <f>IF(CampList[[#This Row],[HH]]&gt;0,CampList[[#This Row],[Total]]/CampList[[#This Row],[HH]],"NA")</f>
        <v>4.6065573770491799</v>
      </c>
      <c r="U188" s="197" t="s">
        <v>464</v>
      </c>
      <c r="V188" s="197" t="s">
        <v>993</v>
      </c>
      <c r="W188" s="197" t="s">
        <v>507</v>
      </c>
      <c r="X188" s="181" t="s">
        <v>742</v>
      </c>
      <c r="Y188" s="309">
        <v>42180</v>
      </c>
      <c r="Z188" s="636" t="s">
        <v>1835</v>
      </c>
      <c r="AA188" s="195" t="s">
        <v>774</v>
      </c>
      <c r="AB188" s="208">
        <v>43593</v>
      </c>
      <c r="AC188" s="217" t="s">
        <v>1991</v>
      </c>
      <c r="AD188" s="197" t="str">
        <f ca="1">IFERROR(OFFSET(DistanceToCamp[Nearest Town],MATCH(CampList[[#This Row],[CP_Pcode]],DistanceToCamp[CP_Pcode],0)-1,0,1,1),"")</f>
        <v>Puta-O Town</v>
      </c>
      <c r="AE188" s="210">
        <f ca="1">IFERROR(OFFSET(DistanceToCamp[distance],MATCH(CampList[[#This Row],[CP_Pcode]],DistanceToCamp[CP_Pcode],0)-1,0,1,1),"")</f>
        <v>0</v>
      </c>
      <c r="AF188" s="211">
        <f ca="1">IFERROR(INT(CampList[[#This Row],[Distance]]/5)+1,"")</f>
        <v>1</v>
      </c>
    </row>
    <row r="189" spans="2:32" ht="15.75" hidden="1" customHeight="1" x14ac:dyDescent="0.3">
      <c r="B189" s="201" t="s">
        <v>775</v>
      </c>
      <c r="C189" s="195" t="s">
        <v>378</v>
      </c>
      <c r="D189" s="195" t="s">
        <v>478</v>
      </c>
      <c r="E189" s="195" t="s">
        <v>5</v>
      </c>
      <c r="F189" s="195" t="s">
        <v>482</v>
      </c>
      <c r="G189" s="195" t="s">
        <v>151</v>
      </c>
      <c r="H189" s="195" t="s">
        <v>492</v>
      </c>
      <c r="I189" s="195"/>
      <c r="J189" s="195"/>
      <c r="K189" s="195"/>
      <c r="L189" s="195"/>
      <c r="M189" s="195" t="s">
        <v>813</v>
      </c>
      <c r="N189" s="195" t="s">
        <v>814</v>
      </c>
      <c r="O189" s="204"/>
      <c r="P189" s="204"/>
      <c r="Q189" s="215"/>
      <c r="R189" s="280">
        <v>0</v>
      </c>
      <c r="S189" s="281">
        <v>0</v>
      </c>
      <c r="T189" s="205" t="str">
        <f>IF(CampList[[#This Row],[HH]]&gt;0,CampList[[#This Row],[Total]]/CampList[[#This Row],[HH]],"NA")</f>
        <v>NA</v>
      </c>
      <c r="U189" s="197" t="s">
        <v>464</v>
      </c>
      <c r="V189" s="197" t="s">
        <v>993</v>
      </c>
      <c r="W189" s="197" t="s">
        <v>507</v>
      </c>
      <c r="X189" s="197" t="s">
        <v>784</v>
      </c>
      <c r="Y189" s="216"/>
      <c r="Z189" s="207"/>
      <c r="AA189" s="195" t="s">
        <v>774</v>
      </c>
      <c r="AB189" s="208">
        <v>41652</v>
      </c>
      <c r="AC189" s="201" t="s">
        <v>835</v>
      </c>
      <c r="AD189" s="197" t="str">
        <f ca="1">IFERROR(OFFSET(DistanceToCamp[Nearest Town],MATCH(CampList[[#This Row],[CP_Pcode]],DistanceToCamp[CP_Pcode],0)-1,0,1,1),"")</f>
        <v/>
      </c>
      <c r="AE189" s="210" t="str">
        <f ca="1">IFERROR(OFFSET(DistanceToCamp[distance],MATCH(CampList[[#This Row],[CP_Pcode]],DistanceToCamp[CP_Pcode],0)-1,0,1,1),"")</f>
        <v/>
      </c>
      <c r="AF189" s="211" t="str">
        <f ca="1">IFERROR(INT(CampList[[#This Row],[Distance]]/5)+1,"")</f>
        <v/>
      </c>
    </row>
    <row r="190" spans="2:32" ht="15.75" hidden="1" customHeight="1" x14ac:dyDescent="0.3">
      <c r="B190" s="201" t="s">
        <v>775</v>
      </c>
      <c r="C190" s="195" t="s">
        <v>378</v>
      </c>
      <c r="D190" s="195" t="s">
        <v>478</v>
      </c>
      <c r="E190" s="195" t="s">
        <v>299</v>
      </c>
      <c r="F190" s="195" t="s">
        <v>499</v>
      </c>
      <c r="G190" s="195" t="s">
        <v>299</v>
      </c>
      <c r="H190" s="195" t="s">
        <v>505</v>
      </c>
      <c r="I190" s="195" t="s">
        <v>881</v>
      </c>
      <c r="J190" s="195" t="s">
        <v>882</v>
      </c>
      <c r="K190" s="195" t="s">
        <v>883</v>
      </c>
      <c r="L190" s="195">
        <v>167567</v>
      </c>
      <c r="M190" s="195" t="s">
        <v>815</v>
      </c>
      <c r="N190" s="195" t="s">
        <v>816</v>
      </c>
      <c r="O190" s="202">
        <v>97.58184</v>
      </c>
      <c r="P190" s="202">
        <v>27.270199999999999</v>
      </c>
      <c r="Q190" s="203">
        <v>372.9</v>
      </c>
      <c r="R190" s="218">
        <v>0</v>
      </c>
      <c r="S190" s="223">
        <v>0</v>
      </c>
      <c r="T190" s="205" t="str">
        <f>IF(CampList[[#This Row],[HH]]&gt;0,CampList[[#This Row],[Total]]/CampList[[#This Row],[HH]],"NA")</f>
        <v>NA</v>
      </c>
      <c r="U190" s="197" t="s">
        <v>464</v>
      </c>
      <c r="V190" s="197" t="s">
        <v>993</v>
      </c>
      <c r="W190" s="197" t="s">
        <v>507</v>
      </c>
      <c r="X190" s="197" t="s">
        <v>784</v>
      </c>
      <c r="Y190" s="636">
        <v>41487</v>
      </c>
      <c r="Z190" s="636"/>
      <c r="AA190" s="195" t="s">
        <v>774</v>
      </c>
      <c r="AB190" s="208">
        <v>41725</v>
      </c>
      <c r="AC190" s="209" t="s">
        <v>1049</v>
      </c>
      <c r="AD190" s="197" t="str">
        <f ca="1">IFERROR(OFFSET(DistanceToCamp[Nearest Town],MATCH(CampList[[#This Row],[CP_Pcode]],DistanceToCamp[CP_Pcode],0)-1,0,1,1),"")</f>
        <v>Machanbaw Town</v>
      </c>
      <c r="AE190" s="210">
        <f ca="1">IFERROR(OFFSET(DistanceToCamp[distance],MATCH(CampList[[#This Row],[CP_Pcode]],DistanceToCamp[CP_Pcode],0)-1,0,1,1),"")</f>
        <v>1.7005689699647599</v>
      </c>
      <c r="AF190" s="211">
        <f ca="1">IFERROR(INT(CampList[[#This Row],[Distance]]/5)+1,"")</f>
        <v>1</v>
      </c>
    </row>
    <row r="191" spans="2:32" ht="15.75" hidden="1" customHeight="1" x14ac:dyDescent="0.3">
      <c r="B191" s="201" t="s">
        <v>775</v>
      </c>
      <c r="C191" s="195" t="s">
        <v>378</v>
      </c>
      <c r="D191" s="195" t="s">
        <v>478</v>
      </c>
      <c r="E191" s="195" t="s">
        <v>299</v>
      </c>
      <c r="F191" s="195" t="s">
        <v>499</v>
      </c>
      <c r="G191" s="195" t="s">
        <v>817</v>
      </c>
      <c r="H191" s="195" t="s">
        <v>818</v>
      </c>
      <c r="I191" s="195"/>
      <c r="J191" s="195"/>
      <c r="K191" s="195"/>
      <c r="L191" s="195"/>
      <c r="M191" s="195" t="s">
        <v>819</v>
      </c>
      <c r="N191" s="195" t="s">
        <v>820</v>
      </c>
      <c r="O191" s="202">
        <v>97.586470000000006</v>
      </c>
      <c r="P191" s="202">
        <v>27.274059999999999</v>
      </c>
      <c r="Q191" s="215">
        <v>403</v>
      </c>
      <c r="R191" s="181"/>
      <c r="S191" s="223"/>
      <c r="T191" s="205" t="str">
        <f>IF(CampList[[#This Row],[HH]]&gt;0,CampList[[#This Row],[Total]]/CampList[[#This Row],[HH]],"NA")</f>
        <v>NA</v>
      </c>
      <c r="U191" s="197" t="s">
        <v>464</v>
      </c>
      <c r="V191" s="197" t="s">
        <v>993</v>
      </c>
      <c r="W191" s="197" t="s">
        <v>507</v>
      </c>
      <c r="X191" s="197" t="s">
        <v>784</v>
      </c>
      <c r="Y191" s="216">
        <v>41518</v>
      </c>
      <c r="Z191" s="230"/>
      <c r="AA191" s="195" t="s">
        <v>774</v>
      </c>
      <c r="AB191" s="208">
        <v>42180</v>
      </c>
      <c r="AC191" s="201" t="s">
        <v>1048</v>
      </c>
      <c r="AD191" s="197" t="str">
        <f ca="1">IFERROR(OFFSET(DistanceToCamp[Nearest Town],MATCH(CampList[[#This Row],[CP_Pcode]],DistanceToCamp[CP_Pcode],0)-1,0,1,1),"")</f>
        <v>Machanbaw Town</v>
      </c>
      <c r="AE191" s="210">
        <f ca="1">IFERROR(OFFSET(DistanceToCamp[distance],MATCH(CampList[[#This Row],[CP_Pcode]],DistanceToCamp[CP_Pcode],0)-1,0,1,1),"")</f>
        <v>1.136583238544624</v>
      </c>
      <c r="AF191" s="211">
        <f ca="1">IFERROR(INT(CampList[[#This Row],[Distance]]/5)+1,"")</f>
        <v>1</v>
      </c>
    </row>
    <row r="192" spans="2:32" ht="15.75" hidden="1" customHeight="1" x14ac:dyDescent="0.3">
      <c r="B192" s="201" t="s">
        <v>775</v>
      </c>
      <c r="C192" s="195" t="s">
        <v>378</v>
      </c>
      <c r="D192" s="195" t="s">
        <v>478</v>
      </c>
      <c r="E192" s="195" t="s">
        <v>5</v>
      </c>
      <c r="F192" s="195" t="s">
        <v>482</v>
      </c>
      <c r="G192" s="195" t="s">
        <v>5</v>
      </c>
      <c r="H192" s="195" t="s">
        <v>483</v>
      </c>
      <c r="I192" s="195"/>
      <c r="J192" s="195"/>
      <c r="K192" s="195"/>
      <c r="L192" s="195"/>
      <c r="M192" s="195" t="s">
        <v>822</v>
      </c>
      <c r="N192" s="195" t="s">
        <v>821</v>
      </c>
      <c r="O192" s="202"/>
      <c r="P192" s="202"/>
      <c r="Q192" s="215"/>
      <c r="R192" s="280"/>
      <c r="S192" s="281"/>
      <c r="T192" s="205" t="str">
        <f>IF(CampList[[#This Row],[HH]]&gt;0,CampList[[#This Row],[Total]]/CampList[[#This Row],[HH]],"NA")</f>
        <v>NA</v>
      </c>
      <c r="U192" s="197" t="s">
        <v>464</v>
      </c>
      <c r="V192" s="197" t="s">
        <v>993</v>
      </c>
      <c r="W192" s="197" t="s">
        <v>507</v>
      </c>
      <c r="X192" s="197" t="s">
        <v>742</v>
      </c>
      <c r="Y192" s="216"/>
      <c r="Z192" s="207"/>
      <c r="AA192" s="221" t="s">
        <v>774</v>
      </c>
      <c r="AB192" s="208">
        <v>41702</v>
      </c>
      <c r="AC192" s="209" t="s">
        <v>870</v>
      </c>
      <c r="AD192" s="197" t="str">
        <f ca="1">IFERROR(OFFSET(DistanceToCamp[Nearest Town],MATCH(CampList[[#This Row],[CP_Pcode]],DistanceToCamp[CP_Pcode],0)-1,0,1,1),"")</f>
        <v/>
      </c>
      <c r="AE192" s="210" t="str">
        <f ca="1">IFERROR(OFFSET(DistanceToCamp[distance],MATCH(CampList[[#This Row],[CP_Pcode]],DistanceToCamp[CP_Pcode],0)-1,0,1,1),"")</f>
        <v/>
      </c>
      <c r="AF192" s="211" t="str">
        <f ca="1">IFERROR(INT(CampList[[#This Row],[Distance]]/5)+1,"")</f>
        <v/>
      </c>
    </row>
    <row r="193" spans="2:32" ht="15.75" customHeight="1" x14ac:dyDescent="0.3">
      <c r="B193" s="201" t="s">
        <v>1692</v>
      </c>
      <c r="C193" s="195" t="s">
        <v>378</v>
      </c>
      <c r="D193" s="195" t="s">
        <v>478</v>
      </c>
      <c r="E193" s="195" t="s">
        <v>180</v>
      </c>
      <c r="F193" s="195" t="s">
        <v>479</v>
      </c>
      <c r="G193" s="195" t="s">
        <v>173</v>
      </c>
      <c r="H193" s="195" t="s">
        <v>498</v>
      </c>
      <c r="I193" s="195" t="s">
        <v>1056</v>
      </c>
      <c r="J193" s="195" t="s">
        <v>1057</v>
      </c>
      <c r="K193" s="195" t="s">
        <v>1056</v>
      </c>
      <c r="L193" s="195">
        <v>166724</v>
      </c>
      <c r="M193" s="195" t="s">
        <v>1060</v>
      </c>
      <c r="N193" s="195" t="s">
        <v>1054</v>
      </c>
      <c r="O193" s="202">
        <v>96.793999999999997</v>
      </c>
      <c r="P193" s="202">
        <v>25.225000000000001</v>
      </c>
      <c r="Q193" s="215"/>
      <c r="R193" s="270">
        <v>27</v>
      </c>
      <c r="S193" s="270">
        <v>135</v>
      </c>
      <c r="T193" s="205">
        <f>IF(CampList[[#This Row],[HH]]&gt;0,CampList[[#This Row],[Total]]/CampList[[#This Row],[HH]],"NA")</f>
        <v>5</v>
      </c>
      <c r="U193" s="197" t="s">
        <v>464</v>
      </c>
      <c r="V193" s="197" t="s">
        <v>993</v>
      </c>
      <c r="W193" s="197" t="s">
        <v>507</v>
      </c>
      <c r="X193" s="197" t="s">
        <v>784</v>
      </c>
      <c r="Y193" s="309">
        <v>42125</v>
      </c>
      <c r="Z193" s="636" t="s">
        <v>1835</v>
      </c>
      <c r="AA193" s="196" t="s">
        <v>774</v>
      </c>
      <c r="AB193" s="208">
        <v>43593</v>
      </c>
      <c r="AC193" s="209" t="s">
        <v>1992</v>
      </c>
      <c r="AD193" s="197" t="str">
        <f ca="1">IFERROR(OFFSET(DistanceToCamp[Nearest Town],MATCH(CampList[[#This Row],[CP_Pcode]],DistanceToCamp[CP_Pcode],0)-1,0,1,1),"")</f>
        <v>Mogaung Town</v>
      </c>
      <c r="AE193" s="210">
        <f ca="1">IFERROR(OFFSET(DistanceToCamp[distance],MATCH(CampList[[#This Row],[CP_Pcode]],DistanceToCamp[CP_Pcode],0)-1,0,1,1),"")</f>
        <v>5</v>
      </c>
      <c r="AF193" s="211">
        <f ca="1">IFERROR(INT(CampList[[#This Row],[Distance]]/5)+1,"")</f>
        <v>2</v>
      </c>
    </row>
    <row r="194" spans="2:32" ht="15.75" hidden="1" customHeight="1" x14ac:dyDescent="0.3">
      <c r="B194" s="201" t="s">
        <v>775</v>
      </c>
      <c r="C194" s="195" t="s">
        <v>378</v>
      </c>
      <c r="D194" s="195" t="s">
        <v>478</v>
      </c>
      <c r="E194" s="195" t="s">
        <v>5</v>
      </c>
      <c r="F194" s="195" t="s">
        <v>482</v>
      </c>
      <c r="G194" s="195" t="s">
        <v>5</v>
      </c>
      <c r="H194" s="195" t="s">
        <v>483</v>
      </c>
      <c r="I194" s="195" t="s">
        <v>585</v>
      </c>
      <c r="J194" s="195" t="s">
        <v>586</v>
      </c>
      <c r="K194" s="195"/>
      <c r="L194" s="195"/>
      <c r="M194" s="195" t="s">
        <v>875</v>
      </c>
      <c r="N194" s="195" t="s">
        <v>872</v>
      </c>
      <c r="O194" s="202">
        <v>97.239130000000003</v>
      </c>
      <c r="P194" s="204">
        <v>24.229189999999999</v>
      </c>
      <c r="Q194" s="215">
        <v>126</v>
      </c>
      <c r="R194" s="181"/>
      <c r="S194" s="223"/>
      <c r="T194" s="205" t="str">
        <f>IF(CampList[[#This Row],[HH]]&gt;0,CampList[[#This Row],[Total]]/CampList[[#This Row],[HH]],"NA")</f>
        <v>NA</v>
      </c>
      <c r="U194" s="197" t="s">
        <v>464</v>
      </c>
      <c r="V194" s="197" t="s">
        <v>993</v>
      </c>
      <c r="W194" s="197" t="s">
        <v>507</v>
      </c>
      <c r="X194" s="197" t="s">
        <v>742</v>
      </c>
      <c r="Y194" s="216"/>
      <c r="Z194" s="207" t="s">
        <v>462</v>
      </c>
      <c r="AA194" s="195" t="s">
        <v>774</v>
      </c>
      <c r="AB194" s="208">
        <v>41906</v>
      </c>
      <c r="AC194" s="209" t="s">
        <v>950</v>
      </c>
      <c r="AD194" s="197" t="str">
        <f ca="1">IFERROR(OFFSET(DistanceToCamp[Nearest Town],MATCH(CampList[[#This Row],[CP_Pcode]],DistanceToCamp[CP_Pcode],0)-1,0,1,1),"")</f>
        <v/>
      </c>
      <c r="AE194" s="210" t="str">
        <f ca="1">IFERROR(OFFSET(DistanceToCamp[distance],MATCH(CampList[[#This Row],[CP_Pcode]],DistanceToCamp[CP_Pcode],0)-1,0,1,1),"")</f>
        <v/>
      </c>
      <c r="AF194" s="211" t="str">
        <f ca="1">IFERROR(INT(CampList[[#This Row],[Distance]]/5)+1,"")</f>
        <v/>
      </c>
    </row>
    <row r="195" spans="2:32" ht="17.25" customHeight="1" x14ac:dyDescent="0.3">
      <c r="B195" s="201" t="s">
        <v>1692</v>
      </c>
      <c r="C195" s="196" t="s">
        <v>378</v>
      </c>
      <c r="D195" s="195" t="s">
        <v>478</v>
      </c>
      <c r="E195" s="195" t="s">
        <v>299</v>
      </c>
      <c r="F195" s="195" t="s">
        <v>499</v>
      </c>
      <c r="G195" s="195" t="s">
        <v>746</v>
      </c>
      <c r="H195" s="195" t="s">
        <v>747</v>
      </c>
      <c r="I195" s="196"/>
      <c r="J195" s="214"/>
      <c r="K195" s="196"/>
      <c r="L195" s="196"/>
      <c r="M195" s="195" t="s">
        <v>1064</v>
      </c>
      <c r="N195" s="196" t="s">
        <v>1065</v>
      </c>
      <c r="O195" s="231">
        <v>97.745480999999998</v>
      </c>
      <c r="P195" s="231">
        <v>26.569633</v>
      </c>
      <c r="Q195" s="215"/>
      <c r="R195" s="280">
        <v>111</v>
      </c>
      <c r="S195" s="223">
        <v>564</v>
      </c>
      <c r="T195" s="205">
        <f>IF(CampList[[#This Row],[HH]]&gt;0,CampList[[#This Row],[Total]]/CampList[[#This Row],[HH]],"NA")</f>
        <v>5.0810810810810807</v>
      </c>
      <c r="U195" s="181" t="s">
        <v>466</v>
      </c>
      <c r="V195" s="197" t="s">
        <v>993</v>
      </c>
      <c r="W195" s="181" t="s">
        <v>507</v>
      </c>
      <c r="X195" s="181" t="s">
        <v>784</v>
      </c>
      <c r="Y195" s="309">
        <v>42036</v>
      </c>
      <c r="Z195" s="636" t="s">
        <v>1835</v>
      </c>
      <c r="AA195" s="196" t="s">
        <v>774</v>
      </c>
      <c r="AB195" s="208">
        <v>43593</v>
      </c>
      <c r="AC195" s="232" t="s">
        <v>1993</v>
      </c>
      <c r="AD195" s="197" t="str">
        <f ca="1">IFERROR(OFFSET(DistanceToCamp[Nearest Town],MATCH(CampList[[#This Row],[CP_Pcode]],DistanceToCamp[CP_Pcode],0)-1,0,1,1),"")</f>
        <v>Sumprabum Town</v>
      </c>
      <c r="AE195" s="210">
        <f ca="1">IFERROR(OFFSET(DistanceToCamp[distance],MATCH(CampList[[#This Row],[CP_Pcode]],DistanceToCamp[CP_Pcode],0)-1,0,1,1),"")</f>
        <v>0</v>
      </c>
      <c r="AF195" s="211">
        <f ca="1">IFERROR(INT(CampList[[#This Row],[Distance]]/5)+1,"")</f>
        <v>1</v>
      </c>
    </row>
    <row r="196" spans="2:32" ht="15.75" hidden="1" customHeight="1" x14ac:dyDescent="0.3">
      <c r="B196" s="201" t="s">
        <v>775</v>
      </c>
      <c r="C196" s="195" t="s">
        <v>378</v>
      </c>
      <c r="D196" s="195" t="s">
        <v>478</v>
      </c>
      <c r="E196" s="195" t="s">
        <v>5</v>
      </c>
      <c r="F196" s="195" t="s">
        <v>482</v>
      </c>
      <c r="G196" s="195" t="s">
        <v>151</v>
      </c>
      <c r="H196" s="195" t="s">
        <v>492</v>
      </c>
      <c r="I196" s="195" t="s">
        <v>679</v>
      </c>
      <c r="J196" s="195" t="s">
        <v>680</v>
      </c>
      <c r="K196" s="195" t="s">
        <v>679</v>
      </c>
      <c r="L196" s="214">
        <v>167343</v>
      </c>
      <c r="M196" s="195" t="s">
        <v>886</v>
      </c>
      <c r="N196" s="195" t="s">
        <v>887</v>
      </c>
      <c r="O196" s="202">
        <v>97.608249999999998</v>
      </c>
      <c r="P196" s="202">
        <v>24.000250000000001</v>
      </c>
      <c r="Q196" s="215"/>
      <c r="R196" s="181"/>
      <c r="S196" s="223"/>
      <c r="T196" s="205" t="str">
        <f>IF(CampList[[#This Row],[HH]]&gt;0,CampList[[#This Row],[Total]]/CampList[[#This Row],[HH]],"NA")</f>
        <v>NA</v>
      </c>
      <c r="U196" s="197" t="s">
        <v>466</v>
      </c>
      <c r="V196" s="197" t="s">
        <v>993</v>
      </c>
      <c r="W196" s="197" t="s">
        <v>507</v>
      </c>
      <c r="X196" s="197" t="s">
        <v>784</v>
      </c>
      <c r="Y196" s="216">
        <v>40817</v>
      </c>
      <c r="Z196" s="636" t="s">
        <v>933</v>
      </c>
      <c r="AA196" s="195" t="s">
        <v>774</v>
      </c>
      <c r="AB196" s="208">
        <v>42629</v>
      </c>
      <c r="AC196" s="201" t="s">
        <v>1163</v>
      </c>
      <c r="AD196" s="197" t="str">
        <f ca="1">IFERROR(OFFSET(DistanceToCamp[Nearest Town],MATCH(CampList[[#This Row],[CP_Pcode]],DistanceToCamp[CP_Pcode],0)-1,0,1,1),"")</f>
        <v>Namhkan Town</v>
      </c>
      <c r="AE196" s="210">
        <f ca="1">IFERROR(OFFSET(DistanceToCamp[distance],MATCH(CampList[[#This Row],[CP_Pcode]],DistanceToCamp[CP_Pcode],0)-1,0,1,1),"")</f>
        <v>19.631786732140053</v>
      </c>
      <c r="AF196" s="211">
        <f ca="1">IFERROR(INT(CampList[[#This Row],[Distance]]/5)+1,"")</f>
        <v>4</v>
      </c>
    </row>
    <row r="197" spans="2:32" ht="15.75" customHeight="1" x14ac:dyDescent="0.3">
      <c r="B197" s="201" t="s">
        <v>1692</v>
      </c>
      <c r="C197" s="196" t="s">
        <v>378</v>
      </c>
      <c r="D197" s="195" t="s">
        <v>478</v>
      </c>
      <c r="E197" s="195" t="s">
        <v>299</v>
      </c>
      <c r="F197" s="195" t="s">
        <v>499</v>
      </c>
      <c r="G197" s="195" t="s">
        <v>746</v>
      </c>
      <c r="H197" s="195" t="s">
        <v>747</v>
      </c>
      <c r="I197" s="196"/>
      <c r="J197" s="214"/>
      <c r="K197" s="196"/>
      <c r="L197" s="196"/>
      <c r="M197" s="196" t="s">
        <v>1066</v>
      </c>
      <c r="N197" s="196" t="s">
        <v>1067</v>
      </c>
      <c r="O197" s="231">
        <v>97.75609</v>
      </c>
      <c r="P197" s="231">
        <v>26.548506</v>
      </c>
      <c r="Q197" s="215"/>
      <c r="R197" s="270">
        <v>67</v>
      </c>
      <c r="S197" s="270">
        <v>311</v>
      </c>
      <c r="T197" s="205">
        <f>IF(CampList[[#This Row],[HH]]&gt;0,CampList[[#This Row],[Total]]/CampList[[#This Row],[HH]],"NA")</f>
        <v>4.6417910447761193</v>
      </c>
      <c r="U197" s="181" t="s">
        <v>466</v>
      </c>
      <c r="V197" s="197" t="s">
        <v>993</v>
      </c>
      <c r="W197" s="181" t="s">
        <v>507</v>
      </c>
      <c r="X197" s="181" t="s">
        <v>784</v>
      </c>
      <c r="Y197" s="309">
        <v>42036</v>
      </c>
      <c r="Z197" s="636" t="s">
        <v>1835</v>
      </c>
      <c r="AA197" s="196" t="s">
        <v>774</v>
      </c>
      <c r="AB197" s="208">
        <v>43593</v>
      </c>
      <c r="AC197" s="232" t="s">
        <v>1994</v>
      </c>
      <c r="AD197" s="197" t="str">
        <f ca="1">IFERROR(OFFSET(DistanceToCamp[Nearest Town],MATCH(CampList[[#This Row],[CP_Pcode]],DistanceToCamp[CP_Pcode],0)-1,0,1,1),"")</f>
        <v>Sumprabum Town</v>
      </c>
      <c r="AE197" s="210">
        <f ca="1">IFERROR(OFFSET(DistanceToCamp[distance],MATCH(CampList[[#This Row],[CP_Pcode]],DistanceToCamp[CP_Pcode],0)-1,0,1,1),"")</f>
        <v>0</v>
      </c>
      <c r="AF197" s="211">
        <f ca="1">IFERROR(INT(CampList[[#This Row],[Distance]]/5)+1,"")</f>
        <v>1</v>
      </c>
    </row>
    <row r="198" spans="2:32" ht="15.75" customHeight="1" x14ac:dyDescent="0.3">
      <c r="B198" s="201" t="s">
        <v>1692</v>
      </c>
      <c r="C198" s="195" t="s">
        <v>378</v>
      </c>
      <c r="D198" s="195" t="s">
        <v>478</v>
      </c>
      <c r="E198" s="195" t="s">
        <v>180</v>
      </c>
      <c r="F198" s="195" t="s">
        <v>479</v>
      </c>
      <c r="G198" s="195" t="s">
        <v>480</v>
      </c>
      <c r="H198" s="195" t="s">
        <v>481</v>
      </c>
      <c r="I198" s="196" t="s">
        <v>1150</v>
      </c>
      <c r="J198" s="214" t="s">
        <v>1151</v>
      </c>
      <c r="K198" s="196" t="s">
        <v>1157</v>
      </c>
      <c r="L198" s="196">
        <v>166819</v>
      </c>
      <c r="M198" s="171" t="s">
        <v>1156</v>
      </c>
      <c r="N198" s="196" t="s">
        <v>1159</v>
      </c>
      <c r="O198" s="237">
        <v>96.662092000000001</v>
      </c>
      <c r="P198" s="237">
        <v>25.920006000000001</v>
      </c>
      <c r="Q198" s="215"/>
      <c r="R198" s="270">
        <v>28</v>
      </c>
      <c r="S198" s="270">
        <v>126</v>
      </c>
      <c r="T198" s="205">
        <f>IF(CampList[[#This Row],[HH]]&gt;0,CampList[[#This Row],[Total]]/CampList[[#This Row],[HH]],"NA")</f>
        <v>4.5</v>
      </c>
      <c r="U198" s="181" t="s">
        <v>464</v>
      </c>
      <c r="V198" s="197" t="s">
        <v>993</v>
      </c>
      <c r="W198" s="181" t="s">
        <v>507</v>
      </c>
      <c r="X198" s="181" t="s">
        <v>784</v>
      </c>
      <c r="Y198" s="309">
        <v>42584</v>
      </c>
      <c r="Z198" s="636" t="s">
        <v>1835</v>
      </c>
      <c r="AA198" s="196" t="s">
        <v>774</v>
      </c>
      <c r="AB198" s="208">
        <v>43593</v>
      </c>
      <c r="AC198" s="217" t="s">
        <v>1995</v>
      </c>
      <c r="AD198" s="218" t="str">
        <f ca="1">IFERROR(OFFSET(DistanceToCamp[Nearest Town],MATCH(CampList[[#This Row],[CP_Pcode]],DistanceToCamp[CP_Pcode],0)-1,0,1,1),"")</f>
        <v>Hpakant Town</v>
      </c>
      <c r="AE198" s="210">
        <f ca="1">IFERROR(OFFSET(DistanceToCamp[distance],MATCH(CampList[[#This Row],[CP_Pcode]],DistanceToCamp[CP_Pcode],0)-1,0,1,1),"")</f>
        <v>0</v>
      </c>
      <c r="AF198" s="219">
        <f ca="1">IFERROR(INT(CampList[[#This Row],[Distance]]/5)+1,"")</f>
        <v>1</v>
      </c>
    </row>
    <row r="199" spans="2:32" ht="15.75" customHeight="1" x14ac:dyDescent="0.3">
      <c r="B199" s="201" t="s">
        <v>1692</v>
      </c>
      <c r="C199" s="195" t="s">
        <v>378</v>
      </c>
      <c r="D199" s="195" t="s">
        <v>478</v>
      </c>
      <c r="E199" s="195" t="s">
        <v>180</v>
      </c>
      <c r="F199" s="195" t="s">
        <v>479</v>
      </c>
      <c r="G199" s="195" t="s">
        <v>480</v>
      </c>
      <c r="H199" s="195" t="s">
        <v>481</v>
      </c>
      <c r="I199" s="196" t="s">
        <v>1150</v>
      </c>
      <c r="J199" s="214" t="s">
        <v>1151</v>
      </c>
      <c r="K199" s="196" t="s">
        <v>1157</v>
      </c>
      <c r="L199" s="196">
        <v>166819</v>
      </c>
      <c r="M199" s="171" t="s">
        <v>1155</v>
      </c>
      <c r="N199" s="196" t="s">
        <v>1161</v>
      </c>
      <c r="O199" s="237">
        <v>96.662092000000001</v>
      </c>
      <c r="P199" s="237">
        <v>25.920006000000001</v>
      </c>
      <c r="Q199" s="215"/>
      <c r="R199" s="270">
        <v>4</v>
      </c>
      <c r="S199" s="270">
        <v>11</v>
      </c>
      <c r="T199" s="205">
        <f>IF(CampList[[#This Row],[HH]]&gt;0,CampList[[#This Row],[Total]]/CampList[[#This Row],[HH]],"NA")</f>
        <v>2.75</v>
      </c>
      <c r="U199" s="181" t="s">
        <v>464</v>
      </c>
      <c r="V199" s="197" t="s">
        <v>993</v>
      </c>
      <c r="W199" s="181" t="s">
        <v>1556</v>
      </c>
      <c r="X199" s="181" t="s">
        <v>784</v>
      </c>
      <c r="Y199" s="309">
        <v>42584</v>
      </c>
      <c r="Z199" s="636" t="s">
        <v>1311</v>
      </c>
      <c r="AA199" s="196" t="s">
        <v>774</v>
      </c>
      <c r="AB199" s="208">
        <v>43143</v>
      </c>
      <c r="AC199" s="217" t="s">
        <v>1719</v>
      </c>
      <c r="AD199" s="218" t="str">
        <f ca="1">IFERROR(OFFSET(DistanceToCamp[Nearest Town],MATCH(CampList[[#This Row],[CP_Pcode]],DistanceToCamp[CP_Pcode],0)-1,0,1,1),"")</f>
        <v>Hpakant Town</v>
      </c>
      <c r="AE199" s="210">
        <f ca="1">IFERROR(OFFSET(DistanceToCamp[distance],MATCH(CampList[[#This Row],[CP_Pcode]],DistanceToCamp[CP_Pcode],0)-1,0,1,1),"")</f>
        <v>0</v>
      </c>
      <c r="AF199" s="219">
        <f ca="1">IFERROR(INT(CampList[[#This Row],[Distance]]/5)+1,"")</f>
        <v>1</v>
      </c>
    </row>
    <row r="200" spans="2:32" ht="15.75" customHeight="1" x14ac:dyDescent="0.3">
      <c r="B200" s="201" t="s">
        <v>1692</v>
      </c>
      <c r="C200" s="195" t="s">
        <v>378</v>
      </c>
      <c r="D200" s="195" t="s">
        <v>478</v>
      </c>
      <c r="E200" s="195" t="s">
        <v>180</v>
      </c>
      <c r="F200" s="195" t="s">
        <v>479</v>
      </c>
      <c r="G200" s="195" t="s">
        <v>480</v>
      </c>
      <c r="H200" s="195" t="s">
        <v>481</v>
      </c>
      <c r="I200" s="196" t="s">
        <v>1150</v>
      </c>
      <c r="J200" s="214" t="s">
        <v>1151</v>
      </c>
      <c r="K200" s="196" t="s">
        <v>1157</v>
      </c>
      <c r="L200" s="196">
        <v>166819</v>
      </c>
      <c r="M200" s="171" t="s">
        <v>1154</v>
      </c>
      <c r="N200" s="196" t="s">
        <v>1162</v>
      </c>
      <c r="O200" s="237">
        <v>96.662092000000001</v>
      </c>
      <c r="P200" s="237">
        <v>25.920006000000001</v>
      </c>
      <c r="Q200" s="215"/>
      <c r="R200" s="218">
        <v>25</v>
      </c>
      <c r="S200" s="223">
        <v>113</v>
      </c>
      <c r="T200" s="205">
        <f>IF(CampList[[#This Row],[HH]]&gt;0,CampList[[#This Row],[Total]]/CampList[[#This Row],[HH]],"NA")</f>
        <v>4.5199999999999996</v>
      </c>
      <c r="U200" s="181" t="s">
        <v>464</v>
      </c>
      <c r="V200" s="197" t="s">
        <v>993</v>
      </c>
      <c r="W200" s="181" t="s">
        <v>507</v>
      </c>
      <c r="X200" s="181" t="s">
        <v>784</v>
      </c>
      <c r="Y200" s="309">
        <v>42584</v>
      </c>
      <c r="Z200" s="636" t="s">
        <v>934</v>
      </c>
      <c r="AA200" s="196" t="s">
        <v>774</v>
      </c>
      <c r="AB200" s="208">
        <v>43593</v>
      </c>
      <c r="AC200" s="217" t="s">
        <v>2060</v>
      </c>
      <c r="AD200" s="218" t="str">
        <f ca="1">IFERROR(OFFSET(DistanceToCamp[Nearest Town],MATCH(CampList[[#This Row],[CP_Pcode]],DistanceToCamp[CP_Pcode],0)-1,0,1,1),"")</f>
        <v>Hpakant Town</v>
      </c>
      <c r="AE200" s="210">
        <f ca="1">IFERROR(OFFSET(DistanceToCamp[distance],MATCH(CampList[[#This Row],[CP_Pcode]],DistanceToCamp[CP_Pcode],0)-1,0,1,1),"")</f>
        <v>0</v>
      </c>
      <c r="AF200" s="219">
        <f ca="1">IFERROR(INT(CampList[[#This Row],[Distance]]/5)+1,"")</f>
        <v>1</v>
      </c>
    </row>
    <row r="201" spans="2:32" ht="15.75" hidden="1" customHeight="1" x14ac:dyDescent="0.3">
      <c r="B201" s="201" t="s">
        <v>775</v>
      </c>
      <c r="C201" s="195" t="s">
        <v>378</v>
      </c>
      <c r="D201" s="195" t="s">
        <v>478</v>
      </c>
      <c r="E201" s="195" t="s">
        <v>180</v>
      </c>
      <c r="F201" s="195" t="s">
        <v>479</v>
      </c>
      <c r="G201" s="195" t="s">
        <v>480</v>
      </c>
      <c r="H201" s="195" t="s">
        <v>481</v>
      </c>
      <c r="I201" s="195" t="s">
        <v>552</v>
      </c>
      <c r="J201" s="195" t="s">
        <v>553</v>
      </c>
      <c r="K201" s="195" t="s">
        <v>700</v>
      </c>
      <c r="L201" s="195">
        <v>216877</v>
      </c>
      <c r="M201" s="195" t="s">
        <v>954</v>
      </c>
      <c r="N201" s="195" t="s">
        <v>955</v>
      </c>
      <c r="O201" s="204">
        <v>96.637</v>
      </c>
      <c r="P201" s="204">
        <v>25.806999999999999</v>
      </c>
      <c r="Q201" s="215"/>
      <c r="R201" s="270"/>
      <c r="S201" s="270"/>
      <c r="T201" s="205" t="str">
        <f>IF(CampList[[#This Row],[HH]]&gt;0,CampList[[#This Row],[Total]]/CampList[[#This Row],[HH]],"NA")</f>
        <v>NA</v>
      </c>
      <c r="U201" s="197" t="s">
        <v>464</v>
      </c>
      <c r="V201" s="197" t="s">
        <v>993</v>
      </c>
      <c r="W201" s="197" t="s">
        <v>507</v>
      </c>
      <c r="X201" s="197" t="s">
        <v>784</v>
      </c>
      <c r="Y201" s="308">
        <v>42019</v>
      </c>
      <c r="Z201" s="207" t="s">
        <v>424</v>
      </c>
      <c r="AA201" s="195" t="s">
        <v>774</v>
      </c>
      <c r="AB201" s="208">
        <v>42919</v>
      </c>
      <c r="AC201" s="209" t="s">
        <v>1268</v>
      </c>
      <c r="AD201" s="197" t="str">
        <f ca="1">IFERROR(OFFSET(DistanceToCamp[Nearest Town],MATCH(CampList[[#This Row],[CP_Pcode]],DistanceToCamp[CP_Pcode],0)-1,0,1,1),"")</f>
        <v>Hpakant Town</v>
      </c>
      <c r="AE201" s="210">
        <f ca="1">IFERROR(OFFSET(DistanceToCamp[distance],MATCH(CampList[[#This Row],[CP_Pcode]],DistanceToCamp[CP_Pcode],0)-1,0,1,1),"")</f>
        <v>10</v>
      </c>
      <c r="AF201" s="219">
        <f ca="1">IFERROR(INT(CampList[[#This Row],[Distance]]/5)+1,"")</f>
        <v>3</v>
      </c>
    </row>
    <row r="202" spans="2:32" ht="15.75" customHeight="1" x14ac:dyDescent="0.3">
      <c r="B202" s="201" t="s">
        <v>1692</v>
      </c>
      <c r="C202" s="196" t="s">
        <v>378</v>
      </c>
      <c r="D202" s="196" t="s">
        <v>478</v>
      </c>
      <c r="E202" s="196" t="s">
        <v>237</v>
      </c>
      <c r="F202" s="196" t="s">
        <v>484</v>
      </c>
      <c r="G202" s="196" t="s">
        <v>309</v>
      </c>
      <c r="H202" s="196" t="s">
        <v>485</v>
      </c>
      <c r="I202" s="196" t="s">
        <v>1244</v>
      </c>
      <c r="J202" s="214" t="s">
        <v>1245</v>
      </c>
      <c r="K202" s="196" t="s">
        <v>1246</v>
      </c>
      <c r="L202" s="196">
        <v>216822</v>
      </c>
      <c r="M202" s="196" t="s">
        <v>1250</v>
      </c>
      <c r="N202" s="196" t="s">
        <v>1247</v>
      </c>
      <c r="O202" s="204">
        <v>97.430321000000006</v>
      </c>
      <c r="P202" s="204">
        <v>25.305008999999998</v>
      </c>
      <c r="Q202" s="215"/>
      <c r="R202" s="204">
        <v>62</v>
      </c>
      <c r="S202" s="215">
        <v>410</v>
      </c>
      <c r="T202" s="205">
        <f>IF(CampList[[#This Row],[HH]]&gt;0,CampList[[#This Row],[Total]]/CampList[[#This Row],[HH]],"NA")</f>
        <v>6.612903225806452</v>
      </c>
      <c r="U202" s="181" t="s">
        <v>464</v>
      </c>
      <c r="V202" s="197" t="s">
        <v>993</v>
      </c>
      <c r="W202" s="197" t="s">
        <v>1376</v>
      </c>
      <c r="X202" s="181" t="s">
        <v>784</v>
      </c>
      <c r="Y202" s="309"/>
      <c r="Z202" s="207" t="s">
        <v>1311</v>
      </c>
      <c r="AA202" s="196" t="s">
        <v>1251</v>
      </c>
      <c r="AB202" s="208">
        <v>42888</v>
      </c>
      <c r="AC202" s="217" t="s">
        <v>1252</v>
      </c>
      <c r="AD202" s="218" t="str">
        <f ca="1">IFERROR(OFFSET(DistanceToCamp[Nearest Town],MATCH(CampList[[#This Row],[CP_Pcode]],DistanceToCamp[CP_Pcode],0)-1,0,1,1),"")</f>
        <v>Waingmaw Town</v>
      </c>
      <c r="AE202" s="210">
        <f ca="1">IFERROR(OFFSET(DistanceToCamp[distance],MATCH(CampList[[#This Row],[CP_Pcode]],DistanceToCamp[CP_Pcode],0)-1,0,1,1),"")</f>
        <v>0</v>
      </c>
      <c r="AF202" s="219">
        <f ca="1">IFERROR(INT(CampList[[#This Row],[Distance]]/5)+1,"")</f>
        <v>1</v>
      </c>
    </row>
    <row r="203" spans="2:32" ht="15.75" customHeight="1" x14ac:dyDescent="0.3">
      <c r="B203" s="201" t="s">
        <v>1692</v>
      </c>
      <c r="C203" s="195" t="s">
        <v>378</v>
      </c>
      <c r="D203" s="195" t="s">
        <v>478</v>
      </c>
      <c r="E203" s="195" t="s">
        <v>180</v>
      </c>
      <c r="F203" s="195" t="s">
        <v>479</v>
      </c>
      <c r="G203" s="195" t="s">
        <v>480</v>
      </c>
      <c r="H203" s="195" t="s">
        <v>481</v>
      </c>
      <c r="I203" s="195" t="s">
        <v>552</v>
      </c>
      <c r="J203" s="214" t="s">
        <v>553</v>
      </c>
      <c r="K203" s="195" t="s">
        <v>1264</v>
      </c>
      <c r="L203" s="214">
        <v>220486</v>
      </c>
      <c r="M203" s="196" t="s">
        <v>1571</v>
      </c>
      <c r="N203" s="196" t="s">
        <v>1265</v>
      </c>
      <c r="O203" s="270"/>
      <c r="P203" s="270"/>
      <c r="Q203" s="271"/>
      <c r="R203" s="270">
        <v>124</v>
      </c>
      <c r="S203" s="181">
        <v>673</v>
      </c>
      <c r="T203" s="272">
        <f>IF(CampList[[#This Row],[HH]]&gt;0,CampList[[#This Row],[Total]]/CampList[[#This Row],[HH]],"NA")</f>
        <v>5.42741935483871</v>
      </c>
      <c r="U203" s="180" t="s">
        <v>464</v>
      </c>
      <c r="V203" s="273" t="s">
        <v>993</v>
      </c>
      <c r="W203" s="180" t="s">
        <v>507</v>
      </c>
      <c r="X203" s="180" t="s">
        <v>784</v>
      </c>
      <c r="Y203" s="318">
        <v>42887</v>
      </c>
      <c r="Z203" s="636" t="s">
        <v>1835</v>
      </c>
      <c r="AA203" s="268" t="s">
        <v>774</v>
      </c>
      <c r="AB203" s="208">
        <v>43593</v>
      </c>
      <c r="AC203" s="290" t="s">
        <v>1996</v>
      </c>
      <c r="AD203" s="277" t="str">
        <f ca="1">IFERROR(OFFSET(DistanceToCamp[Nearest Town],MATCH(CampList[[#This Row],[CP_Pcode]],DistanceToCamp[CP_Pcode],0)-1,0,1,1),"")</f>
        <v>Hpakant Town</v>
      </c>
      <c r="AE203" s="278">
        <f ca="1">IFERROR(OFFSET(DistanceToCamp[distance],MATCH(CampList[[#This Row],[CP_Pcode]],DistanceToCamp[CP_Pcode],0)-1,0,1,1),"")</f>
        <v>0</v>
      </c>
      <c r="AF203" s="279">
        <f ca="1">IFERROR(INT(CampList[[#This Row],[Distance]]/5)+1,"")</f>
        <v>1</v>
      </c>
    </row>
    <row r="204" spans="2:32" ht="15.75" customHeight="1" x14ac:dyDescent="0.3">
      <c r="B204" s="201" t="s">
        <v>1692</v>
      </c>
      <c r="C204" s="195" t="s">
        <v>378</v>
      </c>
      <c r="D204" s="195" t="s">
        <v>478</v>
      </c>
      <c r="E204" s="195" t="s">
        <v>237</v>
      </c>
      <c r="F204" s="196" t="s">
        <v>484</v>
      </c>
      <c r="G204" s="195" t="s">
        <v>1134</v>
      </c>
      <c r="H204" s="195" t="s">
        <v>1133</v>
      </c>
      <c r="I204" s="650" t="s">
        <v>1644</v>
      </c>
      <c r="J204" s="650" t="s">
        <v>1645</v>
      </c>
      <c r="K204" s="195"/>
      <c r="L204" s="195"/>
      <c r="M204" s="196" t="s">
        <v>1713</v>
      </c>
      <c r="N204" s="658" t="s">
        <v>1397</v>
      </c>
      <c r="O204" s="202"/>
      <c r="P204" s="202"/>
      <c r="Q204" s="215"/>
      <c r="R204" s="280">
        <v>145</v>
      </c>
      <c r="S204" s="281">
        <v>644</v>
      </c>
      <c r="T204" s="205">
        <f>IF(CampList[[#This Row],[HH]]&gt;0,CampList[[#This Row],[Total]]/CampList[[#This Row],[HH]],"NA")</f>
        <v>4.4413793103448276</v>
      </c>
      <c r="U204" s="181" t="s">
        <v>464</v>
      </c>
      <c r="V204" s="197" t="s">
        <v>993</v>
      </c>
      <c r="W204" s="197" t="s">
        <v>507</v>
      </c>
      <c r="X204" s="197" t="s">
        <v>742</v>
      </c>
      <c r="Y204" s="636">
        <v>42741</v>
      </c>
      <c r="Z204" s="207" t="s">
        <v>934</v>
      </c>
      <c r="AA204" s="221" t="s">
        <v>774</v>
      </c>
      <c r="AB204" s="208">
        <v>43593</v>
      </c>
      <c r="AC204" s="201" t="s">
        <v>2061</v>
      </c>
      <c r="AD204" s="218" t="str">
        <f ca="1">IFERROR(OFFSET(DistanceToCamp[Nearest Town],MATCH(CampList[[#This Row],[CP_Pcode]],DistanceToCamp[CP_Pcode],0)-1,0,1,1),"")</f>
        <v>Tanai Town</v>
      </c>
      <c r="AE204" s="210">
        <f ca="1">IFERROR(OFFSET(DistanceToCamp[distance],MATCH(CampList[[#This Row],[CP_Pcode]],DistanceToCamp[CP_Pcode],0)-1,0,1,1),"")</f>
        <v>0</v>
      </c>
      <c r="AF204" s="219">
        <f ca="1">IFERROR(INT(CampList[[#This Row],[Distance]]/5)+1,"")</f>
        <v>1</v>
      </c>
    </row>
    <row r="205" spans="2:32" ht="15.75" hidden="1" customHeight="1" x14ac:dyDescent="0.3">
      <c r="B205" s="201" t="s">
        <v>775</v>
      </c>
      <c r="C205" s="195" t="s">
        <v>378</v>
      </c>
      <c r="D205" s="195" t="s">
        <v>478</v>
      </c>
      <c r="E205" s="195" t="s">
        <v>180</v>
      </c>
      <c r="F205" s="195" t="s">
        <v>479</v>
      </c>
      <c r="G205" s="195" t="s">
        <v>173</v>
      </c>
      <c r="H205" s="195" t="s">
        <v>498</v>
      </c>
      <c r="I205" s="195" t="s">
        <v>1056</v>
      </c>
      <c r="J205" s="195" t="s">
        <v>1057</v>
      </c>
      <c r="K205" s="195" t="s">
        <v>1056</v>
      </c>
      <c r="L205" s="222">
        <v>166724</v>
      </c>
      <c r="M205" s="195" t="s">
        <v>1061</v>
      </c>
      <c r="N205" s="195" t="s">
        <v>1053</v>
      </c>
      <c r="O205" s="202">
        <v>96.793999999999997</v>
      </c>
      <c r="P205" s="202">
        <v>25.225000000000001</v>
      </c>
      <c r="Q205" s="215"/>
      <c r="R205" s="204"/>
      <c r="S205" s="215"/>
      <c r="T205" s="205" t="str">
        <f>IF(CampList[[#This Row],[HH]]&gt;0,CampList[[#This Row],[Total]]/CampList[[#This Row],[HH]],"NA")</f>
        <v>NA</v>
      </c>
      <c r="U205" s="197" t="s">
        <v>464</v>
      </c>
      <c r="V205" s="197" t="s">
        <v>993</v>
      </c>
      <c r="W205" s="225" t="s">
        <v>1898</v>
      </c>
      <c r="X205" s="197" t="s">
        <v>784</v>
      </c>
      <c r="Y205" s="309">
        <v>42125</v>
      </c>
      <c r="Z205" s="207"/>
      <c r="AA205" s="221" t="s">
        <v>773</v>
      </c>
      <c r="AB205" s="208">
        <v>42927</v>
      </c>
      <c r="AC205" s="209" t="s">
        <v>1283</v>
      </c>
      <c r="AD205" s="197" t="str">
        <f ca="1">IFERROR(OFFSET(DistanceToCamp[Nearest Town],MATCH(CampList[[#This Row],[CP_Pcode]],DistanceToCamp[CP_Pcode],0)-1,0,1,1),"")</f>
        <v>Mogaung Town</v>
      </c>
      <c r="AE205" s="210">
        <f ca="1">IFERROR(OFFSET(DistanceToCamp[distance],MATCH(CampList[[#This Row],[CP_Pcode]],DistanceToCamp[CP_Pcode],0)-1,0,1,1),"")</f>
        <v>5</v>
      </c>
      <c r="AF205" s="211">
        <f ca="1">IFERROR(INT(CampList[[#This Row],[Distance]]/5)+1,"")</f>
        <v>2</v>
      </c>
    </row>
    <row r="206" spans="2:32" ht="15.75" customHeight="1" x14ac:dyDescent="0.3">
      <c r="B206" s="201" t="s">
        <v>1692</v>
      </c>
      <c r="C206" s="195" t="s">
        <v>378</v>
      </c>
      <c r="D206" s="195" t="s">
        <v>478</v>
      </c>
      <c r="E206" s="195" t="s">
        <v>237</v>
      </c>
      <c r="F206" s="196" t="s">
        <v>484</v>
      </c>
      <c r="G206" s="195" t="s">
        <v>1134</v>
      </c>
      <c r="H206" s="195" t="s">
        <v>1133</v>
      </c>
      <c r="I206" s="650" t="s">
        <v>1644</v>
      </c>
      <c r="J206" s="650" t="s">
        <v>1645</v>
      </c>
      <c r="K206" s="195"/>
      <c r="L206" s="195"/>
      <c r="M206" s="196" t="s">
        <v>1686</v>
      </c>
      <c r="N206" s="195" t="s">
        <v>1399</v>
      </c>
      <c r="O206" s="202"/>
      <c r="P206" s="202"/>
      <c r="Q206" s="215"/>
      <c r="R206" s="280">
        <v>97</v>
      </c>
      <c r="S206" s="281">
        <v>365</v>
      </c>
      <c r="T206" s="205">
        <f>IF(CampList[[#This Row],[HH]]&gt;0,CampList[[#This Row],[Total]]/CampList[[#This Row],[HH]],"NA")</f>
        <v>3.7628865979381443</v>
      </c>
      <c r="U206" s="181" t="s">
        <v>464</v>
      </c>
      <c r="V206" s="197" t="s">
        <v>993</v>
      </c>
      <c r="W206" s="197" t="s">
        <v>507</v>
      </c>
      <c r="X206" s="197" t="s">
        <v>742</v>
      </c>
      <c r="Y206" s="636">
        <v>42741</v>
      </c>
      <c r="Z206" s="636" t="s">
        <v>1835</v>
      </c>
      <c r="AA206" s="221" t="s">
        <v>774</v>
      </c>
      <c r="AB206" s="208">
        <v>43593</v>
      </c>
      <c r="AC206" s="201" t="s">
        <v>1997</v>
      </c>
      <c r="AD206" s="218" t="str">
        <f ca="1">IFERROR(OFFSET(DistanceToCamp[Nearest Town],MATCH(CampList[[#This Row],[CP_Pcode]],DistanceToCamp[CP_Pcode],0)-1,0,1,1),"")</f>
        <v>Tanai Town</v>
      </c>
      <c r="AE206" s="210">
        <f ca="1">IFERROR(OFFSET(DistanceToCamp[distance],MATCH(CampList[[#This Row],[CP_Pcode]],DistanceToCamp[CP_Pcode],0)-1,0,1,1),"")</f>
        <v>0</v>
      </c>
      <c r="AF206" s="219">
        <f ca="1">IFERROR(INT(CampList[[#This Row],[Distance]]/5)+1,"")</f>
        <v>1</v>
      </c>
    </row>
    <row r="207" spans="2:32" ht="15.75" hidden="1" customHeight="1" x14ac:dyDescent="0.3">
      <c r="B207" s="201" t="s">
        <v>775</v>
      </c>
      <c r="C207" s="196" t="s">
        <v>378</v>
      </c>
      <c r="D207" s="195" t="s">
        <v>478</v>
      </c>
      <c r="E207" s="195" t="s">
        <v>180</v>
      </c>
      <c r="F207" s="195" t="s">
        <v>479</v>
      </c>
      <c r="G207" s="196" t="s">
        <v>173</v>
      </c>
      <c r="H207" s="196" t="s">
        <v>498</v>
      </c>
      <c r="I207" s="196" t="s">
        <v>572</v>
      </c>
      <c r="J207" s="214" t="s">
        <v>573</v>
      </c>
      <c r="K207" s="196" t="s">
        <v>574</v>
      </c>
      <c r="L207" s="196">
        <v>166676</v>
      </c>
      <c r="M207" s="196" t="s">
        <v>1052</v>
      </c>
      <c r="N207" s="196" t="s">
        <v>1055</v>
      </c>
      <c r="O207" s="204">
        <v>96.942279999999997</v>
      </c>
      <c r="P207" s="204">
        <v>25.299679999999999</v>
      </c>
      <c r="Q207" s="215"/>
      <c r="R207" s="204">
        <v>6</v>
      </c>
      <c r="S207" s="215">
        <v>31</v>
      </c>
      <c r="T207" s="205">
        <f>IF(CampList[[#This Row],[HH]]&gt;0,CampList[[#This Row],[Total]]/CampList[[#This Row],[HH]],"NA")</f>
        <v>5.166666666666667</v>
      </c>
      <c r="U207" s="181" t="s">
        <v>464</v>
      </c>
      <c r="V207" s="197" t="s">
        <v>993</v>
      </c>
      <c r="W207" s="197" t="s">
        <v>1376</v>
      </c>
      <c r="X207" s="181" t="s">
        <v>742</v>
      </c>
      <c r="Y207" s="309">
        <v>42125</v>
      </c>
      <c r="Z207" s="215"/>
      <c r="AA207" s="196" t="s">
        <v>774</v>
      </c>
      <c r="AB207" s="208">
        <v>43189</v>
      </c>
      <c r="AC207" s="217" t="s">
        <v>1671</v>
      </c>
      <c r="AD207" s="197" t="str">
        <f ca="1">IFERROR(OFFSET(DistanceToCamp[Nearest Town],MATCH(CampList[[#This Row],[CP_Pcode]],DistanceToCamp[CP_Pcode],0)-1,0,1,1),"")</f>
        <v>Mogaung Town</v>
      </c>
      <c r="AE207" s="210">
        <f ca="1">IFERROR(OFFSET(DistanceToCamp[distance],MATCH(CampList[[#This Row],[CP_Pcode]],DistanceToCamp[CP_Pcode],0)-1,0,1,1),"")</f>
        <v>0.75</v>
      </c>
      <c r="AF207" s="211">
        <f ca="1">IFERROR(INT(CampList[[#This Row],[Distance]]/5)+1,"")</f>
        <v>1</v>
      </c>
    </row>
    <row r="208" spans="2:32" ht="15.75" customHeight="1" x14ac:dyDescent="0.3">
      <c r="B208" s="201" t="s">
        <v>1692</v>
      </c>
      <c r="C208" s="195" t="s">
        <v>378</v>
      </c>
      <c r="D208" s="195" t="s">
        <v>478</v>
      </c>
      <c r="E208" s="195" t="s">
        <v>237</v>
      </c>
      <c r="F208" s="196" t="s">
        <v>484</v>
      </c>
      <c r="G208" s="195" t="s">
        <v>1134</v>
      </c>
      <c r="H208" s="195" t="s">
        <v>1133</v>
      </c>
      <c r="I208" s="650" t="s">
        <v>1644</v>
      </c>
      <c r="J208" s="650" t="s">
        <v>1645</v>
      </c>
      <c r="K208" s="195"/>
      <c r="L208" s="195"/>
      <c r="M208" s="196" t="s">
        <v>1387</v>
      </c>
      <c r="N208" s="195" t="s">
        <v>1400</v>
      </c>
      <c r="O208" s="202"/>
      <c r="P208" s="202"/>
      <c r="Q208" s="215"/>
      <c r="R208" s="280">
        <v>34</v>
      </c>
      <c r="S208" s="281">
        <v>147</v>
      </c>
      <c r="T208" s="205">
        <f>IF(CampList[[#This Row],[HH]]&gt;0,CampList[[#This Row],[Total]]/CampList[[#This Row],[HH]],"NA")</f>
        <v>4.3235294117647056</v>
      </c>
      <c r="U208" s="181" t="s">
        <v>464</v>
      </c>
      <c r="V208" s="197" t="s">
        <v>993</v>
      </c>
      <c r="W208" s="197" t="s">
        <v>507</v>
      </c>
      <c r="X208" s="197" t="s">
        <v>742</v>
      </c>
      <c r="Y208" s="636">
        <v>42741</v>
      </c>
      <c r="Z208" s="207" t="s">
        <v>934</v>
      </c>
      <c r="AA208" s="221" t="s">
        <v>774</v>
      </c>
      <c r="AB208" s="208">
        <v>43593</v>
      </c>
      <c r="AC208" s="201" t="s">
        <v>2062</v>
      </c>
      <c r="AD208" s="218" t="str">
        <f ca="1">IFERROR(OFFSET(DistanceToCamp[Nearest Town],MATCH(CampList[[#This Row],[CP_Pcode]],DistanceToCamp[CP_Pcode],0)-1,0,1,1),"")</f>
        <v>Tanai Town</v>
      </c>
      <c r="AE208" s="210">
        <f ca="1">IFERROR(OFFSET(DistanceToCamp[distance],MATCH(CampList[[#This Row],[CP_Pcode]],DistanceToCamp[CP_Pcode],0)-1,0,1,1),"")</f>
        <v>0</v>
      </c>
      <c r="AF208" s="219">
        <f ca="1">IFERROR(INT(CampList[[#This Row],[Distance]]/5)+1,"")</f>
        <v>1</v>
      </c>
    </row>
    <row r="209" spans="2:35" ht="15.75" customHeight="1" x14ac:dyDescent="0.3">
      <c r="B209" s="201" t="s">
        <v>1692</v>
      </c>
      <c r="C209" s="195" t="s">
        <v>378</v>
      </c>
      <c r="D209" s="195" t="s">
        <v>478</v>
      </c>
      <c r="E209" s="195" t="s">
        <v>237</v>
      </c>
      <c r="F209" s="196" t="s">
        <v>484</v>
      </c>
      <c r="G209" s="195" t="s">
        <v>237</v>
      </c>
      <c r="H209" s="195" t="s">
        <v>488</v>
      </c>
      <c r="I209" s="195" t="s">
        <v>611</v>
      </c>
      <c r="J209" s="214"/>
      <c r="K209" s="195" t="s">
        <v>1505</v>
      </c>
      <c r="L209" s="195"/>
      <c r="M209" s="195" t="s">
        <v>1506</v>
      </c>
      <c r="N209" s="195" t="s">
        <v>1536</v>
      </c>
      <c r="O209" s="202"/>
      <c r="P209" s="202"/>
      <c r="Q209" s="215"/>
      <c r="R209" s="180">
        <v>14</v>
      </c>
      <c r="S209" s="288">
        <v>40</v>
      </c>
      <c r="T209" s="205">
        <f>IF(CampList[[#This Row],[HH]]&gt;0,CampList[[#This Row],[Total]]/CampList[[#This Row],[HH]],"NA")</f>
        <v>2.8571428571428572</v>
      </c>
      <c r="U209" s="197" t="s">
        <v>464</v>
      </c>
      <c r="V209" s="197" t="s">
        <v>993</v>
      </c>
      <c r="W209" s="197" t="s">
        <v>507</v>
      </c>
      <c r="X209" s="197" t="s">
        <v>742</v>
      </c>
      <c r="Y209" s="636">
        <v>42929</v>
      </c>
      <c r="Z209" s="636" t="s">
        <v>934</v>
      </c>
      <c r="AA209" s="195" t="s">
        <v>774</v>
      </c>
      <c r="AB209" s="208">
        <v>43593</v>
      </c>
      <c r="AC209" s="209" t="s">
        <v>2063</v>
      </c>
      <c r="AD209" s="218" t="str">
        <f ca="1">IFERROR(OFFSET(DistanceToCamp[Nearest Town],MATCH(CampList[[#This Row],[CP_Pcode]],DistanceToCamp[CP_Pcode],0)-1,0,1,1),"")</f>
        <v>Myitkyina Town</v>
      </c>
      <c r="AE209" s="210">
        <f ca="1">IFERROR(OFFSET(DistanceToCamp[distance],MATCH(CampList[[#This Row],[CP_Pcode]],DistanceToCamp[CP_Pcode],0)-1,0,1,1),"")</f>
        <v>0</v>
      </c>
      <c r="AF209" s="219">
        <f ca="1">IFERROR(INT(CampList[[#This Row],[Distance]]/5)+1,"")</f>
        <v>1</v>
      </c>
    </row>
    <row r="210" spans="2:35" ht="15.75" hidden="1" customHeight="1" x14ac:dyDescent="0.3">
      <c r="B210" s="201" t="s">
        <v>775</v>
      </c>
      <c r="C210" s="195" t="s">
        <v>378</v>
      </c>
      <c r="D210" s="195" t="s">
        <v>478</v>
      </c>
      <c r="E210" s="195" t="s">
        <v>5</v>
      </c>
      <c r="F210" s="195" t="s">
        <v>482</v>
      </c>
      <c r="G210" s="235" t="s">
        <v>185</v>
      </c>
      <c r="H210" s="235" t="s">
        <v>486</v>
      </c>
      <c r="I210" s="235" t="s">
        <v>1007</v>
      </c>
      <c r="J210" s="235" t="s">
        <v>1077</v>
      </c>
      <c r="K210" s="196" t="s">
        <v>656</v>
      </c>
      <c r="L210" s="195" t="s">
        <v>1107</v>
      </c>
      <c r="M210" s="195" t="s">
        <v>1078</v>
      </c>
      <c r="N210" s="195" t="s">
        <v>1079</v>
      </c>
      <c r="O210" s="236">
        <v>97.461271999999994</v>
      </c>
      <c r="P210" s="236">
        <v>24.613976000000001</v>
      </c>
      <c r="Q210" s="215"/>
      <c r="R210" s="203"/>
      <c r="S210" s="215"/>
      <c r="T210" s="205" t="str">
        <f>IF(CampList[[#This Row],[HH]]&gt;0,CampList[[#This Row],[Total]]/CampList[[#This Row],[HH]],"NA")</f>
        <v>NA</v>
      </c>
      <c r="U210" s="197" t="s">
        <v>464</v>
      </c>
      <c r="V210" s="197" t="s">
        <v>993</v>
      </c>
      <c r="W210" s="197" t="s">
        <v>847</v>
      </c>
      <c r="X210" s="197" t="s">
        <v>784</v>
      </c>
      <c r="Y210" s="308"/>
      <c r="Z210" s="636"/>
      <c r="AA210" s="195" t="s">
        <v>1164</v>
      </c>
      <c r="AB210" s="208">
        <v>42927</v>
      </c>
      <c r="AC210" s="209" t="s">
        <v>1280</v>
      </c>
      <c r="AD210" s="197" t="str">
        <f ca="1">IFERROR(OFFSET(DistanceToCamp[Nearest Town],MATCH(CampList[[#This Row],[CP_Pcode]],DistanceToCamp[CP_Pcode],0)-1,0,1,1),"")</f>
        <v>Dawthponeyan  Town</v>
      </c>
      <c r="AE210" s="210">
        <f ca="1">IFERROR(OFFSET(DistanceToCamp[distance],MATCH(CampList[[#This Row],[CP_Pcode]],DistanceToCamp[CP_Pcode],0)-1,0,1,1),"")</f>
        <v>0</v>
      </c>
      <c r="AF210" s="211">
        <f ca="1">IFERROR(INT(CampList[[#This Row],[Distance]]/5)+1,"")</f>
        <v>1</v>
      </c>
    </row>
    <row r="211" spans="2:35" ht="15.75" hidden="1" customHeight="1" x14ac:dyDescent="0.3">
      <c r="B211" s="201" t="s">
        <v>775</v>
      </c>
      <c r="C211" s="195" t="s">
        <v>378</v>
      </c>
      <c r="D211" s="195" t="s">
        <v>478</v>
      </c>
      <c r="E211" s="195" t="s">
        <v>5</v>
      </c>
      <c r="F211" s="195" t="s">
        <v>482</v>
      </c>
      <c r="G211" s="195" t="s">
        <v>151</v>
      </c>
      <c r="H211" s="195" t="s">
        <v>492</v>
      </c>
      <c r="I211" s="195" t="s">
        <v>566</v>
      </c>
      <c r="J211" s="195" t="s">
        <v>567</v>
      </c>
      <c r="K211" s="195" t="s">
        <v>566</v>
      </c>
      <c r="L211" s="195">
        <v>167495</v>
      </c>
      <c r="M211" s="195" t="s">
        <v>295</v>
      </c>
      <c r="N211" s="195" t="s">
        <v>1130</v>
      </c>
      <c r="O211" s="202">
        <v>97.174999999999997</v>
      </c>
      <c r="P211" s="202">
        <v>23.867000000000001</v>
      </c>
      <c r="Q211" s="215"/>
      <c r="R211" s="280"/>
      <c r="S211" s="281"/>
      <c r="T211" s="205" t="str">
        <f>IF(CampList[[#This Row],[HH]]&gt;0,CampList[[#This Row],[Total]]/CampList[[#This Row],[HH]],"NA")</f>
        <v>NA</v>
      </c>
      <c r="U211" s="197" t="s">
        <v>466</v>
      </c>
      <c r="V211" s="197" t="s">
        <v>993</v>
      </c>
      <c r="W211" s="197" t="s">
        <v>507</v>
      </c>
      <c r="X211" s="197"/>
      <c r="Y211" s="216"/>
      <c r="Z211" s="207"/>
      <c r="AA211" s="221"/>
      <c r="AB211" s="208">
        <v>41701</v>
      </c>
      <c r="AC211" s="201" t="s">
        <v>867</v>
      </c>
      <c r="AD211" s="197" t="str">
        <f ca="1">IFERROR(OFFSET(DistanceToCamp[Nearest Town],MATCH(CampList[[#This Row],[CP_Pcode]],DistanceToCamp[CP_Pcode],0)-1,0,1,1),"")</f>
        <v/>
      </c>
      <c r="AE211" s="210" t="str">
        <f ca="1">IFERROR(OFFSET(DistanceToCamp[distance],MATCH(CampList[[#This Row],[CP_Pcode]],DistanceToCamp[CP_Pcode],0)-1,0,1,1),"")</f>
        <v/>
      </c>
      <c r="AF211" s="211" t="str">
        <f ca="1">IFERROR(INT(CampList[[#This Row],[Distance]]/5)+1,"")</f>
        <v/>
      </c>
    </row>
    <row r="212" spans="2:35" ht="15.75" hidden="1" customHeight="1" x14ac:dyDescent="0.3">
      <c r="B212" s="201" t="s">
        <v>775</v>
      </c>
      <c r="C212" s="195" t="s">
        <v>378</v>
      </c>
      <c r="D212" s="195" t="s">
        <v>478</v>
      </c>
      <c r="E212" s="196" t="s">
        <v>237</v>
      </c>
      <c r="F212" s="196" t="s">
        <v>484</v>
      </c>
      <c r="G212" s="196" t="s">
        <v>480</v>
      </c>
      <c r="H212" s="196" t="s">
        <v>1133</v>
      </c>
      <c r="I212" s="196" t="s">
        <v>1150</v>
      </c>
      <c r="J212" s="214" t="s">
        <v>1151</v>
      </c>
      <c r="K212" s="195" t="s">
        <v>1150</v>
      </c>
      <c r="L212" s="214">
        <v>166818</v>
      </c>
      <c r="M212" s="196" t="s">
        <v>1131</v>
      </c>
      <c r="N212" s="195" t="s">
        <v>1132</v>
      </c>
      <c r="O212" s="204">
        <v>96.637</v>
      </c>
      <c r="P212" s="204">
        <v>25.806999999999999</v>
      </c>
      <c r="Q212" s="215"/>
      <c r="R212" s="203"/>
      <c r="S212" s="215"/>
      <c r="T212" s="205" t="str">
        <f>IF(CampList[[#This Row],[HH]]&gt;0,CampList[[#This Row],[Total]]/CampList[[#This Row],[HH]],"NA")</f>
        <v>NA</v>
      </c>
      <c r="U212" s="197" t="s">
        <v>464</v>
      </c>
      <c r="V212" s="197" t="s">
        <v>993</v>
      </c>
      <c r="W212" s="197" t="s">
        <v>507</v>
      </c>
      <c r="X212" s="197" t="s">
        <v>784</v>
      </c>
      <c r="Y212" s="309">
        <v>42370</v>
      </c>
      <c r="Z212" s="636"/>
      <c r="AA212" s="195" t="s">
        <v>774</v>
      </c>
      <c r="AB212" s="208">
        <v>42927</v>
      </c>
      <c r="AC212" s="201" t="s">
        <v>1284</v>
      </c>
      <c r="AD212" s="197" t="str">
        <f ca="1">IFERROR(OFFSET(DistanceToCamp[Nearest Town],MATCH(CampList[[#This Row],[CP_Pcode]],DistanceToCamp[CP_Pcode],0)-1,0,1,1),"")</f>
        <v>Hpakant Town</v>
      </c>
      <c r="AE212" s="210">
        <f ca="1">IFERROR(OFFSET(DistanceToCamp[distance],MATCH(CampList[[#This Row],[CP_Pcode]],DistanceToCamp[CP_Pcode],0)-1,0,1,1),"")</f>
        <v>0</v>
      </c>
      <c r="AF212" s="211">
        <f ca="1">IFERROR(INT(CampList[[#This Row],[Distance]]/5)+1,"")</f>
        <v>1</v>
      </c>
    </row>
    <row r="213" spans="2:35" ht="15.75" hidden="1" customHeight="1" x14ac:dyDescent="0.3">
      <c r="B213" s="201" t="s">
        <v>775</v>
      </c>
      <c r="C213" s="195" t="s">
        <v>378</v>
      </c>
      <c r="D213" s="195" t="s">
        <v>478</v>
      </c>
      <c r="E213" s="195" t="s">
        <v>180</v>
      </c>
      <c r="F213" s="195" t="s">
        <v>479</v>
      </c>
      <c r="G213" s="195" t="s">
        <v>480</v>
      </c>
      <c r="H213" s="195" t="s">
        <v>481</v>
      </c>
      <c r="I213" s="196" t="s">
        <v>1150</v>
      </c>
      <c r="J213" s="214" t="s">
        <v>1151</v>
      </c>
      <c r="K213" s="196" t="s">
        <v>1157</v>
      </c>
      <c r="L213" s="196">
        <v>166819</v>
      </c>
      <c r="M213" s="171" t="s">
        <v>1152</v>
      </c>
      <c r="N213" s="196" t="s">
        <v>1158</v>
      </c>
      <c r="O213" s="237">
        <v>96.662092000000001</v>
      </c>
      <c r="P213" s="237">
        <v>25.920006000000001</v>
      </c>
      <c r="Q213" s="215"/>
      <c r="R213" s="181"/>
      <c r="S213" s="223"/>
      <c r="T213" s="205" t="str">
        <f>IF(CampList[[#This Row],[HH]]&gt;0,CampList[[#This Row],[Total]]/CampList[[#This Row],[HH]],"NA")</f>
        <v>NA</v>
      </c>
      <c r="U213" s="181" t="s">
        <v>464</v>
      </c>
      <c r="V213" s="197" t="s">
        <v>993</v>
      </c>
      <c r="W213" s="181" t="s">
        <v>507</v>
      </c>
      <c r="X213" s="181" t="s">
        <v>784</v>
      </c>
      <c r="Y213" s="216">
        <v>42584</v>
      </c>
      <c r="Z213" s="215"/>
      <c r="AA213" s="196" t="s">
        <v>774</v>
      </c>
      <c r="AB213" s="208">
        <v>42849</v>
      </c>
      <c r="AC213" s="217" t="s">
        <v>1231</v>
      </c>
      <c r="AD213" s="218" t="str">
        <f ca="1">IFERROR(OFFSET(DistanceToCamp[Nearest Town],MATCH(CampList[[#This Row],[CP_Pcode]],DistanceToCamp[CP_Pcode],0)-1,0,1,1),"")</f>
        <v>Hpakant Town</v>
      </c>
      <c r="AE213" s="210">
        <f ca="1">IFERROR(OFFSET(DistanceToCamp[distance],MATCH(CampList[[#This Row],[CP_Pcode]],DistanceToCamp[CP_Pcode],0)-1,0,1,1),"")</f>
        <v>0</v>
      </c>
      <c r="AF213" s="219">
        <f ca="1">IFERROR(INT(CampList[[#This Row],[Distance]]/5)+1,"")</f>
        <v>1</v>
      </c>
    </row>
    <row r="214" spans="2:35" ht="15.75" customHeight="1" x14ac:dyDescent="0.3">
      <c r="B214" s="201" t="s">
        <v>1692</v>
      </c>
      <c r="C214" s="195" t="s">
        <v>378</v>
      </c>
      <c r="D214" s="195" t="s">
        <v>478</v>
      </c>
      <c r="E214" s="195" t="s">
        <v>1527</v>
      </c>
      <c r="F214" s="196" t="s">
        <v>484</v>
      </c>
      <c r="G214" s="195" t="s">
        <v>309</v>
      </c>
      <c r="H214" s="195" t="s">
        <v>485</v>
      </c>
      <c r="I214" s="195" t="s">
        <v>1011</v>
      </c>
      <c r="J214" s="214" t="s">
        <v>1637</v>
      </c>
      <c r="K214" s="195" t="s">
        <v>1638</v>
      </c>
      <c r="L214" s="650" t="s">
        <v>1639</v>
      </c>
      <c r="M214" s="195" t="s">
        <v>1255</v>
      </c>
      <c r="N214" s="195" t="s">
        <v>1538</v>
      </c>
      <c r="O214" s="202"/>
      <c r="P214" s="202"/>
      <c r="Q214" s="215"/>
      <c r="R214" s="280">
        <v>85</v>
      </c>
      <c r="S214" s="281">
        <v>455</v>
      </c>
      <c r="T214" s="205">
        <f>IF(CampList[[#This Row],[HH]]&gt;0,CampList[[#This Row],[Total]]/CampList[[#This Row],[HH]],"NA")</f>
        <v>5.3529411764705879</v>
      </c>
      <c r="U214" s="197" t="s">
        <v>464</v>
      </c>
      <c r="V214" s="197" t="s">
        <v>993</v>
      </c>
      <c r="W214" s="197" t="s">
        <v>1376</v>
      </c>
      <c r="X214" s="197" t="s">
        <v>784</v>
      </c>
      <c r="Y214" s="636">
        <v>42751</v>
      </c>
      <c r="Z214" s="207" t="s">
        <v>1311</v>
      </c>
      <c r="AA214" s="221" t="s">
        <v>774</v>
      </c>
      <c r="AB214" s="208">
        <v>43593</v>
      </c>
      <c r="AC214" s="201" t="s">
        <v>2093</v>
      </c>
      <c r="AD214" s="218" t="str">
        <f ca="1">IFERROR(OFFSET(DistanceToCamp[Nearest Town],MATCH(CampList[[#This Row],[CP_Pcode]],DistanceToCamp[CP_Pcode],0)-1,0,1,1),"")</f>
        <v>Sadung Town</v>
      </c>
      <c r="AE214" s="210">
        <f ca="1">IFERROR(OFFSET(DistanceToCamp[distance],MATCH(CampList[[#This Row],[CP_Pcode]],DistanceToCamp[CP_Pcode],0)-1,0,1,1),"")</f>
        <v>0</v>
      </c>
      <c r="AF214" s="219">
        <f ca="1">IFERROR(INT(CampList[[#This Row],[Distance]]/5)+1,"")</f>
        <v>1</v>
      </c>
    </row>
    <row r="215" spans="2:35" s="183" customFormat="1" ht="15.75" hidden="1" customHeight="1" x14ac:dyDescent="0.3">
      <c r="B215" s="201" t="s">
        <v>775</v>
      </c>
      <c r="C215" s="195" t="s">
        <v>378</v>
      </c>
      <c r="D215" s="195" t="s">
        <v>478</v>
      </c>
      <c r="E215" s="195" t="s">
        <v>180</v>
      </c>
      <c r="F215" s="195" t="s">
        <v>479</v>
      </c>
      <c r="G215" s="195" t="s">
        <v>480</v>
      </c>
      <c r="H215" s="195" t="s">
        <v>481</v>
      </c>
      <c r="I215" s="196" t="s">
        <v>1150</v>
      </c>
      <c r="J215" s="214" t="s">
        <v>1151</v>
      </c>
      <c r="K215" s="196" t="s">
        <v>1157</v>
      </c>
      <c r="L215" s="196">
        <v>166819</v>
      </c>
      <c r="M215" s="171" t="s">
        <v>1153</v>
      </c>
      <c r="N215" s="196" t="s">
        <v>1160</v>
      </c>
      <c r="O215" s="237">
        <v>96.662092000000001</v>
      </c>
      <c r="P215" s="237">
        <v>25.920006000000001</v>
      </c>
      <c r="Q215" s="215"/>
      <c r="R215" s="181"/>
      <c r="S215" s="223"/>
      <c r="T215" s="205" t="str">
        <f>IF(CampList[[#This Row],[HH]]&gt;0,CampList[[#This Row],[Total]]/CampList[[#This Row],[HH]],"NA")</f>
        <v>NA</v>
      </c>
      <c r="U215" s="181" t="s">
        <v>464</v>
      </c>
      <c r="V215" s="197" t="s">
        <v>993</v>
      </c>
      <c r="W215" s="181" t="s">
        <v>507</v>
      </c>
      <c r="X215" s="181" t="s">
        <v>784</v>
      </c>
      <c r="Y215" s="216">
        <v>42584</v>
      </c>
      <c r="Z215" s="215"/>
      <c r="AA215" s="196" t="s">
        <v>774</v>
      </c>
      <c r="AB215" s="208">
        <v>42849</v>
      </c>
      <c r="AC215" s="217" t="s">
        <v>1231</v>
      </c>
      <c r="AD215" s="218" t="str">
        <f ca="1">IFERROR(OFFSET(DistanceToCamp[Nearest Town],MATCH(CampList[[#This Row],[CP_Pcode]],DistanceToCamp[CP_Pcode],0)-1,0,1,1),"")</f>
        <v>Hpakant Town</v>
      </c>
      <c r="AE215" s="210">
        <f ca="1">IFERROR(OFFSET(DistanceToCamp[distance],MATCH(CampList[[#This Row],[CP_Pcode]],DistanceToCamp[CP_Pcode],0)-1,0,1,1),"")</f>
        <v>0</v>
      </c>
      <c r="AF215" s="219">
        <f ca="1">IFERROR(INT(CampList[[#This Row],[Distance]]/5)+1,"")</f>
        <v>1</v>
      </c>
      <c r="AH215" s="588"/>
      <c r="AI215" s="588"/>
    </row>
    <row r="216" spans="2:35" s="183" customFormat="1" ht="15.75" customHeight="1" x14ac:dyDescent="0.3">
      <c r="B216" s="201" t="s">
        <v>1692</v>
      </c>
      <c r="C216" s="195" t="s">
        <v>378</v>
      </c>
      <c r="D216" s="195" t="s">
        <v>478</v>
      </c>
      <c r="E216" s="195" t="s">
        <v>180</v>
      </c>
      <c r="F216" s="195" t="s">
        <v>479</v>
      </c>
      <c r="G216" s="195" t="s">
        <v>173</v>
      </c>
      <c r="H216" s="195" t="s">
        <v>498</v>
      </c>
      <c r="I216" s="195" t="s">
        <v>1621</v>
      </c>
      <c r="J216" s="214" t="s">
        <v>1620</v>
      </c>
      <c r="K216" s="195" t="s">
        <v>1624</v>
      </c>
      <c r="L216" s="195" t="s">
        <v>1625</v>
      </c>
      <c r="M216" s="195" t="s">
        <v>1626</v>
      </c>
      <c r="N216" s="195" t="s">
        <v>1614</v>
      </c>
      <c r="O216" s="202">
        <v>97.010629910000006</v>
      </c>
      <c r="P216" s="202">
        <v>25.370330525559201</v>
      </c>
      <c r="Q216" s="215"/>
      <c r="R216" s="180">
        <v>45</v>
      </c>
      <c r="S216" s="288">
        <v>235</v>
      </c>
      <c r="T216" s="205">
        <f>IF(CampList[[#This Row],[HH]]&gt;0,CampList[[#This Row],[Total]]/CampList[[#This Row],[HH]],"NA")</f>
        <v>5.2222222222222223</v>
      </c>
      <c r="U216" s="197" t="s">
        <v>464</v>
      </c>
      <c r="V216" s="197" t="s">
        <v>993</v>
      </c>
      <c r="W216" s="197" t="s">
        <v>507</v>
      </c>
      <c r="X216" s="197" t="s">
        <v>742</v>
      </c>
      <c r="Y216" s="308">
        <v>43212</v>
      </c>
      <c r="Z216" s="636" t="s">
        <v>934</v>
      </c>
      <c r="AA216" s="195" t="s">
        <v>774</v>
      </c>
      <c r="AB216" s="208">
        <v>43593</v>
      </c>
      <c r="AC216" s="209" t="s">
        <v>2064</v>
      </c>
      <c r="AD216" s="218" t="str">
        <f ca="1">IFERROR(OFFSET(DistanceToCamp[Nearest Town],MATCH(CampList[[#This Row],[CP_Pcode]],DistanceToCamp[CP_Pcode],0)-1,0,1,1),"")</f>
        <v>Panmatee Town</v>
      </c>
      <c r="AE216" s="210">
        <f ca="1">IFERROR(OFFSET(DistanceToCamp[distance],MATCH(CampList[[#This Row],[CP_Pcode]],DistanceToCamp[CP_Pcode],0)-1,0,1,1),"")</f>
        <v>0.4</v>
      </c>
      <c r="AF216" s="219">
        <f ca="1">IFERROR(INT(CampList[[#This Row],[Distance]]/5)+1,"")</f>
        <v>1</v>
      </c>
      <c r="AH216" s="588"/>
      <c r="AI216" s="588"/>
    </row>
    <row r="217" spans="2:35" s="183" customFormat="1" ht="15.75" customHeight="1" x14ac:dyDescent="0.3">
      <c r="B217" s="201" t="s">
        <v>1692</v>
      </c>
      <c r="C217" s="195" t="s">
        <v>378</v>
      </c>
      <c r="D217" s="195" t="s">
        <v>478</v>
      </c>
      <c r="E217" s="195" t="s">
        <v>180</v>
      </c>
      <c r="F217" s="195" t="s">
        <v>479</v>
      </c>
      <c r="G217" s="195" t="s">
        <v>173</v>
      </c>
      <c r="H217" s="195" t="s">
        <v>498</v>
      </c>
      <c r="I217" s="195" t="s">
        <v>1622</v>
      </c>
      <c r="J217" s="214" t="s">
        <v>1623</v>
      </c>
      <c r="K217" s="195" t="s">
        <v>1622</v>
      </c>
      <c r="L217" s="214">
        <v>166765</v>
      </c>
      <c r="M217" s="195" t="s">
        <v>1687</v>
      </c>
      <c r="N217" s="195" t="s">
        <v>1616</v>
      </c>
      <c r="O217" s="202">
        <v>97.104997409999996</v>
      </c>
      <c r="P217" s="202">
        <v>25.379014999999999</v>
      </c>
      <c r="Q217" s="215"/>
      <c r="R217" s="180">
        <v>112</v>
      </c>
      <c r="S217" s="288">
        <v>487</v>
      </c>
      <c r="T217" s="205">
        <f>IF(CampList[[#This Row],[HH]]&gt;0,CampList[[#This Row],[Total]]/CampList[[#This Row],[HH]],"NA")</f>
        <v>4.3482142857142856</v>
      </c>
      <c r="U217" s="197" t="s">
        <v>464</v>
      </c>
      <c r="V217" s="197" t="s">
        <v>993</v>
      </c>
      <c r="W217" s="197" t="s">
        <v>507</v>
      </c>
      <c r="X217" s="197" t="s">
        <v>742</v>
      </c>
      <c r="Y217" s="308">
        <v>43212</v>
      </c>
      <c r="Z217" s="636" t="s">
        <v>1835</v>
      </c>
      <c r="AA217" s="195" t="s">
        <v>774</v>
      </c>
      <c r="AB217" s="208">
        <v>43593</v>
      </c>
      <c r="AC217" s="209" t="s">
        <v>1998</v>
      </c>
      <c r="AD217" s="218" t="str">
        <f ca="1">IFERROR(OFFSET(DistanceToCamp[Nearest Town],MATCH(CampList[[#This Row],[CP_Pcode]],DistanceToCamp[CP_Pcode],0)-1,0,1,1),"")</f>
        <v>Panmatee Town</v>
      </c>
      <c r="AE217" s="210">
        <f ca="1">IFERROR(OFFSET(DistanceToCamp[distance],MATCH(CampList[[#This Row],[CP_Pcode]],DistanceToCamp[CP_Pcode],0)-1,0,1,1),"")</f>
        <v>0.4</v>
      </c>
      <c r="AF217" s="219">
        <f ca="1">IFERROR(INT(CampList[[#This Row],[Distance]]/5)+1,"")</f>
        <v>1</v>
      </c>
      <c r="AH217" s="588"/>
      <c r="AI217" s="588"/>
    </row>
    <row r="218" spans="2:35" s="183" customFormat="1" ht="15.75" hidden="1" customHeight="1" x14ac:dyDescent="0.3">
      <c r="B218" s="201" t="s">
        <v>775</v>
      </c>
      <c r="C218" s="195" t="s">
        <v>378</v>
      </c>
      <c r="D218" s="195" t="s">
        <v>478</v>
      </c>
      <c r="E218" s="195" t="s">
        <v>237</v>
      </c>
      <c r="F218" s="196" t="s">
        <v>484</v>
      </c>
      <c r="G218" s="195" t="s">
        <v>237</v>
      </c>
      <c r="H218" s="195" t="s">
        <v>488</v>
      </c>
      <c r="I218" s="195" t="s">
        <v>1635</v>
      </c>
      <c r="J218" s="214" t="s">
        <v>1636</v>
      </c>
      <c r="K218" s="195" t="s">
        <v>1635</v>
      </c>
      <c r="L218" s="214">
        <v>165704</v>
      </c>
      <c r="M218" s="195" t="s">
        <v>1634</v>
      </c>
      <c r="N218" s="195" t="s">
        <v>1619</v>
      </c>
      <c r="O218" s="202">
        <v>97.49136</v>
      </c>
      <c r="P218" s="202">
        <v>25.717300000000002</v>
      </c>
      <c r="Q218" s="215"/>
      <c r="R218" s="180">
        <v>229</v>
      </c>
      <c r="S218" s="288">
        <v>1247</v>
      </c>
      <c r="T218" s="205">
        <f>IF(CampList[[#This Row],[HH]]&gt;0,CampList[[#This Row],[Total]]/CampList[[#This Row],[HH]],"NA")</f>
        <v>5.4454148471615724</v>
      </c>
      <c r="U218" s="197" t="s">
        <v>464</v>
      </c>
      <c r="V218" s="197" t="s">
        <v>993</v>
      </c>
      <c r="W218" s="197" t="s">
        <v>1556</v>
      </c>
      <c r="X218" s="197" t="s">
        <v>784</v>
      </c>
      <c r="Y218" s="308">
        <v>43212</v>
      </c>
      <c r="Z218" s="636" t="s">
        <v>1311</v>
      </c>
      <c r="AA218" s="195" t="s">
        <v>774</v>
      </c>
      <c r="AB218" s="208">
        <v>43532</v>
      </c>
      <c r="AC218" s="209" t="s">
        <v>1905</v>
      </c>
      <c r="AD218" s="218" t="str">
        <f ca="1">IFERROR(OFFSET(DistanceToCamp[Nearest Town],MATCH(CampList[[#This Row],[CP_Pcode]],DistanceToCamp[CP_Pcode],0)-1,0,1,1),"")</f>
        <v>Myitkyina Town</v>
      </c>
      <c r="AE218" s="210">
        <f ca="1">IFERROR(OFFSET(DistanceToCamp[distance],MATCH(CampList[[#This Row],[CP_Pcode]],DistanceToCamp[CP_Pcode],0)-1,0,1,1),"")</f>
        <v>27</v>
      </c>
      <c r="AF218" s="219">
        <f ca="1">IFERROR(INT(CampList[[#This Row],[Distance]]/5)+1,"")</f>
        <v>6</v>
      </c>
      <c r="AH218" s="588"/>
      <c r="AI218" s="588"/>
    </row>
    <row r="219" spans="2:35" s="183" customFormat="1" ht="18.600000000000001" customHeight="1" x14ac:dyDescent="0.3">
      <c r="B219" s="201" t="s">
        <v>1692</v>
      </c>
      <c r="C219" s="195" t="s">
        <v>378</v>
      </c>
      <c r="D219" s="195" t="s">
        <v>478</v>
      </c>
      <c r="E219" s="195" t="s">
        <v>237</v>
      </c>
      <c r="F219" s="196" t="s">
        <v>484</v>
      </c>
      <c r="G219" s="195" t="s">
        <v>237</v>
      </c>
      <c r="H219" s="195" t="s">
        <v>488</v>
      </c>
      <c r="I219" s="195" t="s">
        <v>1630</v>
      </c>
      <c r="J219" s="214" t="s">
        <v>1631</v>
      </c>
      <c r="K219" s="195" t="s">
        <v>1630</v>
      </c>
      <c r="L219" s="214">
        <v>165676</v>
      </c>
      <c r="M219" s="195" t="s">
        <v>1712</v>
      </c>
      <c r="N219" s="195" t="s">
        <v>1653</v>
      </c>
      <c r="O219" s="202"/>
      <c r="P219" s="202"/>
      <c r="Q219" s="215"/>
      <c r="R219" s="180">
        <v>140</v>
      </c>
      <c r="S219" s="180">
        <v>620</v>
      </c>
      <c r="T219" s="205">
        <f>IF(CampList[[#This Row],[HH]]&gt;0,CampList[[#This Row],[Total]]/CampList[[#This Row],[HH]],"NA")</f>
        <v>4.4285714285714288</v>
      </c>
      <c r="U219" s="197" t="s">
        <v>464</v>
      </c>
      <c r="V219" s="197" t="s">
        <v>993</v>
      </c>
      <c r="W219" s="197" t="s">
        <v>507</v>
      </c>
      <c r="X219" s="197" t="s">
        <v>784</v>
      </c>
      <c r="Y219" s="308">
        <v>43312</v>
      </c>
      <c r="Z219" s="636" t="s">
        <v>1835</v>
      </c>
      <c r="AA219" s="195" t="s">
        <v>774</v>
      </c>
      <c r="AB219" s="208">
        <v>43593</v>
      </c>
      <c r="AC219" s="209" t="s">
        <v>1999</v>
      </c>
      <c r="AD219" s="218" t="str">
        <f ca="1">IFERROR(OFFSET(DistanceToCamp[Nearest Town],MATCH(CampList[[#This Row],[CP_Pcode]],DistanceToCamp[CP_Pcode],0)-1,0,1,1),"")</f>
        <v>Myitkyina Town</v>
      </c>
      <c r="AE219" s="210">
        <f ca="1">IFERROR(OFFSET(DistanceToCamp[distance],MATCH(CampList[[#This Row],[CP_Pcode]],DistanceToCamp[CP_Pcode],0)-1,0,1,1),"")</f>
        <v>10</v>
      </c>
      <c r="AF219" s="219">
        <f ca="1">IFERROR(INT(CampList[[#This Row],[Distance]]/5)+1,"")</f>
        <v>3</v>
      </c>
      <c r="AH219" s="588"/>
      <c r="AI219" s="588"/>
    </row>
    <row r="220" spans="2:35" s="183" customFormat="1" ht="15.75" customHeight="1" x14ac:dyDescent="0.3">
      <c r="B220" s="201" t="s">
        <v>1692</v>
      </c>
      <c r="C220" s="195" t="s">
        <v>378</v>
      </c>
      <c r="D220" s="195" t="s">
        <v>478</v>
      </c>
      <c r="E220" s="195" t="s">
        <v>237</v>
      </c>
      <c r="F220" s="196" t="s">
        <v>484</v>
      </c>
      <c r="G220" s="195" t="s">
        <v>237</v>
      </c>
      <c r="H220" s="195" t="s">
        <v>488</v>
      </c>
      <c r="I220" s="195" t="s">
        <v>1661</v>
      </c>
      <c r="J220" s="214" t="s">
        <v>1662</v>
      </c>
      <c r="K220" s="195" t="s">
        <v>1661</v>
      </c>
      <c r="L220" s="214">
        <v>165707</v>
      </c>
      <c r="M220" s="195" t="s">
        <v>1660</v>
      </c>
      <c r="N220" s="195" t="s">
        <v>1655</v>
      </c>
      <c r="O220" s="202"/>
      <c r="P220" s="202"/>
      <c r="Q220" s="215"/>
      <c r="R220" s="180">
        <v>8</v>
      </c>
      <c r="S220" s="288">
        <v>32</v>
      </c>
      <c r="T220" s="205">
        <f>IF(CampList[[#This Row],[HH]]&gt;0,CampList[[#This Row],[Total]]/CampList[[#This Row],[HH]],"NA")</f>
        <v>4</v>
      </c>
      <c r="U220" s="197" t="s">
        <v>464</v>
      </c>
      <c r="V220" s="197" t="s">
        <v>993</v>
      </c>
      <c r="W220" s="197" t="s">
        <v>1376</v>
      </c>
      <c r="X220" s="197" t="s">
        <v>784</v>
      </c>
      <c r="Y220" s="308">
        <v>43250</v>
      </c>
      <c r="Z220" s="636" t="s">
        <v>1311</v>
      </c>
      <c r="AA220" s="195"/>
      <c r="AB220" s="208">
        <v>43312</v>
      </c>
      <c r="AC220" s="209" t="s">
        <v>1681</v>
      </c>
      <c r="AD220" s="218" t="str">
        <f ca="1">IFERROR(OFFSET(DistanceToCamp[Nearest Town],MATCH(CampList[[#This Row],[CP_Pcode]],DistanceToCamp[CP_Pcode],0)-1,0,1,1),"")</f>
        <v>Myitkyina Town</v>
      </c>
      <c r="AE220" s="210">
        <f ca="1">IFERROR(OFFSET(DistanceToCamp[distance],MATCH(CampList[[#This Row],[CP_Pcode]],DistanceToCamp[CP_Pcode],0)-1,0,1,1),"")</f>
        <v>51</v>
      </c>
      <c r="AF220" s="219">
        <f ca="1">IFERROR(INT(CampList[[#This Row],[Distance]]/5)+1,"")</f>
        <v>11</v>
      </c>
      <c r="AH220" s="588"/>
      <c r="AI220" s="588"/>
    </row>
    <row r="221" spans="2:35" s="183" customFormat="1" ht="15.75" customHeight="1" x14ac:dyDescent="0.3">
      <c r="B221" s="201" t="s">
        <v>1692</v>
      </c>
      <c r="C221" s="195" t="s">
        <v>378</v>
      </c>
      <c r="D221" s="195" t="s">
        <v>478</v>
      </c>
      <c r="E221" s="195" t="s">
        <v>180</v>
      </c>
      <c r="F221" s="195" t="s">
        <v>479</v>
      </c>
      <c r="G221" s="195" t="s">
        <v>480</v>
      </c>
      <c r="H221" s="195" t="s">
        <v>481</v>
      </c>
      <c r="I221" s="195" t="s">
        <v>999</v>
      </c>
      <c r="J221" s="214" t="s">
        <v>1667</v>
      </c>
      <c r="K221" s="195" t="s">
        <v>1668</v>
      </c>
      <c r="L221" s="214" t="s">
        <v>1669</v>
      </c>
      <c r="M221" s="195" t="s">
        <v>1666</v>
      </c>
      <c r="N221" s="195" t="s">
        <v>1658</v>
      </c>
      <c r="O221" s="202"/>
      <c r="P221" s="202"/>
      <c r="Q221" s="215"/>
      <c r="R221" s="180">
        <v>16</v>
      </c>
      <c r="S221" s="180">
        <v>66</v>
      </c>
      <c r="T221" s="205">
        <f>IF(CampList[[#This Row],[HH]]&gt;0,CampList[[#This Row],[Total]]/CampList[[#This Row],[HH]],"NA")</f>
        <v>4.125</v>
      </c>
      <c r="U221" s="197" t="s">
        <v>464</v>
      </c>
      <c r="V221" s="197" t="s">
        <v>993</v>
      </c>
      <c r="W221" s="197" t="s">
        <v>507</v>
      </c>
      <c r="X221" s="197" t="s">
        <v>742</v>
      </c>
      <c r="Y221" s="636"/>
      <c r="Z221" s="636" t="s">
        <v>934</v>
      </c>
      <c r="AA221" s="195"/>
      <c r="AB221" s="208">
        <v>43593</v>
      </c>
      <c r="AC221" s="209" t="s">
        <v>2065</v>
      </c>
      <c r="AD221" s="218" t="str">
        <f ca="1">IFERROR(OFFSET(DistanceToCamp[Nearest Town],MATCH(CampList[[#This Row],[CP_Pcode]],DistanceToCamp[CP_Pcode],0)-1,0,1,1),"")</f>
        <v>Kamaing Town</v>
      </c>
      <c r="AE221" s="210">
        <f ca="1">IFERROR(OFFSET(DistanceToCamp[distance],MATCH(CampList[[#This Row],[CP_Pcode]],DistanceToCamp[CP_Pcode],0)-1,0,1,1),"")</f>
        <v>0</v>
      </c>
      <c r="AF221" s="219">
        <f ca="1">IFERROR(INT(CampList[[#This Row],[Distance]]/5)+1,"")</f>
        <v>1</v>
      </c>
      <c r="AH221" s="588"/>
      <c r="AI221" s="588"/>
    </row>
    <row r="222" spans="2:35" s="183" customFormat="1" ht="24.6" hidden="1" customHeight="1" x14ac:dyDescent="0.3">
      <c r="B222" s="201" t="s">
        <v>775</v>
      </c>
      <c r="C222" s="195" t="s">
        <v>378</v>
      </c>
      <c r="D222" s="195" t="s">
        <v>478</v>
      </c>
      <c r="E222" s="195" t="s">
        <v>237</v>
      </c>
      <c r="F222" s="196" t="s">
        <v>484</v>
      </c>
      <c r="G222" s="195" t="s">
        <v>1134</v>
      </c>
      <c r="H222" s="195" t="s">
        <v>1133</v>
      </c>
      <c r="I222" s="650" t="s">
        <v>1644</v>
      </c>
      <c r="J222" s="650" t="s">
        <v>1645</v>
      </c>
      <c r="K222" s="195"/>
      <c r="L222" s="195"/>
      <c r="M222" s="196" t="s">
        <v>1386</v>
      </c>
      <c r="N222" s="195" t="s">
        <v>1398</v>
      </c>
      <c r="O222" s="202"/>
      <c r="P222" s="202"/>
      <c r="Q222" s="215"/>
      <c r="R222" s="280">
        <v>42</v>
      </c>
      <c r="S222" s="281">
        <v>190</v>
      </c>
      <c r="T222" s="205">
        <f>IF(CampList[[#This Row],[HH]]&gt;0,CampList[[#This Row],[Total]]/CampList[[#This Row],[HH]],"NA")</f>
        <v>4.5238095238095237</v>
      </c>
      <c r="U222" s="181" t="s">
        <v>464</v>
      </c>
      <c r="V222" s="197" t="s">
        <v>993</v>
      </c>
      <c r="W222" s="197" t="s">
        <v>1376</v>
      </c>
      <c r="X222" s="197" t="s">
        <v>742</v>
      </c>
      <c r="Y222" s="636">
        <v>42741</v>
      </c>
      <c r="Z222" s="207" t="s">
        <v>1311</v>
      </c>
      <c r="AA222" s="221" t="s">
        <v>774</v>
      </c>
      <c r="AB222" s="208">
        <v>43343</v>
      </c>
      <c r="AC222" s="201" t="s">
        <v>1714</v>
      </c>
      <c r="AD222" s="218" t="str">
        <f ca="1">IFERROR(OFFSET(DistanceToCamp[Nearest Town],MATCH(CampList[[#This Row],[CP_Pcode]],DistanceToCamp[CP_Pcode],0)-1,0,1,1),"")</f>
        <v>Tanai Town</v>
      </c>
      <c r="AE222" s="210">
        <f ca="1">IFERROR(OFFSET(DistanceToCamp[distance],MATCH(CampList[[#This Row],[CP_Pcode]],DistanceToCamp[CP_Pcode],0)-1,0,1,1),"")</f>
        <v>0</v>
      </c>
      <c r="AF222" s="219">
        <f ca="1">IFERROR(INT(CampList[[#This Row],[Distance]]/5)+1,"")</f>
        <v>1</v>
      </c>
      <c r="AH222" s="588"/>
      <c r="AI222" s="588"/>
    </row>
    <row r="223" spans="2:35" s="183" customFormat="1" ht="15.75" customHeight="1" x14ac:dyDescent="0.3">
      <c r="B223" s="201" t="s">
        <v>1692</v>
      </c>
      <c r="C223" s="196" t="s">
        <v>378</v>
      </c>
      <c r="D223" s="196" t="s">
        <v>478</v>
      </c>
      <c r="E223" s="196" t="s">
        <v>237</v>
      </c>
      <c r="F223" s="196" t="s">
        <v>484</v>
      </c>
      <c r="G223" s="196" t="s">
        <v>237</v>
      </c>
      <c r="H223" s="196" t="s">
        <v>488</v>
      </c>
      <c r="I223" s="196" t="s">
        <v>649</v>
      </c>
      <c r="J223" s="214" t="s">
        <v>650</v>
      </c>
      <c r="K223" s="196" t="s">
        <v>651</v>
      </c>
      <c r="L223" s="196">
        <v>165685</v>
      </c>
      <c r="M223" s="196" t="s">
        <v>1683</v>
      </c>
      <c r="N223" s="196" t="s">
        <v>1682</v>
      </c>
      <c r="O223" s="204">
        <v>97.4345</v>
      </c>
      <c r="P223" s="204">
        <v>25.493819999999999</v>
      </c>
      <c r="Q223" s="215"/>
      <c r="R223" s="203">
        <v>255</v>
      </c>
      <c r="S223" s="288">
        <v>1373</v>
      </c>
      <c r="T223" s="205">
        <f>IF(CampList[[#This Row],[HH]]&gt;0,CampList[[#This Row],[Total]]/CampList[[#This Row],[HH]],"NA")</f>
        <v>5.3843137254901965</v>
      </c>
      <c r="U223" s="181" t="s">
        <v>464</v>
      </c>
      <c r="V223" s="197" t="s">
        <v>993</v>
      </c>
      <c r="W223" s="197" t="s">
        <v>507</v>
      </c>
      <c r="X223" s="181" t="s">
        <v>742</v>
      </c>
      <c r="Y223" s="308">
        <v>43252</v>
      </c>
      <c r="Z223" s="215" t="s">
        <v>934</v>
      </c>
      <c r="AA223" s="196"/>
      <c r="AB223" s="208">
        <v>43593</v>
      </c>
      <c r="AC223" s="217" t="s">
        <v>2066</v>
      </c>
      <c r="AD223" s="218" t="str">
        <f ca="1">IFERROR(OFFSET(DistanceToCamp[Nearest Town],MATCH(CampList[[#This Row],[CP_Pcode]],DistanceToCamp[CP_Pcode],0)-1,0,1,1),"")</f>
        <v/>
      </c>
      <c r="AE223" s="210" t="str">
        <f ca="1">IFERROR(OFFSET(DistanceToCamp[distance],MATCH(CampList[[#This Row],[CP_Pcode]],DistanceToCamp[CP_Pcode],0)-1,0,1,1),"")</f>
        <v/>
      </c>
      <c r="AF223" s="219" t="str">
        <f ca="1">IFERROR(INT(CampList[[#This Row],[Distance]]/5)+1,"")</f>
        <v/>
      </c>
      <c r="AH223" s="588"/>
      <c r="AI223" s="588"/>
    </row>
    <row r="224" spans="2:35" s="183" customFormat="1" ht="15.75" customHeight="1" x14ac:dyDescent="0.3">
      <c r="B224" s="201" t="s">
        <v>1692</v>
      </c>
      <c r="C224" s="195" t="s">
        <v>506</v>
      </c>
      <c r="D224" s="195" t="s">
        <v>489</v>
      </c>
      <c r="E224" s="195" t="s">
        <v>230</v>
      </c>
      <c r="F224" s="195" t="s">
        <v>490</v>
      </c>
      <c r="G224" s="195" t="s">
        <v>288</v>
      </c>
      <c r="H224" s="195" t="s">
        <v>502</v>
      </c>
      <c r="I224" s="195" t="s">
        <v>691</v>
      </c>
      <c r="J224" s="195" t="s">
        <v>692</v>
      </c>
      <c r="K224" s="195" t="s">
        <v>691</v>
      </c>
      <c r="L224" s="195">
        <v>208353</v>
      </c>
      <c r="M224" s="195" t="s">
        <v>289</v>
      </c>
      <c r="N224" s="195" t="s">
        <v>287</v>
      </c>
      <c r="O224" s="202">
        <v>97.669557999999995</v>
      </c>
      <c r="P224" s="202">
        <v>23.828520000000001</v>
      </c>
      <c r="Q224" s="203">
        <v>740</v>
      </c>
      <c r="R224" s="270">
        <v>64</v>
      </c>
      <c r="S224" s="270">
        <v>349</v>
      </c>
      <c r="T224" s="205">
        <f>IF(CampList[[#This Row],[HH]]&gt;0,CampList[[#This Row],[Total]]/CampList[[#This Row],[HH]],"NA")</f>
        <v>5.453125</v>
      </c>
      <c r="U224" s="197" t="s">
        <v>464</v>
      </c>
      <c r="V224" s="197" t="s">
        <v>993</v>
      </c>
      <c r="W224" s="197" t="s">
        <v>507</v>
      </c>
      <c r="X224" s="197" t="s">
        <v>742</v>
      </c>
      <c r="Y224" s="636">
        <v>40878</v>
      </c>
      <c r="Z224" s="636" t="s">
        <v>1900</v>
      </c>
      <c r="AA224" s="221" t="s">
        <v>774</v>
      </c>
      <c r="AB224" s="208">
        <v>43593</v>
      </c>
      <c r="AC224" s="209" t="s">
        <v>2011</v>
      </c>
      <c r="AD224" s="197" t="str">
        <f ca="1">IFERROR(OFFSET(DistanceToCamp[Nearest Town],MATCH(CampList[[#This Row],[CP_Pcode]],DistanceToCamp[CP_Pcode],0)-1,0,1,1),"")</f>
        <v>Namhkan Town</v>
      </c>
      <c r="AE224" s="210">
        <f ca="1">IFERROR(OFFSET(DistanceToCamp[distance],MATCH(CampList[[#This Row],[CP_Pcode]],DistanceToCamp[CP_Pcode],0)-1,0,1,1),"")</f>
        <v>1.5619149693996526</v>
      </c>
      <c r="AF224" s="211">
        <f ca="1">IFERROR(INT(CampList[[#This Row],[Distance]]/5)+1,"")</f>
        <v>1</v>
      </c>
      <c r="AH224" s="588"/>
      <c r="AI224" s="588"/>
    </row>
    <row r="225" spans="2:35" s="183" customFormat="1" ht="15.75" hidden="1" customHeight="1" x14ac:dyDescent="0.3">
      <c r="B225" s="201" t="s">
        <v>775</v>
      </c>
      <c r="C225" s="195" t="s">
        <v>378</v>
      </c>
      <c r="D225" s="195" t="s">
        <v>478</v>
      </c>
      <c r="E225" s="195" t="s">
        <v>180</v>
      </c>
      <c r="F225" s="195" t="s">
        <v>479</v>
      </c>
      <c r="G225" s="195" t="s">
        <v>173</v>
      </c>
      <c r="H225" s="196" t="s">
        <v>498</v>
      </c>
      <c r="I225" s="652" t="s">
        <v>1621</v>
      </c>
      <c r="J225" s="652" t="s">
        <v>1620</v>
      </c>
      <c r="K225" s="650" t="s">
        <v>1642</v>
      </c>
      <c r="L225" s="650" t="s">
        <v>1643</v>
      </c>
      <c r="M225" s="195" t="s">
        <v>1511</v>
      </c>
      <c r="N225" s="195" t="s">
        <v>1535</v>
      </c>
      <c r="O225" s="202"/>
      <c r="P225" s="202"/>
      <c r="Q225" s="215"/>
      <c r="R225" s="180">
        <v>245</v>
      </c>
      <c r="S225" s="288">
        <v>1084</v>
      </c>
      <c r="T225" s="205">
        <f>IF(CampList[[#This Row],[HH]]&gt;0,CampList[[#This Row],[Total]]/CampList[[#This Row],[HH]],"NA")</f>
        <v>4.4244897959183671</v>
      </c>
      <c r="U225" s="197" t="s">
        <v>464</v>
      </c>
      <c r="V225" s="197" t="s">
        <v>993</v>
      </c>
      <c r="W225" s="197" t="s">
        <v>1376</v>
      </c>
      <c r="X225" s="197" t="s">
        <v>742</v>
      </c>
      <c r="Y225" s="308">
        <v>42962</v>
      </c>
      <c r="Z225" s="636"/>
      <c r="AA225" s="195" t="s">
        <v>774</v>
      </c>
      <c r="AB225" s="208" t="s">
        <v>1512</v>
      </c>
      <c r="AC225" s="209" t="s">
        <v>1524</v>
      </c>
      <c r="AD225" s="218" t="str">
        <f ca="1">IFERROR(OFFSET(DistanceToCamp[Nearest Town],MATCH(CampList[[#This Row],[CP_Pcode]],DistanceToCamp[CP_Pcode],0)-1,0,1,1),"")</f>
        <v/>
      </c>
      <c r="AE225" s="210" t="str">
        <f ca="1">IFERROR(OFFSET(DistanceToCamp[distance],MATCH(CampList[[#This Row],[CP_Pcode]],DistanceToCamp[CP_Pcode],0)-1,0,1,1),"")</f>
        <v/>
      </c>
      <c r="AF225" s="219" t="str">
        <f ca="1">IFERROR(INT(CampList[[#This Row],[Distance]]/5)+1,"")</f>
        <v/>
      </c>
      <c r="AH225" s="588"/>
      <c r="AI225" s="588"/>
    </row>
    <row r="226" spans="2:35" s="183" customFormat="1" ht="15.75" customHeight="1" x14ac:dyDescent="0.3">
      <c r="B226" s="201" t="s">
        <v>1692</v>
      </c>
      <c r="C226" s="196" t="s">
        <v>506</v>
      </c>
      <c r="D226" s="196" t="s">
        <v>489</v>
      </c>
      <c r="E226" s="196" t="s">
        <v>230</v>
      </c>
      <c r="F226" s="196" t="s">
        <v>490</v>
      </c>
      <c r="G226" s="196" t="s">
        <v>288</v>
      </c>
      <c r="H226" s="196" t="s">
        <v>502</v>
      </c>
      <c r="I226" s="196" t="s">
        <v>691</v>
      </c>
      <c r="J226" s="214" t="s">
        <v>692</v>
      </c>
      <c r="K226" s="196" t="s">
        <v>691</v>
      </c>
      <c r="L226" s="196">
        <v>208353</v>
      </c>
      <c r="M226" s="196" t="s">
        <v>372</v>
      </c>
      <c r="N226" s="196" t="s">
        <v>294</v>
      </c>
      <c r="O226" s="204">
        <v>97.670360000000002</v>
      </c>
      <c r="P226" s="204">
        <v>23.828150000000001</v>
      </c>
      <c r="Q226" s="215">
        <v>751.8</v>
      </c>
      <c r="R226" s="204">
        <v>43</v>
      </c>
      <c r="S226" s="215">
        <v>218</v>
      </c>
      <c r="T226" s="205">
        <f>IF(CampList[[#This Row],[HH]]&gt;0,CampList[[#This Row],[Total]]/CampList[[#This Row],[HH]],"NA")</f>
        <v>5.0697674418604652</v>
      </c>
      <c r="U226" s="181" t="s">
        <v>464</v>
      </c>
      <c r="V226" s="197" t="s">
        <v>993</v>
      </c>
      <c r="W226" s="181" t="s">
        <v>507</v>
      </c>
      <c r="X226" s="181" t="s">
        <v>742</v>
      </c>
      <c r="Y226" s="216">
        <v>40878</v>
      </c>
      <c r="Z226" s="215" t="s">
        <v>1046</v>
      </c>
      <c r="AA226" s="196" t="s">
        <v>774</v>
      </c>
      <c r="AB226" s="208">
        <v>43593</v>
      </c>
      <c r="AC226" s="217" t="s">
        <v>2033</v>
      </c>
      <c r="AD226" s="218" t="str">
        <f ca="1">IFERROR(OFFSET(DistanceToCamp[Nearest Town],MATCH(CampList[[#This Row],[CP_Pcode]],DistanceToCamp[CP_Pcode],0)-1,0,1,1),"")</f>
        <v>Namhkan Town</v>
      </c>
      <c r="AE226" s="210">
        <f ca="1">IFERROR(OFFSET(DistanceToCamp[distance],MATCH(CampList[[#This Row],[CP_Pcode]],DistanceToCamp[CP_Pcode],0)-1,0,1,1),"")</f>
        <v>1.5239325151406049</v>
      </c>
      <c r="AF226" s="219">
        <f ca="1">IFERROR(INT(CampList[[#This Row],[Distance]]/5)+1,"")</f>
        <v>1</v>
      </c>
      <c r="AH226" s="588"/>
      <c r="AI226" s="588"/>
    </row>
    <row r="227" spans="2:35" s="183" customFormat="1" ht="15.75" hidden="1" customHeight="1" x14ac:dyDescent="0.3">
      <c r="B227" s="201" t="s">
        <v>775</v>
      </c>
      <c r="C227" s="195" t="s">
        <v>378</v>
      </c>
      <c r="D227" s="195" t="s">
        <v>478</v>
      </c>
      <c r="E227" s="195" t="s">
        <v>237</v>
      </c>
      <c r="F227" s="196" t="s">
        <v>484</v>
      </c>
      <c r="G227" s="195" t="s">
        <v>237</v>
      </c>
      <c r="H227" s="195" t="s">
        <v>488</v>
      </c>
      <c r="I227" s="195" t="s">
        <v>611</v>
      </c>
      <c r="J227" s="214"/>
      <c r="K227" s="650" t="s">
        <v>1640</v>
      </c>
      <c r="L227" s="650" t="s">
        <v>1641</v>
      </c>
      <c r="M227" s="195" t="s">
        <v>1520</v>
      </c>
      <c r="N227" s="195" t="s">
        <v>1537</v>
      </c>
      <c r="O227" s="202"/>
      <c r="P227" s="202"/>
      <c r="Q227" s="215"/>
      <c r="R227" s="180">
        <v>25</v>
      </c>
      <c r="S227" s="288">
        <v>69</v>
      </c>
      <c r="T227" s="205">
        <f>IF(CampList[[#This Row],[HH]]&gt;0,CampList[[#This Row],[Total]]/CampList[[#This Row],[HH]],"NA")</f>
        <v>2.76</v>
      </c>
      <c r="U227" s="197" t="s">
        <v>464</v>
      </c>
      <c r="V227" s="197" t="s">
        <v>993</v>
      </c>
      <c r="W227" s="197" t="s">
        <v>1376</v>
      </c>
      <c r="X227" s="197" t="s">
        <v>742</v>
      </c>
      <c r="Y227" s="308">
        <v>42963</v>
      </c>
      <c r="Z227" s="206" t="s">
        <v>1311</v>
      </c>
      <c r="AA227" s="195" t="s">
        <v>774</v>
      </c>
      <c r="AB227" s="208" t="s">
        <v>1512</v>
      </c>
      <c r="AC227" s="209" t="s">
        <v>1521</v>
      </c>
      <c r="AD227" s="218" t="str">
        <f ca="1">IFERROR(OFFSET(DistanceToCamp[Nearest Town],MATCH(CampList[[#This Row],[CP_Pcode]],DistanceToCamp[CP_Pcode],0)-1,0,1,1),"")</f>
        <v/>
      </c>
      <c r="AE227" s="210" t="str">
        <f ca="1">IFERROR(OFFSET(DistanceToCamp[distance],MATCH(CampList[[#This Row],[CP_Pcode]],DistanceToCamp[CP_Pcode],0)-1,0,1,1),"")</f>
        <v/>
      </c>
      <c r="AF227" s="219" t="str">
        <f ca="1">IFERROR(INT(CampList[[#This Row],[Distance]]/5)+1,"")</f>
        <v/>
      </c>
      <c r="AH227" s="588"/>
      <c r="AI227" s="588"/>
    </row>
    <row r="228" spans="2:35" s="183" customFormat="1" ht="15.75" customHeight="1" x14ac:dyDescent="0.3">
      <c r="B228" s="201" t="s">
        <v>1692</v>
      </c>
      <c r="C228" s="195" t="s">
        <v>506</v>
      </c>
      <c r="D228" s="195" t="s">
        <v>489</v>
      </c>
      <c r="E228" s="195" t="s">
        <v>230</v>
      </c>
      <c r="F228" s="195" t="s">
        <v>490</v>
      </c>
      <c r="G228" s="195" t="s">
        <v>288</v>
      </c>
      <c r="H228" s="195" t="s">
        <v>502</v>
      </c>
      <c r="I228" s="195" t="s">
        <v>691</v>
      </c>
      <c r="J228" s="195" t="s">
        <v>692</v>
      </c>
      <c r="K228" s="195" t="s">
        <v>691</v>
      </c>
      <c r="L228" s="195">
        <v>208353</v>
      </c>
      <c r="M228" s="195" t="s">
        <v>291</v>
      </c>
      <c r="N228" s="195" t="s">
        <v>290</v>
      </c>
      <c r="O228" s="202">
        <v>97.681970000000007</v>
      </c>
      <c r="P228" s="202">
        <v>23.821380000000001</v>
      </c>
      <c r="Q228" s="203">
        <v>811.6</v>
      </c>
      <c r="R228" s="202">
        <v>76</v>
      </c>
      <c r="S228" s="270">
        <v>385</v>
      </c>
      <c r="T228" s="205">
        <f>IF(CampList[[#This Row],[HH]]&gt;0,CampList[[#This Row],[Total]]/CampList[[#This Row],[HH]],"NA")</f>
        <v>5.0657894736842106</v>
      </c>
      <c r="U228" s="197" t="s">
        <v>464</v>
      </c>
      <c r="V228" s="197" t="s">
        <v>993</v>
      </c>
      <c r="W228" s="197" t="s">
        <v>507</v>
      </c>
      <c r="X228" s="197" t="s">
        <v>742</v>
      </c>
      <c r="Y228" s="636">
        <v>41609</v>
      </c>
      <c r="Z228" s="636" t="s">
        <v>1900</v>
      </c>
      <c r="AA228" s="221" t="s">
        <v>774</v>
      </c>
      <c r="AB228" s="208">
        <v>43593</v>
      </c>
      <c r="AC228" s="209" t="s">
        <v>2012</v>
      </c>
      <c r="AD228" s="197" t="str">
        <f ca="1">IFERROR(OFFSET(DistanceToCamp[Nearest Town],MATCH(CampList[[#This Row],[CP_Pcode]],DistanceToCamp[CP_Pcode],0)-1,0,1,1),"")</f>
        <v>Namhkan Town</v>
      </c>
      <c r="AE228" s="210">
        <f ca="1">IFERROR(OFFSET(DistanceToCamp[distance],MATCH(CampList[[#This Row],[CP_Pcode]],DistanceToCamp[CP_Pcode],0)-1,0,1,1),"")</f>
        <v>1.7369508287203668</v>
      </c>
      <c r="AF228" s="211">
        <f ca="1">IFERROR(INT(CampList[[#This Row],[Distance]]/5)+1,"")</f>
        <v>1</v>
      </c>
      <c r="AH228" s="588"/>
      <c r="AI228" s="588"/>
    </row>
    <row r="229" spans="2:35" s="183" customFormat="1" ht="15.75" customHeight="1" x14ac:dyDescent="0.3">
      <c r="B229" s="201" t="s">
        <v>1692</v>
      </c>
      <c r="C229" s="195" t="s">
        <v>506</v>
      </c>
      <c r="D229" s="195" t="s">
        <v>489</v>
      </c>
      <c r="E229" s="195" t="s">
        <v>230</v>
      </c>
      <c r="F229" s="195" t="s">
        <v>490</v>
      </c>
      <c r="G229" s="195" t="s">
        <v>146</v>
      </c>
      <c r="H229" s="195" t="s">
        <v>497</v>
      </c>
      <c r="I229" s="195" t="s">
        <v>725</v>
      </c>
      <c r="J229" s="195" t="s">
        <v>726</v>
      </c>
      <c r="K229" s="213" t="s">
        <v>727</v>
      </c>
      <c r="L229" s="196">
        <v>219842</v>
      </c>
      <c r="M229" s="195" t="s">
        <v>369</v>
      </c>
      <c r="N229" s="195" t="s">
        <v>147</v>
      </c>
      <c r="O229" s="202">
        <v>98.220614999999995</v>
      </c>
      <c r="P229" s="202">
        <v>23.400155999999999</v>
      </c>
      <c r="Q229" s="203">
        <v>3109</v>
      </c>
      <c r="R229" s="270">
        <v>38</v>
      </c>
      <c r="S229" s="270">
        <v>208</v>
      </c>
      <c r="T229" s="205">
        <f>IF(CampList[[#This Row],[HH]]&gt;0,CampList[[#This Row],[Total]]/CampList[[#This Row],[HH]],"NA")</f>
        <v>5.4736842105263159</v>
      </c>
      <c r="U229" s="197" t="s">
        <v>464</v>
      </c>
      <c r="V229" s="197" t="s">
        <v>993</v>
      </c>
      <c r="W229" s="197" t="s">
        <v>507</v>
      </c>
      <c r="X229" s="197" t="s">
        <v>784</v>
      </c>
      <c r="Y229" s="636">
        <v>40787</v>
      </c>
      <c r="Z229" s="636" t="s">
        <v>1900</v>
      </c>
      <c r="AA229" s="221" t="s">
        <v>774</v>
      </c>
      <c r="AB229" s="208">
        <v>43593</v>
      </c>
      <c r="AC229" s="201" t="s">
        <v>2013</v>
      </c>
      <c r="AD229" s="197" t="str">
        <f ca="1">IFERROR(OFFSET(DistanceToCamp[Nearest Town],MATCH(CampList[[#This Row],[CP_Pcode]],DistanceToCamp[CP_Pcode],0)-1,0,1,1),"")</f>
        <v>Tarmoenye Town</v>
      </c>
      <c r="AE229" s="210">
        <f ca="1">IFERROR(OFFSET(DistanceToCamp[distance],MATCH(CampList[[#This Row],[CP_Pcode]],DistanceToCamp[CP_Pcode],0)-1,0,1,1),"")</f>
        <v>23.172399462804503</v>
      </c>
      <c r="AF229" s="211">
        <f ca="1">IFERROR(INT(CampList[[#This Row],[Distance]]/5)+1,"")</f>
        <v>5</v>
      </c>
      <c r="AH229" s="588"/>
      <c r="AI229" s="588"/>
    </row>
    <row r="230" spans="2:35" s="183" customFormat="1" ht="15.75" customHeight="1" x14ac:dyDescent="0.3">
      <c r="B230" s="201" t="s">
        <v>1692</v>
      </c>
      <c r="C230" s="195" t="s">
        <v>506</v>
      </c>
      <c r="D230" s="195" t="s">
        <v>489</v>
      </c>
      <c r="E230" s="195" t="s">
        <v>230</v>
      </c>
      <c r="F230" s="195" t="s">
        <v>490</v>
      </c>
      <c r="G230" s="195" t="s">
        <v>146</v>
      </c>
      <c r="H230" s="195" t="s">
        <v>497</v>
      </c>
      <c r="I230" s="222" t="s">
        <v>663</v>
      </c>
      <c r="J230" s="195" t="s">
        <v>1039</v>
      </c>
      <c r="K230" s="222" t="s">
        <v>664</v>
      </c>
      <c r="L230" s="233">
        <v>208696</v>
      </c>
      <c r="M230" s="195" t="s">
        <v>149</v>
      </c>
      <c r="N230" s="195" t="s">
        <v>148</v>
      </c>
      <c r="O230" s="202">
        <v>97.818979999999996</v>
      </c>
      <c r="P230" s="202">
        <v>23.694130000000001</v>
      </c>
      <c r="Q230" s="203">
        <v>1135.7</v>
      </c>
      <c r="R230" s="215">
        <v>56</v>
      </c>
      <c r="S230" s="215">
        <v>263</v>
      </c>
      <c r="T230" s="205">
        <f>IF(CampList[[#This Row],[HH]]&gt;0,CampList[[#This Row],[Total]]/CampList[[#This Row],[HH]],"NA")</f>
        <v>4.6964285714285712</v>
      </c>
      <c r="U230" s="197" t="s">
        <v>464</v>
      </c>
      <c r="V230" s="197" t="s">
        <v>993</v>
      </c>
      <c r="W230" s="197" t="s">
        <v>507</v>
      </c>
      <c r="X230" s="197" t="s">
        <v>784</v>
      </c>
      <c r="Y230" s="636">
        <v>40878</v>
      </c>
      <c r="Z230" s="636" t="s">
        <v>1900</v>
      </c>
      <c r="AA230" s="221" t="s">
        <v>774</v>
      </c>
      <c r="AB230" s="208">
        <v>43593</v>
      </c>
      <c r="AC230" s="201" t="s">
        <v>2014</v>
      </c>
      <c r="AD230" s="197" t="str">
        <f ca="1">IFERROR(OFFSET(DistanceToCamp[Nearest Town],MATCH(CampList[[#This Row],[CP_Pcode]],DistanceToCamp[CP_Pcode],0)-1,0,1,1),"")</f>
        <v>Namhkan Town</v>
      </c>
      <c r="AE230" s="210">
        <f ca="1">IFERROR(OFFSET(DistanceToCamp[distance],MATCH(CampList[[#This Row],[CP_Pcode]],DistanceToCamp[CP_Pcode],0)-1,0,1,1),"")</f>
        <v>21.148671772283631</v>
      </c>
      <c r="AF230" s="211">
        <f ca="1">IFERROR(INT(CampList[[#This Row],[Distance]]/5)+1,"")</f>
        <v>5</v>
      </c>
      <c r="AH230" s="588"/>
      <c r="AI230" s="588"/>
    </row>
    <row r="231" spans="2:35" s="183" customFormat="1" ht="15.75" customHeight="1" x14ac:dyDescent="0.3">
      <c r="B231" s="201" t="s">
        <v>1692</v>
      </c>
      <c r="C231" s="195" t="s">
        <v>506</v>
      </c>
      <c r="D231" s="195" t="s">
        <v>489</v>
      </c>
      <c r="E231" s="195" t="s">
        <v>494</v>
      </c>
      <c r="F231" s="195" t="s">
        <v>495</v>
      </c>
      <c r="G231" s="195" t="s">
        <v>166</v>
      </c>
      <c r="H231" s="195" t="s">
        <v>496</v>
      </c>
      <c r="I231" s="222" t="s">
        <v>742</v>
      </c>
      <c r="J231" s="234" t="s">
        <v>961</v>
      </c>
      <c r="K231" s="196" t="s">
        <v>656</v>
      </c>
      <c r="L231" s="196" t="s">
        <v>1101</v>
      </c>
      <c r="M231" s="195" t="s">
        <v>167</v>
      </c>
      <c r="N231" s="195" t="s">
        <v>165</v>
      </c>
      <c r="O231" s="202">
        <v>97.124403000000001</v>
      </c>
      <c r="P231" s="202">
        <v>23.250678000000001</v>
      </c>
      <c r="Q231" s="203">
        <v>1250</v>
      </c>
      <c r="R231" s="270">
        <v>29</v>
      </c>
      <c r="S231" s="270">
        <v>158</v>
      </c>
      <c r="T231" s="205">
        <f>IF(CampList[[#This Row],[HH]]&gt;0,CampList[[#This Row],[Total]]/CampList[[#This Row],[HH]],"NA")</f>
        <v>5.4482758620689653</v>
      </c>
      <c r="U231" s="197" t="s">
        <v>464</v>
      </c>
      <c r="V231" s="197" t="s">
        <v>993</v>
      </c>
      <c r="W231" s="197" t="s">
        <v>507</v>
      </c>
      <c r="X231" s="197" t="s">
        <v>742</v>
      </c>
      <c r="Y231" s="636">
        <v>41000</v>
      </c>
      <c r="Z231" s="636" t="s">
        <v>1900</v>
      </c>
      <c r="AA231" s="221" t="s">
        <v>774</v>
      </c>
      <c r="AB231" s="208">
        <v>43593</v>
      </c>
      <c r="AC231" s="201" t="s">
        <v>2015</v>
      </c>
      <c r="AD231" s="197" t="str">
        <f ca="1">IFERROR(OFFSET(DistanceToCamp[Nearest Town],MATCH(CampList[[#This Row],[CP_Pcode]],DistanceToCamp[CP_Pcode],0)-1,0,1,1),"")</f>
        <v>Manton Town</v>
      </c>
      <c r="AE231" s="210">
        <f ca="1">IFERROR(OFFSET(DistanceToCamp[distance],MATCH(CampList[[#This Row],[CP_Pcode]],DistanceToCamp[CP_Pcode],0)-1,0,1,1),"")</f>
        <v>0.43878855438285824</v>
      </c>
      <c r="AF231" s="211">
        <f ca="1">IFERROR(INT(CampList[[#This Row],[Distance]]/5)+1,"")</f>
        <v>1</v>
      </c>
      <c r="AH231" s="588"/>
      <c r="AI231" s="588"/>
    </row>
    <row r="232" spans="2:35" s="183" customFormat="1" ht="19.2" customHeight="1" x14ac:dyDescent="0.3">
      <c r="B232" s="201" t="s">
        <v>1692</v>
      </c>
      <c r="C232" s="195" t="s">
        <v>506</v>
      </c>
      <c r="D232" s="195" t="s">
        <v>489</v>
      </c>
      <c r="E232" s="195" t="s">
        <v>494</v>
      </c>
      <c r="F232" s="195" t="s">
        <v>495</v>
      </c>
      <c r="G232" s="195" t="s">
        <v>297</v>
      </c>
      <c r="H232" s="195" t="s">
        <v>503</v>
      </c>
      <c r="I232" s="222" t="s">
        <v>755</v>
      </c>
      <c r="J232" s="195" t="s">
        <v>756</v>
      </c>
      <c r="K232" s="222" t="s">
        <v>757</v>
      </c>
      <c r="L232" s="222" t="s">
        <v>758</v>
      </c>
      <c r="M232" s="195" t="s">
        <v>759</v>
      </c>
      <c r="N232" s="195" t="s">
        <v>296</v>
      </c>
      <c r="O232" s="202">
        <v>97.404089999999997</v>
      </c>
      <c r="P232" s="202">
        <v>23.094290000000001</v>
      </c>
      <c r="Q232" s="203">
        <v>534.29999999999995</v>
      </c>
      <c r="R232" s="270">
        <v>38</v>
      </c>
      <c r="S232" s="270">
        <v>159</v>
      </c>
      <c r="T232" s="205">
        <f>IF(CampList[[#This Row],[HH]]&gt;0,CampList[[#This Row],[Total]]/CampList[[#This Row],[HH]],"NA")</f>
        <v>4.1842105263157894</v>
      </c>
      <c r="U232" s="197" t="s">
        <v>464</v>
      </c>
      <c r="V232" s="197" t="s">
        <v>993</v>
      </c>
      <c r="W232" s="197" t="s">
        <v>507</v>
      </c>
      <c r="X232" s="197" t="s">
        <v>742</v>
      </c>
      <c r="Y232" s="636">
        <v>41000</v>
      </c>
      <c r="Z232" s="636" t="s">
        <v>1900</v>
      </c>
      <c r="AA232" s="221" t="s">
        <v>774</v>
      </c>
      <c r="AB232" s="208">
        <v>43593</v>
      </c>
      <c r="AC232" s="201" t="s">
        <v>2016</v>
      </c>
      <c r="AD232" s="197" t="str">
        <f ca="1">IFERROR(OFFSET(DistanceToCamp[Nearest Town],MATCH(CampList[[#This Row],[CP_Pcode]],DistanceToCamp[CP_Pcode],0)-1,0,1,1),"")</f>
        <v>Namtu Town</v>
      </c>
      <c r="AE232" s="210">
        <f ca="1">IFERROR(OFFSET(DistanceToCamp[distance],MATCH(CampList[[#This Row],[CP_Pcode]],DistanceToCamp[CP_Pcode],0)-1,0,1,1),"")</f>
        <v>0.37588352961435612</v>
      </c>
      <c r="AF232" s="211">
        <f ca="1">IFERROR(INT(CampList[[#This Row],[Distance]]/5)+1,"")</f>
        <v>1</v>
      </c>
      <c r="AH232" s="588"/>
      <c r="AI232" s="588"/>
    </row>
    <row r="233" spans="2:35" s="183" customFormat="1" ht="15.75" customHeight="1" x14ac:dyDescent="0.3">
      <c r="B233" s="201" t="s">
        <v>1692</v>
      </c>
      <c r="C233" s="195" t="s">
        <v>506</v>
      </c>
      <c r="D233" s="195" t="s">
        <v>489</v>
      </c>
      <c r="E233" s="195" t="s">
        <v>230</v>
      </c>
      <c r="F233" s="195" t="s">
        <v>490</v>
      </c>
      <c r="G233" s="195" t="s">
        <v>146</v>
      </c>
      <c r="H233" s="195" t="s">
        <v>497</v>
      </c>
      <c r="I233" s="195" t="s">
        <v>669</v>
      </c>
      <c r="J233" s="195" t="s">
        <v>670</v>
      </c>
      <c r="K233" s="195" t="s">
        <v>671</v>
      </c>
      <c r="L233" s="195" t="s">
        <v>672</v>
      </c>
      <c r="M233" s="195" t="s">
        <v>367</v>
      </c>
      <c r="N233" s="195" t="s">
        <v>381</v>
      </c>
      <c r="O233" s="202">
        <v>97.926813999999993</v>
      </c>
      <c r="P233" s="202">
        <v>23.450914000000001</v>
      </c>
      <c r="Q233" s="203">
        <v>4336</v>
      </c>
      <c r="R233" s="204">
        <v>53</v>
      </c>
      <c r="S233" s="204">
        <v>261</v>
      </c>
      <c r="T233" s="205">
        <f>IF(CampList[[#This Row],[HH]]&gt;0,CampList[[#This Row],[Total]]/CampList[[#This Row],[HH]],"NA")</f>
        <v>4.9245283018867925</v>
      </c>
      <c r="U233" s="197" t="s">
        <v>464</v>
      </c>
      <c r="V233" s="197" t="s">
        <v>993</v>
      </c>
      <c r="W233" s="197" t="s">
        <v>507</v>
      </c>
      <c r="X233" s="197" t="s">
        <v>742</v>
      </c>
      <c r="Y233" s="636">
        <v>41244</v>
      </c>
      <c r="Z233" s="636" t="s">
        <v>1900</v>
      </c>
      <c r="AA233" s="221" t="s">
        <v>774</v>
      </c>
      <c r="AB233" s="208">
        <v>43593</v>
      </c>
      <c r="AC233" s="201" t="s">
        <v>2017</v>
      </c>
      <c r="AD233" s="197" t="str">
        <f ca="1">IFERROR(OFFSET(DistanceToCamp[Nearest Town],MATCH(CampList[[#This Row],[CP_Pcode]],DistanceToCamp[CP_Pcode],0)-1,0,1,1),"")</f>
        <v>Kutkai Town</v>
      </c>
      <c r="AE233" s="210">
        <f ca="1">IFERROR(OFFSET(DistanceToCamp[distance],MATCH(CampList[[#This Row],[CP_Pcode]],DistanceToCamp[CP_Pcode],0)-1,0,1,1),"")</f>
        <v>1.9281430163271129</v>
      </c>
      <c r="AF233" s="211">
        <f ca="1">IFERROR(INT(CampList[[#This Row],[Distance]]/5)+1,"")</f>
        <v>1</v>
      </c>
      <c r="AH233" s="588"/>
      <c r="AI233" s="588"/>
    </row>
    <row r="234" spans="2:35" s="183" customFormat="1" ht="16.2" customHeight="1" x14ac:dyDescent="0.3">
      <c r="B234" s="201" t="s">
        <v>1692</v>
      </c>
      <c r="C234" s="196" t="s">
        <v>506</v>
      </c>
      <c r="D234" s="196" t="s">
        <v>489</v>
      </c>
      <c r="E234" s="196" t="s">
        <v>230</v>
      </c>
      <c r="F234" s="196" t="s">
        <v>490</v>
      </c>
      <c r="G234" s="196" t="s">
        <v>146</v>
      </c>
      <c r="H234" s="196" t="s">
        <v>497</v>
      </c>
      <c r="I234" s="196" t="s">
        <v>669</v>
      </c>
      <c r="J234" s="214" t="s">
        <v>670</v>
      </c>
      <c r="K234" s="196" t="s">
        <v>654</v>
      </c>
      <c r="L234" s="196" t="s">
        <v>673</v>
      </c>
      <c r="M234" s="196" t="s">
        <v>368</v>
      </c>
      <c r="N234" s="196" t="s">
        <v>382</v>
      </c>
      <c r="O234" s="204">
        <v>97.947360000000003</v>
      </c>
      <c r="P234" s="204">
        <v>23.460349999999998</v>
      </c>
      <c r="Q234" s="215">
        <v>4430</v>
      </c>
      <c r="R234" s="204">
        <v>28</v>
      </c>
      <c r="S234" s="215">
        <v>135</v>
      </c>
      <c r="T234" s="205">
        <f>IF(CampList[[#This Row],[HH]]&gt;0,CampList[[#This Row],[Total]]/CampList[[#This Row],[HH]],"NA")</f>
        <v>4.8214285714285712</v>
      </c>
      <c r="U234" s="181" t="s">
        <v>464</v>
      </c>
      <c r="V234" s="197" t="s">
        <v>993</v>
      </c>
      <c r="W234" s="181" t="s">
        <v>507</v>
      </c>
      <c r="X234" s="181" t="s">
        <v>742</v>
      </c>
      <c r="Y234" s="216">
        <v>41244</v>
      </c>
      <c r="Z234" s="215" t="s">
        <v>1046</v>
      </c>
      <c r="AA234" s="196" t="s">
        <v>774</v>
      </c>
      <c r="AB234" s="208">
        <v>43593</v>
      </c>
      <c r="AC234" s="217" t="s">
        <v>2034</v>
      </c>
      <c r="AD234" s="218" t="str">
        <f ca="1">IFERROR(OFFSET(DistanceToCamp[Nearest Town],MATCH(CampList[[#This Row],[CP_Pcode]],DistanceToCamp[CP_Pcode],0)-1,0,1,1),"")</f>
        <v>Kutkai Town</v>
      </c>
      <c r="AE234" s="210">
        <f ca="1">IFERROR(OFFSET(DistanceToCamp[distance],MATCH(CampList[[#This Row],[CP_Pcode]],DistanceToCamp[CP_Pcode],0)-1,0,1,1),"")</f>
        <v>0.42212558305526549</v>
      </c>
      <c r="AF234" s="219">
        <f ca="1">IFERROR(INT(CampList[[#This Row],[Distance]]/5)+1,"")</f>
        <v>1</v>
      </c>
      <c r="AH234" s="588"/>
      <c r="AI234" s="588"/>
    </row>
    <row r="235" spans="2:35" s="183" customFormat="1" ht="23.4" customHeight="1" x14ac:dyDescent="0.3">
      <c r="B235" s="201" t="s">
        <v>1692</v>
      </c>
      <c r="C235" s="195" t="s">
        <v>506</v>
      </c>
      <c r="D235" s="195" t="s">
        <v>489</v>
      </c>
      <c r="E235" s="195" t="s">
        <v>230</v>
      </c>
      <c r="F235" s="195" t="s">
        <v>490</v>
      </c>
      <c r="G235" s="195" t="s">
        <v>146</v>
      </c>
      <c r="H235" s="195" t="s">
        <v>497</v>
      </c>
      <c r="I235" s="222" t="s">
        <v>662</v>
      </c>
      <c r="J235" s="195" t="s">
        <v>1038</v>
      </c>
      <c r="K235" s="222" t="s">
        <v>662</v>
      </c>
      <c r="L235" s="767">
        <v>208747</v>
      </c>
      <c r="M235" s="195" t="s">
        <v>1589</v>
      </c>
      <c r="N235" s="195" t="s">
        <v>383</v>
      </c>
      <c r="O235" s="202">
        <v>97.793019999999999</v>
      </c>
      <c r="P235" s="202">
        <v>23.588920000000002</v>
      </c>
      <c r="Q235" s="203">
        <v>1012.5</v>
      </c>
      <c r="R235" s="204">
        <v>76</v>
      </c>
      <c r="S235" s="204">
        <v>344</v>
      </c>
      <c r="T235" s="205">
        <f>IF(CampList[[#This Row],[HH]]&gt;0,CampList[[#This Row],[Total]]/CampList[[#This Row],[HH]],"NA")</f>
        <v>4.5263157894736841</v>
      </c>
      <c r="U235" s="197" t="s">
        <v>464</v>
      </c>
      <c r="V235" s="197" t="s">
        <v>993</v>
      </c>
      <c r="W235" s="197" t="s">
        <v>507</v>
      </c>
      <c r="X235" s="197" t="s">
        <v>784</v>
      </c>
      <c r="Y235" s="636">
        <v>41275</v>
      </c>
      <c r="Z235" s="215" t="s">
        <v>1046</v>
      </c>
      <c r="AA235" s="221" t="s">
        <v>774</v>
      </c>
      <c r="AB235" s="208">
        <v>43593</v>
      </c>
      <c r="AC235" s="201" t="s">
        <v>2035</v>
      </c>
      <c r="AD235" s="197" t="str">
        <f ca="1">IFERROR(OFFSET(DistanceToCamp[Nearest Town],MATCH(CampList[[#This Row],[CP_Pcode]],DistanceToCamp[CP_Pcode],0)-1,0,1,1),"")</f>
        <v>Kutkai Town</v>
      </c>
      <c r="AE235" s="210">
        <f ca="1">IFERROR(OFFSET(DistanceToCamp[distance],MATCH(CampList[[#This Row],[CP_Pcode]],DistanceToCamp[CP_Pcode],0)-1,0,1,1),"")</f>
        <v>21.050742639251741</v>
      </c>
      <c r="AF235" s="211">
        <f ca="1">IFERROR(INT(CampList[[#This Row],[Distance]]/5)+1,"")</f>
        <v>5</v>
      </c>
      <c r="AH235" s="588"/>
      <c r="AI235" s="588"/>
    </row>
    <row r="236" spans="2:35" s="183" customFormat="1" ht="15.75" customHeight="1" x14ac:dyDescent="0.3">
      <c r="B236" s="201" t="s">
        <v>1692</v>
      </c>
      <c r="C236" s="195" t="s">
        <v>506</v>
      </c>
      <c r="D236" s="195" t="s">
        <v>489</v>
      </c>
      <c r="E236" s="195" t="s">
        <v>230</v>
      </c>
      <c r="F236" s="195" t="s">
        <v>490</v>
      </c>
      <c r="G236" s="195" t="s">
        <v>146</v>
      </c>
      <c r="H236" s="195" t="s">
        <v>497</v>
      </c>
      <c r="I236" s="195" t="s">
        <v>706</v>
      </c>
      <c r="J236" s="195" t="s">
        <v>707</v>
      </c>
      <c r="K236" s="195" t="s">
        <v>708</v>
      </c>
      <c r="L236" s="195">
        <v>208557</v>
      </c>
      <c r="M236" s="195" t="s">
        <v>371</v>
      </c>
      <c r="N236" s="195" t="s">
        <v>385</v>
      </c>
      <c r="O236" s="202">
        <v>97.837040000000002</v>
      </c>
      <c r="P236" s="202">
        <v>23.38503</v>
      </c>
      <c r="Q236" s="203">
        <v>0</v>
      </c>
      <c r="R236" s="204">
        <v>205</v>
      </c>
      <c r="S236" s="270">
        <v>1053</v>
      </c>
      <c r="T236" s="205">
        <f>IF(CampList[[#This Row],[HH]]&gt;0,CampList[[#This Row],[Total]]/CampList[[#This Row],[HH]],"NA")</f>
        <v>5.1365853658536587</v>
      </c>
      <c r="U236" s="197" t="s">
        <v>464</v>
      </c>
      <c r="V236" s="197" t="s">
        <v>993</v>
      </c>
      <c r="W236" s="197" t="s">
        <v>507</v>
      </c>
      <c r="X236" s="197" t="s">
        <v>784</v>
      </c>
      <c r="Y236" s="636">
        <v>41244</v>
      </c>
      <c r="Z236" s="636" t="s">
        <v>1900</v>
      </c>
      <c r="AA236" s="195" t="s">
        <v>774</v>
      </c>
      <c r="AB236" s="208">
        <v>43593</v>
      </c>
      <c r="AC236" s="209" t="s">
        <v>2018</v>
      </c>
      <c r="AD236" s="197" t="str">
        <f ca="1">IFERROR(OFFSET(DistanceToCamp[Nearest Town],MATCH(CampList[[#This Row],[CP_Pcode]],DistanceToCamp[CP_Pcode],0)-1,0,1,1),"")</f>
        <v>Kutkai Town</v>
      </c>
      <c r="AE236" s="210">
        <f ca="1">IFERROR(OFFSET(DistanceToCamp[distance],MATCH(CampList[[#This Row],[CP_Pcode]],DistanceToCamp[CP_Pcode],0)-1,0,1,1),"")</f>
        <v>13.632081902964599</v>
      </c>
      <c r="AF236" s="211">
        <f ca="1">IFERROR(INT(CampList[[#This Row],[Distance]]/5)+1,"")</f>
        <v>3</v>
      </c>
      <c r="AH236" s="588"/>
      <c r="AI236" s="588"/>
    </row>
    <row r="237" spans="2:35" s="183" customFormat="1" ht="15.75" customHeight="1" x14ac:dyDescent="0.3">
      <c r="B237" s="201" t="s">
        <v>1692</v>
      </c>
      <c r="C237" s="196" t="s">
        <v>506</v>
      </c>
      <c r="D237" s="196" t="s">
        <v>489</v>
      </c>
      <c r="E237" s="196" t="s">
        <v>494</v>
      </c>
      <c r="F237" s="196" t="s">
        <v>495</v>
      </c>
      <c r="G237" s="196" t="s">
        <v>166</v>
      </c>
      <c r="H237" s="196" t="s">
        <v>496</v>
      </c>
      <c r="I237" s="196" t="s">
        <v>742</v>
      </c>
      <c r="J237" s="214" t="s">
        <v>961</v>
      </c>
      <c r="K237" s="196" t="s">
        <v>656</v>
      </c>
      <c r="L237" s="196" t="s">
        <v>1101</v>
      </c>
      <c r="M237" s="196" t="s">
        <v>760</v>
      </c>
      <c r="N237" s="196" t="s">
        <v>761</v>
      </c>
      <c r="O237" s="204">
        <v>97.116680000000002</v>
      </c>
      <c r="P237" s="204">
        <v>23.24661</v>
      </c>
      <c r="Q237" s="215">
        <v>87.3</v>
      </c>
      <c r="R237" s="204">
        <v>30</v>
      </c>
      <c r="S237" s="215">
        <v>155</v>
      </c>
      <c r="T237" s="205">
        <f>IF(CampList[[#This Row],[HH]]&gt;0,CampList[[#This Row],[Total]]/CampList[[#This Row],[HH]],"NA")</f>
        <v>5.166666666666667</v>
      </c>
      <c r="U237" s="181" t="s">
        <v>464</v>
      </c>
      <c r="V237" s="197" t="s">
        <v>993</v>
      </c>
      <c r="W237" s="181" t="s">
        <v>507</v>
      </c>
      <c r="X237" s="181" t="s">
        <v>742</v>
      </c>
      <c r="Y237" s="216">
        <v>41030</v>
      </c>
      <c r="Z237" s="215" t="s">
        <v>1046</v>
      </c>
      <c r="AA237" s="196" t="s">
        <v>774</v>
      </c>
      <c r="AB237" s="208">
        <v>43593</v>
      </c>
      <c r="AC237" s="217" t="s">
        <v>2036</v>
      </c>
      <c r="AD237" s="218" t="str">
        <f ca="1">IFERROR(OFFSET(DistanceToCamp[Nearest Town],MATCH(CampList[[#This Row],[CP_Pcode]],DistanceToCamp[CP_Pcode],0)-1,0,1,1),"")</f>
        <v>Manton Town</v>
      </c>
      <c r="AE237" s="210">
        <f ca="1">IFERROR(OFFSET(DistanceToCamp[distance],MATCH(CampList[[#This Row],[CP_Pcode]],DistanceToCamp[CP_Pcode],0)-1,0,1,1),"")</f>
        <v>0.71762888500316424</v>
      </c>
      <c r="AF237" s="219">
        <f ca="1">IFERROR(INT(CampList[[#This Row],[Distance]]/5)+1,"")</f>
        <v>1</v>
      </c>
      <c r="AH237" s="588"/>
      <c r="AI237" s="588"/>
    </row>
    <row r="238" spans="2:35" s="183" customFormat="1" ht="15.75" customHeight="1" x14ac:dyDescent="0.3">
      <c r="B238" s="201" t="s">
        <v>1692</v>
      </c>
      <c r="C238" s="195" t="s">
        <v>506</v>
      </c>
      <c r="D238" s="195" t="s">
        <v>489</v>
      </c>
      <c r="E238" s="195" t="s">
        <v>230</v>
      </c>
      <c r="F238" s="195" t="s">
        <v>490</v>
      </c>
      <c r="G238" s="195" t="s">
        <v>230</v>
      </c>
      <c r="H238" s="195" t="s">
        <v>491</v>
      </c>
      <c r="I238" s="195" t="s">
        <v>897</v>
      </c>
      <c r="J238" s="195" t="s">
        <v>898</v>
      </c>
      <c r="K238" s="195" t="s">
        <v>899</v>
      </c>
      <c r="L238" s="222" t="s">
        <v>900</v>
      </c>
      <c r="M238" s="195" t="s">
        <v>901</v>
      </c>
      <c r="N238" s="195" t="s">
        <v>902</v>
      </c>
      <c r="O238" s="202">
        <v>97.909400000000005</v>
      </c>
      <c r="P238" s="202">
        <v>24.006319999999999</v>
      </c>
      <c r="Q238" s="215">
        <v>812.7</v>
      </c>
      <c r="R238" s="270">
        <v>40</v>
      </c>
      <c r="S238" s="270">
        <v>180</v>
      </c>
      <c r="T238" s="205">
        <f>IF(CampList[[#This Row],[HH]]&gt;0,CampList[[#This Row],[Total]]/CampList[[#This Row],[HH]],"NA")</f>
        <v>4.5</v>
      </c>
      <c r="U238" s="197" t="s">
        <v>464</v>
      </c>
      <c r="V238" s="197" t="s">
        <v>993</v>
      </c>
      <c r="W238" s="197" t="s">
        <v>1556</v>
      </c>
      <c r="X238" s="197" t="s">
        <v>742</v>
      </c>
      <c r="Y238" s="216">
        <v>41703</v>
      </c>
      <c r="Z238" s="207" t="s">
        <v>1311</v>
      </c>
      <c r="AA238" s="195" t="s">
        <v>774</v>
      </c>
      <c r="AB238" s="208">
        <v>43508</v>
      </c>
      <c r="AC238" s="209" t="s">
        <v>1816</v>
      </c>
      <c r="AD238" s="197" t="str">
        <f ca="1">IFERROR(OFFSET(DistanceToCamp[Nearest Town],MATCH(CampList[[#This Row],[CP_Pcode]],DistanceToCamp[CP_Pcode],0)-1,0,1,1),"")</f>
        <v>Muse Town</v>
      </c>
      <c r="AE238" s="210">
        <f ca="1">IFERROR(OFFSET(DistanceToCamp[distance],MATCH(CampList[[#This Row],[CP_Pcode]],DistanceToCamp[CP_Pcode],0)-1,0,1,1),"")</f>
        <v>1.989668595899414</v>
      </c>
      <c r="AF238" s="211">
        <f ca="1">IFERROR(INT(CampList[[#This Row],[Distance]]/5)+1,"")</f>
        <v>1</v>
      </c>
      <c r="AH238" s="588"/>
      <c r="AI238" s="588"/>
    </row>
    <row r="239" spans="2:35" s="183" customFormat="1" ht="15.75" customHeight="1" x14ac:dyDescent="0.3">
      <c r="B239" s="201" t="s">
        <v>1692</v>
      </c>
      <c r="C239" s="195" t="s">
        <v>506</v>
      </c>
      <c r="D239" s="195" t="s">
        <v>489</v>
      </c>
      <c r="E239" s="195" t="s">
        <v>230</v>
      </c>
      <c r="F239" s="195" t="s">
        <v>490</v>
      </c>
      <c r="G239" s="195" t="s">
        <v>288</v>
      </c>
      <c r="H239" s="195" t="s">
        <v>502</v>
      </c>
      <c r="I239" s="195" t="s">
        <v>691</v>
      </c>
      <c r="J239" s="195" t="s">
        <v>692</v>
      </c>
      <c r="K239" s="195" t="s">
        <v>691</v>
      </c>
      <c r="L239" s="195">
        <v>208353</v>
      </c>
      <c r="M239" s="195" t="s">
        <v>903</v>
      </c>
      <c r="N239" s="195" t="s">
        <v>904</v>
      </c>
      <c r="O239" s="202">
        <v>97.700940000000003</v>
      </c>
      <c r="P239" s="202">
        <v>23.841646999999998</v>
      </c>
      <c r="Q239" s="215">
        <v>798</v>
      </c>
      <c r="R239" s="270">
        <v>36</v>
      </c>
      <c r="S239" s="270">
        <v>193</v>
      </c>
      <c r="T239" s="205">
        <f>IF(CampList[[#This Row],[HH]]&gt;0,CampList[[#This Row],[Total]]/CampList[[#This Row],[HH]],"NA")</f>
        <v>5.3611111111111107</v>
      </c>
      <c r="U239" s="197" t="s">
        <v>464</v>
      </c>
      <c r="V239" s="197" t="s">
        <v>993</v>
      </c>
      <c r="W239" s="197" t="s">
        <v>507</v>
      </c>
      <c r="X239" s="197" t="s">
        <v>742</v>
      </c>
      <c r="Y239" s="216">
        <v>41947</v>
      </c>
      <c r="Z239" s="636" t="s">
        <v>1900</v>
      </c>
      <c r="AA239" s="195" t="s">
        <v>774</v>
      </c>
      <c r="AB239" s="208">
        <v>43593</v>
      </c>
      <c r="AC239" s="209" t="s">
        <v>2019</v>
      </c>
      <c r="AD239" s="197" t="str">
        <f ca="1">IFERROR(OFFSET(DistanceToCamp[Nearest Town],MATCH(CampList[[#This Row],[CP_Pcode]],DistanceToCamp[CP_Pcode],0)-1,0,1,1),"")</f>
        <v>Namhkan Town</v>
      </c>
      <c r="AE239" s="210">
        <f ca="1">IFERROR(OFFSET(DistanceToCamp[distance],MATCH(CampList[[#This Row],[CP_Pcode]],DistanceToCamp[CP_Pcode],0)-1,0,1,1),"")</f>
        <v>2.0141034419413328</v>
      </c>
      <c r="AF239" s="211">
        <f ca="1">IFERROR(INT(CampList[[#This Row],[Distance]]/5)+1,"")</f>
        <v>1</v>
      </c>
      <c r="AH239" s="588"/>
      <c r="AI239" s="588"/>
    </row>
    <row r="240" spans="2:35" s="183" customFormat="1" ht="15.75" customHeight="1" x14ac:dyDescent="0.3">
      <c r="B240" s="201" t="s">
        <v>1692</v>
      </c>
      <c r="C240" s="195" t="s">
        <v>506</v>
      </c>
      <c r="D240" s="195" t="s">
        <v>489</v>
      </c>
      <c r="E240" s="195" t="s">
        <v>230</v>
      </c>
      <c r="F240" s="195" t="s">
        <v>490</v>
      </c>
      <c r="G240" s="195" t="s">
        <v>288</v>
      </c>
      <c r="H240" s="195" t="s">
        <v>502</v>
      </c>
      <c r="I240" s="195" t="s">
        <v>906</v>
      </c>
      <c r="J240" s="195" t="s">
        <v>905</v>
      </c>
      <c r="K240" s="195" t="s">
        <v>907</v>
      </c>
      <c r="L240" s="222">
        <v>208338</v>
      </c>
      <c r="M240" s="195" t="s">
        <v>915</v>
      </c>
      <c r="N240" s="195" t="s">
        <v>908</v>
      </c>
      <c r="O240" s="202">
        <v>97.709879999999998</v>
      </c>
      <c r="P240" s="202">
        <v>23.838190000000001</v>
      </c>
      <c r="Q240" s="215">
        <v>829.8</v>
      </c>
      <c r="R240" s="270">
        <v>114</v>
      </c>
      <c r="S240" s="270">
        <v>545</v>
      </c>
      <c r="T240" s="205">
        <f>IF(CampList[[#This Row],[HH]]&gt;0,CampList[[#This Row],[Total]]/CampList[[#This Row],[HH]],"NA")</f>
        <v>4.7807017543859649</v>
      </c>
      <c r="U240" s="197" t="s">
        <v>464</v>
      </c>
      <c r="V240" s="197" t="s">
        <v>993</v>
      </c>
      <c r="W240" s="197" t="s">
        <v>507</v>
      </c>
      <c r="X240" s="197" t="s">
        <v>742</v>
      </c>
      <c r="Y240" s="216">
        <v>41747</v>
      </c>
      <c r="Z240" s="636" t="s">
        <v>1900</v>
      </c>
      <c r="AA240" s="195" t="s">
        <v>774</v>
      </c>
      <c r="AB240" s="208">
        <v>43593</v>
      </c>
      <c r="AC240" s="209" t="s">
        <v>2020</v>
      </c>
      <c r="AD240" s="197" t="str">
        <f ca="1">IFERROR(OFFSET(DistanceToCamp[Nearest Town],MATCH(CampList[[#This Row],[CP_Pcode]],DistanceToCamp[CP_Pcode],0)-1,0,1,1),"")</f>
        <v>Namhkan Town</v>
      </c>
      <c r="AE240" s="210">
        <f ca="1">IFERROR(OFFSET(DistanceToCamp[distance],MATCH(CampList[[#This Row],[CP_Pcode]],DistanceToCamp[CP_Pcode],0)-1,0,1,1),"")</f>
        <v>2.8590638493982405</v>
      </c>
      <c r="AF240" s="211">
        <f ca="1">IFERROR(INT(CampList[[#This Row],[Distance]]/5)+1,"")</f>
        <v>1</v>
      </c>
      <c r="AH240" s="588"/>
      <c r="AI240" s="588"/>
    </row>
    <row r="241" spans="2:35" s="183" customFormat="1" ht="15.75" customHeight="1" x14ac:dyDescent="0.3">
      <c r="B241" s="201" t="s">
        <v>1692</v>
      </c>
      <c r="C241" s="196" t="s">
        <v>506</v>
      </c>
      <c r="D241" s="196" t="s">
        <v>489</v>
      </c>
      <c r="E241" s="196" t="s">
        <v>230</v>
      </c>
      <c r="F241" s="196" t="s">
        <v>490</v>
      </c>
      <c r="G241" s="196" t="s">
        <v>230</v>
      </c>
      <c r="H241" s="196" t="s">
        <v>491</v>
      </c>
      <c r="I241" s="196" t="s">
        <v>897</v>
      </c>
      <c r="J241" s="214" t="s">
        <v>898</v>
      </c>
      <c r="K241" s="196" t="s">
        <v>899</v>
      </c>
      <c r="L241" s="196" t="s">
        <v>900</v>
      </c>
      <c r="M241" s="196" t="s">
        <v>911</v>
      </c>
      <c r="N241" s="196" t="s">
        <v>912</v>
      </c>
      <c r="O241" s="204">
        <v>97.911647000000002</v>
      </c>
      <c r="P241" s="204">
        <v>24.006789000000001</v>
      </c>
      <c r="Q241" s="215">
        <v>814</v>
      </c>
      <c r="R241" s="204">
        <v>17</v>
      </c>
      <c r="S241" s="215">
        <v>80</v>
      </c>
      <c r="T241" s="205">
        <f>IF(CampList[[#This Row],[HH]]&gt;0,CampList[[#This Row],[Total]]/CampList[[#This Row],[HH]],"NA")</f>
        <v>4.7058823529411766</v>
      </c>
      <c r="U241" s="181" t="s">
        <v>464</v>
      </c>
      <c r="V241" s="197" t="s">
        <v>993</v>
      </c>
      <c r="W241" s="181" t="s">
        <v>507</v>
      </c>
      <c r="X241" s="181" t="s">
        <v>742</v>
      </c>
      <c r="Y241" s="216">
        <v>41734</v>
      </c>
      <c r="Z241" s="215" t="s">
        <v>1046</v>
      </c>
      <c r="AA241" s="196" t="s">
        <v>774</v>
      </c>
      <c r="AB241" s="208">
        <v>43593</v>
      </c>
      <c r="AC241" s="217" t="s">
        <v>2037</v>
      </c>
      <c r="AD241" s="218" t="str">
        <f ca="1">IFERROR(OFFSET(DistanceToCamp[Nearest Town],MATCH(CampList[[#This Row],[CP_Pcode]],DistanceToCamp[CP_Pcode],0)-1,0,1,1),"")</f>
        <v>Muse Town</v>
      </c>
      <c r="AE241" s="210">
        <f ca="1">IFERROR(OFFSET(DistanceToCamp[distance],MATCH(CampList[[#This Row],[CP_Pcode]],DistanceToCamp[CP_Pcode],0)-1,0,1,1),"")</f>
        <v>2.1362355825722199</v>
      </c>
      <c r="AF241" s="219">
        <f ca="1">IFERROR(INT(CampList[[#This Row],[Distance]]/5)+1,"")</f>
        <v>1</v>
      </c>
      <c r="AH241" s="588"/>
      <c r="AI241" s="588"/>
    </row>
    <row r="242" spans="2:35" s="183" customFormat="1" ht="15.75" hidden="1" customHeight="1" x14ac:dyDescent="0.3">
      <c r="B242" s="201" t="s">
        <v>775</v>
      </c>
      <c r="C242" s="195" t="s">
        <v>506</v>
      </c>
      <c r="D242" s="195" t="s">
        <v>489</v>
      </c>
      <c r="E242" s="195" t="s">
        <v>230</v>
      </c>
      <c r="F242" s="195" t="s">
        <v>490</v>
      </c>
      <c r="G242" s="195" t="s">
        <v>288</v>
      </c>
      <c r="H242" s="195" t="s">
        <v>502</v>
      </c>
      <c r="I242" s="195" t="s">
        <v>691</v>
      </c>
      <c r="J242" s="195" t="s">
        <v>692</v>
      </c>
      <c r="K242" s="195" t="s">
        <v>691</v>
      </c>
      <c r="L242" s="195">
        <v>208353</v>
      </c>
      <c r="M242" s="195" t="s">
        <v>293</v>
      </c>
      <c r="N242" s="195" t="s">
        <v>292</v>
      </c>
      <c r="O242" s="202"/>
      <c r="P242" s="202"/>
      <c r="Q242" s="215"/>
      <c r="R242" s="280"/>
      <c r="S242" s="281"/>
      <c r="T242" s="205" t="str">
        <f>IF(CampList[[#This Row],[HH]]&gt;0,CampList[[#This Row],[Total]]/CampList[[#This Row],[HH]],"NA")</f>
        <v>NA</v>
      </c>
      <c r="U242" s="197" t="s">
        <v>466</v>
      </c>
      <c r="V242" s="197" t="s">
        <v>993</v>
      </c>
      <c r="W242" s="197" t="s">
        <v>507</v>
      </c>
      <c r="X242" s="197"/>
      <c r="Y242" s="216"/>
      <c r="Z242" s="207"/>
      <c r="AA242" s="221" t="s">
        <v>774</v>
      </c>
      <c r="AB242" s="208">
        <v>41701</v>
      </c>
      <c r="AC242" s="201" t="s">
        <v>868</v>
      </c>
      <c r="AD242" s="197" t="str">
        <f ca="1">IFERROR(OFFSET(DistanceToCamp[Nearest Town],MATCH(CampList[[#This Row],[CP_Pcode]],DistanceToCamp[CP_Pcode],0)-1,0,1,1),"")</f>
        <v/>
      </c>
      <c r="AE242" s="210" t="str">
        <f ca="1">IFERROR(OFFSET(DistanceToCamp[distance],MATCH(CampList[[#This Row],[CP_Pcode]],DistanceToCamp[CP_Pcode],0)-1,0,1,1),"")</f>
        <v/>
      </c>
      <c r="AF242" s="211" t="str">
        <f ca="1">IFERROR(INT(CampList[[#This Row],[Distance]]/5)+1,"")</f>
        <v/>
      </c>
      <c r="AH242" s="588"/>
      <c r="AI242" s="588"/>
    </row>
    <row r="243" spans="2:35" s="183" customFormat="1" ht="15.75" customHeight="1" x14ac:dyDescent="0.3">
      <c r="B243" s="201" t="s">
        <v>1692</v>
      </c>
      <c r="C243" s="196" t="s">
        <v>506</v>
      </c>
      <c r="D243" s="196" t="s">
        <v>489</v>
      </c>
      <c r="E243" s="196" t="s">
        <v>230</v>
      </c>
      <c r="F243" s="196" t="s">
        <v>490</v>
      </c>
      <c r="G243" s="196" t="s">
        <v>146</v>
      </c>
      <c r="H243" s="196" t="s">
        <v>497</v>
      </c>
      <c r="I243" s="196" t="s">
        <v>725</v>
      </c>
      <c r="J243" s="214" t="s">
        <v>726</v>
      </c>
      <c r="K243" s="196" t="s">
        <v>727</v>
      </c>
      <c r="L243" s="196">
        <v>219842</v>
      </c>
      <c r="M243" s="196" t="s">
        <v>941</v>
      </c>
      <c r="N243" s="196" t="s">
        <v>940</v>
      </c>
      <c r="O243" s="204">
        <v>98.248999999999995</v>
      </c>
      <c r="P243" s="204">
        <v>23.463000000000001</v>
      </c>
      <c r="Q243" s="215"/>
      <c r="R243" s="204">
        <v>19</v>
      </c>
      <c r="S243" s="215">
        <v>89</v>
      </c>
      <c r="T243" s="205">
        <f>IF(CampList[[#This Row],[HH]]&gt;0,CampList[[#This Row],[Total]]/CampList[[#This Row],[HH]],"NA")</f>
        <v>4.6842105263157894</v>
      </c>
      <c r="U243" s="181" t="s">
        <v>464</v>
      </c>
      <c r="V243" s="197" t="s">
        <v>993</v>
      </c>
      <c r="W243" s="181" t="s">
        <v>507</v>
      </c>
      <c r="X243" s="181" t="s">
        <v>784</v>
      </c>
      <c r="Y243" s="216">
        <v>40787</v>
      </c>
      <c r="Z243" s="215" t="s">
        <v>1046</v>
      </c>
      <c r="AA243" s="196" t="s">
        <v>774</v>
      </c>
      <c r="AB243" s="208">
        <v>43593</v>
      </c>
      <c r="AC243" s="217" t="s">
        <v>2038</v>
      </c>
      <c r="AD243" s="197"/>
      <c r="AE243" s="210" t="str">
        <f ca="1">IFERROR(OFFSET(DistanceToCamp[distance],MATCH(CampList[[#This Row],[CP_Pcode]],DistanceToCamp[CP_Pcode],0)-1,0,1,1),"")</f>
        <v/>
      </c>
      <c r="AF243" s="219" t="str">
        <f ca="1">IFERROR(INT(CampList[[#This Row],[Distance]]/5)+1,"")</f>
        <v/>
      </c>
      <c r="AH243" s="588"/>
      <c r="AI243" s="588"/>
    </row>
    <row r="244" spans="2:35" s="183" customFormat="1" ht="15.75" customHeight="1" x14ac:dyDescent="0.3">
      <c r="B244" s="201" t="s">
        <v>1692</v>
      </c>
      <c r="C244" s="195" t="s">
        <v>506</v>
      </c>
      <c r="D244" s="195" t="s">
        <v>489</v>
      </c>
      <c r="E244" s="195" t="s">
        <v>717</v>
      </c>
      <c r="F244" s="195" t="s">
        <v>718</v>
      </c>
      <c r="G244" s="195" t="s">
        <v>719</v>
      </c>
      <c r="H244" s="195" t="s">
        <v>720</v>
      </c>
      <c r="I244" s="195" t="s">
        <v>1058</v>
      </c>
      <c r="J244" s="195" t="s">
        <v>1059</v>
      </c>
      <c r="K244" s="195" t="s">
        <v>1058</v>
      </c>
      <c r="L244" s="195">
        <v>206352</v>
      </c>
      <c r="M244" s="195" t="s">
        <v>1058</v>
      </c>
      <c r="N244" s="195" t="s">
        <v>1042</v>
      </c>
      <c r="O244" s="231">
        <v>98.218626999999998</v>
      </c>
      <c r="P244" s="231">
        <v>23.354268999999999</v>
      </c>
      <c r="Q244" s="215"/>
      <c r="R244" s="270">
        <v>35</v>
      </c>
      <c r="S244" s="270">
        <v>183</v>
      </c>
      <c r="T244" s="205">
        <f>IF(CampList[[#This Row],[HH]]&gt;0,CampList[[#This Row],[Total]]/CampList[[#This Row],[HH]],"NA")</f>
        <v>5.2285714285714286</v>
      </c>
      <c r="U244" s="197" t="s">
        <v>464</v>
      </c>
      <c r="V244" s="197" t="s">
        <v>993</v>
      </c>
      <c r="W244" s="197" t="s">
        <v>507</v>
      </c>
      <c r="X244" s="197" t="s">
        <v>784</v>
      </c>
      <c r="Y244" s="216">
        <v>42036</v>
      </c>
      <c r="Z244" s="636" t="s">
        <v>1900</v>
      </c>
      <c r="AA244" s="195" t="s">
        <v>774</v>
      </c>
      <c r="AB244" s="208">
        <v>43593</v>
      </c>
      <c r="AC244" s="209" t="s">
        <v>2021</v>
      </c>
      <c r="AD244" s="197"/>
      <c r="AE244" s="210" t="str">
        <f ca="1">IFERROR(OFFSET(DistanceToCamp[distance],MATCH(CampList[[#This Row],[CP_Pcode]],DistanceToCamp[CP_Pcode],0)-1,0,1,1),"")</f>
        <v/>
      </c>
      <c r="AF244" s="211" t="str">
        <f ca="1">IFERROR(INT(CampList[[#This Row],[Distance]]/5)+1,"")</f>
        <v/>
      </c>
      <c r="AH244" s="588"/>
      <c r="AI244" s="588"/>
    </row>
    <row r="245" spans="2:35" s="183" customFormat="1" ht="15.75" hidden="1" customHeight="1" x14ac:dyDescent="0.3">
      <c r="B245" s="201" t="s">
        <v>775</v>
      </c>
      <c r="C245" s="195" t="s">
        <v>506</v>
      </c>
      <c r="D245" s="195" t="s">
        <v>489</v>
      </c>
      <c r="E245" s="195" t="s">
        <v>230</v>
      </c>
      <c r="F245" s="195" t="s">
        <v>490</v>
      </c>
      <c r="G245" s="195" t="s">
        <v>230</v>
      </c>
      <c r="H245" s="195" t="s">
        <v>491</v>
      </c>
      <c r="I245" s="195" t="s">
        <v>235</v>
      </c>
      <c r="J245" s="195" t="s">
        <v>960</v>
      </c>
      <c r="K245" s="195" t="s">
        <v>235</v>
      </c>
      <c r="L245" s="195"/>
      <c r="M245" s="195" t="s">
        <v>235</v>
      </c>
      <c r="N245" s="195" t="s">
        <v>234</v>
      </c>
      <c r="O245" s="202">
        <v>98.054946000000001</v>
      </c>
      <c r="P245" s="202">
        <v>24.008452999999999</v>
      </c>
      <c r="Q245" s="215">
        <v>3396</v>
      </c>
      <c r="R245" s="180"/>
      <c r="S245" s="288"/>
      <c r="T245" s="205" t="str">
        <f>IF(CampList[[#This Row],[HH]]&gt;0,CampList[[#This Row],[Total]]/CampList[[#This Row],[HH]],"NA")</f>
        <v>NA</v>
      </c>
      <c r="U245" s="197" t="s">
        <v>466</v>
      </c>
      <c r="V245" s="197" t="s">
        <v>993</v>
      </c>
      <c r="W245" s="197" t="s">
        <v>12</v>
      </c>
      <c r="X245" s="197" t="s">
        <v>784</v>
      </c>
      <c r="Y245" s="216"/>
      <c r="Z245" s="207"/>
      <c r="AA245" s="195" t="s">
        <v>522</v>
      </c>
      <c r="AB245" s="208">
        <v>42831</v>
      </c>
      <c r="AC245" s="201" t="s">
        <v>1226</v>
      </c>
      <c r="AD245" s="197" t="str">
        <f ca="1">IFERROR(OFFSET(DistanceToCamp[Nearest Town],MATCH(CampList[[#This Row],[CP_Pcode]],DistanceToCamp[CP_Pcode],0)-1,0,1,1),"")</f>
        <v>Pang Hseng (Kyu Koke) Town</v>
      </c>
      <c r="AE245" s="210">
        <f ca="1">IFERROR(OFFSET(DistanceToCamp[distance],MATCH(CampList[[#This Row],[CP_Pcode]],DistanceToCamp[CP_Pcode],0)-1,0,1,1),"")</f>
        <v>7.490291417449443</v>
      </c>
      <c r="AF245" s="211">
        <f ca="1">IFERROR(INT(CampList[[#This Row],[Distance]]/5)+1,"")</f>
        <v>2</v>
      </c>
      <c r="AH245" s="588"/>
      <c r="AI245" s="588"/>
    </row>
    <row r="246" spans="2:35" s="183" customFormat="1" ht="15.75" customHeight="1" x14ac:dyDescent="0.3">
      <c r="B246" s="201" t="s">
        <v>1692</v>
      </c>
      <c r="C246" s="195" t="s">
        <v>506</v>
      </c>
      <c r="D246" s="195" t="s">
        <v>489</v>
      </c>
      <c r="E246" s="195" t="s">
        <v>494</v>
      </c>
      <c r="F246" s="195" t="s">
        <v>495</v>
      </c>
      <c r="G246" s="195" t="s">
        <v>297</v>
      </c>
      <c r="H246" s="195" t="s">
        <v>503</v>
      </c>
      <c r="I246" s="195" t="s">
        <v>907</v>
      </c>
      <c r="J246" s="214" t="s">
        <v>1136</v>
      </c>
      <c r="K246" s="195" t="s">
        <v>1137</v>
      </c>
      <c r="L246" s="214">
        <v>210455</v>
      </c>
      <c r="M246" s="195" t="s">
        <v>1135</v>
      </c>
      <c r="N246" s="196" t="s">
        <v>1120</v>
      </c>
      <c r="O246" s="202">
        <v>97.358999999999995</v>
      </c>
      <c r="P246" s="202">
        <v>22.765999999999998</v>
      </c>
      <c r="Q246" s="215"/>
      <c r="R246" s="306">
        <v>6</v>
      </c>
      <c r="S246" s="307">
        <v>27</v>
      </c>
      <c r="T246" s="205">
        <f>IF(CampList[[#This Row],[HH]]&gt;0,CampList[[#This Row],[Total]]/CampList[[#This Row],[HH]],"NA")</f>
        <v>4.5</v>
      </c>
      <c r="U246" s="181" t="s">
        <v>464</v>
      </c>
      <c r="V246" s="197" t="s">
        <v>993</v>
      </c>
      <c r="W246" s="181" t="s">
        <v>1556</v>
      </c>
      <c r="X246" s="197" t="s">
        <v>784</v>
      </c>
      <c r="Y246" s="682">
        <v>42370</v>
      </c>
      <c r="Z246" s="636" t="s">
        <v>1311</v>
      </c>
      <c r="AA246" s="196" t="s">
        <v>774</v>
      </c>
      <c r="AB246" s="208">
        <v>43532</v>
      </c>
      <c r="AC246" s="201" t="s">
        <v>1904</v>
      </c>
      <c r="AD246" s="197" t="str">
        <f ca="1">IFERROR(OFFSET(DistanceToCamp[Nearest Town],MATCH(CampList[[#This Row],[CP_Pcode]],DistanceToCamp[CP_Pcode],0)-1,0,1,1),"")</f>
        <v/>
      </c>
      <c r="AE246" s="210" t="str">
        <f ca="1">IFERROR(OFFSET(DistanceToCamp[distance],MATCH(CampList[[#This Row],[CP_Pcode]],DistanceToCamp[CP_Pcode],0)-1,0,1,1),"")</f>
        <v/>
      </c>
      <c r="AF246" s="219" t="str">
        <f ca="1">IFERROR(INT(CampList[[#This Row],[Distance]]/5)+1,"")</f>
        <v/>
      </c>
      <c r="AH246" s="588"/>
      <c r="AI246" s="588"/>
    </row>
    <row r="247" spans="2:35" s="183" customFormat="1" ht="15.75" customHeight="1" x14ac:dyDescent="0.3">
      <c r="B247" s="201" t="s">
        <v>1692</v>
      </c>
      <c r="C247" s="195" t="s">
        <v>506</v>
      </c>
      <c r="D247" s="195" t="s">
        <v>489</v>
      </c>
      <c r="E247" s="195" t="s">
        <v>230</v>
      </c>
      <c r="F247" s="195" t="s">
        <v>490</v>
      </c>
      <c r="G247" s="195" t="s">
        <v>288</v>
      </c>
      <c r="H247" s="195" t="s">
        <v>502</v>
      </c>
      <c r="I247" s="195" t="s">
        <v>1139</v>
      </c>
      <c r="J247" s="214" t="s">
        <v>1140</v>
      </c>
      <c r="K247" s="195" t="s">
        <v>1139</v>
      </c>
      <c r="L247" s="214">
        <v>208469</v>
      </c>
      <c r="M247" s="195" t="s">
        <v>1128</v>
      </c>
      <c r="N247" s="196" t="s">
        <v>1123</v>
      </c>
      <c r="O247" s="202">
        <v>97.506</v>
      </c>
      <c r="P247" s="202">
        <v>23.611999999999998</v>
      </c>
      <c r="Q247" s="215"/>
      <c r="R247" s="306">
        <v>62</v>
      </c>
      <c r="S247" s="307">
        <v>328</v>
      </c>
      <c r="T247" s="205">
        <f>IF(CampList[[#This Row],[HH]]&gt;0,CampList[[#This Row],[Total]]/CampList[[#This Row],[HH]],"NA")</f>
        <v>5.290322580645161</v>
      </c>
      <c r="U247" s="181" t="s">
        <v>464</v>
      </c>
      <c r="V247" s="197" t="s">
        <v>993</v>
      </c>
      <c r="W247" s="197" t="s">
        <v>1376</v>
      </c>
      <c r="X247" s="197" t="s">
        <v>784</v>
      </c>
      <c r="Y247" s="216">
        <v>42430</v>
      </c>
      <c r="Z247" s="636" t="s">
        <v>1311</v>
      </c>
      <c r="AA247" s="196" t="s">
        <v>774</v>
      </c>
      <c r="AB247" s="208">
        <v>43312</v>
      </c>
      <c r="AC247" s="201" t="s">
        <v>1709</v>
      </c>
      <c r="AD247" s="197" t="str">
        <f ca="1">IFERROR(OFFSET(DistanceToCamp[Nearest Town],MATCH(CampList[[#This Row],[CP_Pcode]],DistanceToCamp[CP_Pcode],0)-1,0,1,1),"")</f>
        <v/>
      </c>
      <c r="AE247" s="210" t="str">
        <f ca="1">IFERROR(OFFSET(DistanceToCamp[distance],MATCH(CampList[[#This Row],[CP_Pcode]],DistanceToCamp[CP_Pcode],0)-1,0,1,1),"")</f>
        <v/>
      </c>
      <c r="AF247" s="219" t="str">
        <f ca="1">IFERROR(INT(CampList[[#This Row],[Distance]]/5)+1,"")</f>
        <v/>
      </c>
      <c r="AH247" s="588"/>
      <c r="AI247" s="588"/>
    </row>
    <row r="248" spans="2:35" s="183" customFormat="1" ht="15.75" customHeight="1" x14ac:dyDescent="0.3">
      <c r="B248" s="201" t="s">
        <v>1692</v>
      </c>
      <c r="C248" s="195" t="s">
        <v>506</v>
      </c>
      <c r="D248" s="195" t="s">
        <v>489</v>
      </c>
      <c r="E248" s="195" t="s">
        <v>230</v>
      </c>
      <c r="F248" s="195" t="s">
        <v>490</v>
      </c>
      <c r="G248" s="195" t="s">
        <v>146</v>
      </c>
      <c r="H248" s="195" t="s">
        <v>497</v>
      </c>
      <c r="I248" s="222" t="s">
        <v>663</v>
      </c>
      <c r="J248" s="195" t="s">
        <v>1039</v>
      </c>
      <c r="K248" s="222" t="s">
        <v>1115</v>
      </c>
      <c r="L248" s="233"/>
      <c r="M248" s="195" t="s">
        <v>1555</v>
      </c>
      <c r="N248" s="196" t="s">
        <v>1124</v>
      </c>
      <c r="O248" s="202">
        <v>97.810101000000003</v>
      </c>
      <c r="P248" s="202">
        <v>23.682887999999998</v>
      </c>
      <c r="Q248" s="215"/>
      <c r="R248" s="306">
        <v>36</v>
      </c>
      <c r="S248" s="307">
        <v>120</v>
      </c>
      <c r="T248" s="205">
        <f>IF(CampList[[#This Row],[HH]]&gt;0,CampList[[#This Row],[Total]]/CampList[[#This Row],[HH]],"NA")</f>
        <v>3.3333333333333335</v>
      </c>
      <c r="U248" s="181" t="s">
        <v>464</v>
      </c>
      <c r="V248" s="197" t="s">
        <v>993</v>
      </c>
      <c r="W248" s="197" t="s">
        <v>507</v>
      </c>
      <c r="X248" s="197" t="s">
        <v>742</v>
      </c>
      <c r="Y248" s="216">
        <v>42401</v>
      </c>
      <c r="Z248" s="207" t="s">
        <v>1046</v>
      </c>
      <c r="AA248" s="196" t="s">
        <v>774</v>
      </c>
      <c r="AB248" s="208">
        <v>43593</v>
      </c>
      <c r="AC248" s="201" t="s">
        <v>2039</v>
      </c>
      <c r="AD248" s="197" t="str">
        <f ca="1">IFERROR(OFFSET(DistanceToCamp[Nearest Town],MATCH(CampList[[#This Row],[CP_Pcode]],DistanceToCamp[CP_Pcode],0)-1,0,1,1),"")</f>
        <v/>
      </c>
      <c r="AE248" s="210" t="str">
        <f ca="1">IFERROR(OFFSET(DistanceToCamp[distance],MATCH(CampList[[#This Row],[CP_Pcode]],DistanceToCamp[CP_Pcode],0)-1,0,1,1),"")</f>
        <v/>
      </c>
      <c r="AF248" s="219" t="str">
        <f ca="1">IFERROR(INT(CampList[[#This Row],[Distance]]/5)+1,"")</f>
        <v/>
      </c>
      <c r="AH248" s="588"/>
      <c r="AI248" s="588"/>
    </row>
    <row r="249" spans="2:35" s="183" customFormat="1" ht="15.75" hidden="1" customHeight="1" x14ac:dyDescent="0.3">
      <c r="B249" s="201" t="s">
        <v>775</v>
      </c>
      <c r="C249" s="195" t="s">
        <v>506</v>
      </c>
      <c r="D249" s="195" t="s">
        <v>489</v>
      </c>
      <c r="E249" s="195" t="s">
        <v>230</v>
      </c>
      <c r="F249" s="195" t="s">
        <v>495</v>
      </c>
      <c r="G249" s="195" t="s">
        <v>230</v>
      </c>
      <c r="H249" s="195" t="s">
        <v>496</v>
      </c>
      <c r="I249" s="195" t="s">
        <v>919</v>
      </c>
      <c r="J249" s="195" t="s">
        <v>920</v>
      </c>
      <c r="K249" s="195" t="s">
        <v>921</v>
      </c>
      <c r="L249" s="195"/>
      <c r="M249" s="195" t="s">
        <v>169</v>
      </c>
      <c r="N249" s="195" t="s">
        <v>168</v>
      </c>
      <c r="O249" s="202">
        <v>98.116817999999995</v>
      </c>
      <c r="P249" s="202">
        <v>23.917631</v>
      </c>
      <c r="Q249" s="215"/>
      <c r="R249" s="280"/>
      <c r="S249" s="281"/>
      <c r="T249" s="205" t="str">
        <f>IF(CampList[[#This Row],[HH]]&gt;0,CampList[[#This Row],[Total]]/CampList[[#This Row],[HH]],"NA")</f>
        <v>NA</v>
      </c>
      <c r="U249" s="197" t="s">
        <v>464</v>
      </c>
      <c r="V249" s="197" t="s">
        <v>993</v>
      </c>
      <c r="W249" s="197" t="s">
        <v>12</v>
      </c>
      <c r="X249" s="197" t="s">
        <v>784</v>
      </c>
      <c r="Y249" s="216"/>
      <c r="Z249" s="207"/>
      <c r="AA249" s="221" t="s">
        <v>774</v>
      </c>
      <c r="AB249" s="208">
        <v>42831</v>
      </c>
      <c r="AC249" s="201" t="s">
        <v>1225</v>
      </c>
      <c r="AD249" s="197" t="str">
        <f ca="1">IFERROR(OFFSET(DistanceToCamp[Nearest Town],MATCH(CampList[[#This Row],[CP_Pcode]],DistanceToCamp[CP_Pcode],0)-1,0,1,1),"")</f>
        <v>Pang Hseng (Kyu Koke) Town</v>
      </c>
      <c r="AE249" s="210">
        <f ca="1">IFERROR(OFFSET(DistanceToCamp[distance],MATCH(CampList[[#This Row],[CP_Pcode]],DistanceToCamp[CP_Pcode],0)-1,0,1,1),"")</f>
        <v>18.405283544772924</v>
      </c>
      <c r="AF249" s="211">
        <f ca="1">IFERROR(INT(CampList[[#This Row],[Distance]]/5)+1,"")</f>
        <v>4</v>
      </c>
      <c r="AH249" s="588"/>
      <c r="AI249" s="588"/>
    </row>
    <row r="250" spans="2:35" s="183" customFormat="1" ht="15.75" hidden="1" customHeight="1" x14ac:dyDescent="0.3">
      <c r="B250" s="201" t="s">
        <v>775</v>
      </c>
      <c r="C250" s="195" t="s">
        <v>506</v>
      </c>
      <c r="D250" s="195" t="s">
        <v>489</v>
      </c>
      <c r="E250" s="195" t="s">
        <v>230</v>
      </c>
      <c r="F250" s="195" t="s">
        <v>495</v>
      </c>
      <c r="G250" s="195" t="s">
        <v>230</v>
      </c>
      <c r="H250" s="195" t="s">
        <v>496</v>
      </c>
      <c r="I250" s="195" t="s">
        <v>916</v>
      </c>
      <c r="J250" s="195" t="s">
        <v>917</v>
      </c>
      <c r="K250" s="195" t="s">
        <v>918</v>
      </c>
      <c r="L250" s="195">
        <v>208167</v>
      </c>
      <c r="M250" s="195" t="s">
        <v>171</v>
      </c>
      <c r="N250" s="195" t="s">
        <v>170</v>
      </c>
      <c r="O250" s="202">
        <v>98.129380999999995</v>
      </c>
      <c r="P250" s="202">
        <v>23.978088</v>
      </c>
      <c r="Q250" s="215"/>
      <c r="R250" s="280"/>
      <c r="S250" s="281"/>
      <c r="T250" s="205" t="str">
        <f>IF(CampList[[#This Row],[HH]]&gt;0,CampList[[#This Row],[Total]]/CampList[[#This Row],[HH]],"NA")</f>
        <v>NA</v>
      </c>
      <c r="U250" s="197" t="s">
        <v>464</v>
      </c>
      <c r="V250" s="197" t="s">
        <v>993</v>
      </c>
      <c r="W250" s="197" t="s">
        <v>12</v>
      </c>
      <c r="X250" s="197" t="s">
        <v>784</v>
      </c>
      <c r="Y250" s="216"/>
      <c r="Z250" s="207"/>
      <c r="AA250" s="221" t="s">
        <v>774</v>
      </c>
      <c r="AB250" s="208">
        <v>42831</v>
      </c>
      <c r="AC250" s="201" t="s">
        <v>1225</v>
      </c>
      <c r="AD250" s="197" t="str">
        <f ca="1">IFERROR(OFFSET(DistanceToCamp[Nearest Town],MATCH(CampList[[#This Row],[CP_Pcode]],DistanceToCamp[CP_Pcode],0)-1,0,1,1),"")</f>
        <v>Pang Hseng (Kyu Koke) Town</v>
      </c>
      <c r="AE250" s="210">
        <f ca="1">IFERROR(OFFSET(DistanceToCamp[distance],MATCH(CampList[[#This Row],[CP_Pcode]],DistanceToCamp[CP_Pcode],0)-1,0,1,1),"")</f>
        <v>12.794700705104317</v>
      </c>
      <c r="AF250" s="211">
        <f ca="1">IFERROR(INT(CampList[[#This Row],[Distance]]/5)+1,"")</f>
        <v>3</v>
      </c>
      <c r="AH250" s="588"/>
      <c r="AI250" s="588"/>
    </row>
    <row r="251" spans="2:35" s="183" customFormat="1" ht="15.75" hidden="1" customHeight="1" x14ac:dyDescent="0.3">
      <c r="B251" s="201" t="s">
        <v>775</v>
      </c>
      <c r="C251" s="195" t="s">
        <v>506</v>
      </c>
      <c r="D251" s="195" t="s">
        <v>489</v>
      </c>
      <c r="E251" s="195" t="s">
        <v>230</v>
      </c>
      <c r="F251" s="195" t="s">
        <v>490</v>
      </c>
      <c r="G251" s="195" t="s">
        <v>230</v>
      </c>
      <c r="H251" s="195" t="s">
        <v>491</v>
      </c>
      <c r="I251" s="222" t="s">
        <v>753</v>
      </c>
      <c r="J251" s="195" t="s">
        <v>1040</v>
      </c>
      <c r="K251" s="222" t="s">
        <v>754</v>
      </c>
      <c r="L251" s="222"/>
      <c r="M251" s="195" t="s">
        <v>233</v>
      </c>
      <c r="N251" s="195" t="s">
        <v>232</v>
      </c>
      <c r="O251" s="202">
        <v>98.320651999999995</v>
      </c>
      <c r="P251" s="202">
        <v>24.101320999999999</v>
      </c>
      <c r="Q251" s="203">
        <v>2979</v>
      </c>
      <c r="R251" s="280"/>
      <c r="S251" s="281"/>
      <c r="T251" s="205" t="str">
        <f>IF(CampList[[#This Row],[HH]]&gt;0,CampList[[#This Row],[Total]]/CampList[[#This Row],[HH]],"NA")</f>
        <v>NA</v>
      </c>
      <c r="U251" s="197" t="s">
        <v>466</v>
      </c>
      <c r="V251" s="197" t="s">
        <v>993</v>
      </c>
      <c r="W251" s="197" t="s">
        <v>507</v>
      </c>
      <c r="X251" s="197" t="s">
        <v>742</v>
      </c>
      <c r="Y251" s="636">
        <v>41091</v>
      </c>
      <c r="Z251" s="636" t="s">
        <v>424</v>
      </c>
      <c r="AA251" s="221" t="s">
        <v>774</v>
      </c>
      <c r="AB251" s="208">
        <v>42536</v>
      </c>
      <c r="AC251" s="201" t="s">
        <v>1113</v>
      </c>
      <c r="AD251" s="197" t="str">
        <f ca="1">IFERROR(OFFSET(DistanceToCamp[Nearest Town],MATCH(CampList[[#This Row],[CP_Pcode]],DistanceToCamp[CP_Pcode],0)-1,0,1,1),"")</f>
        <v>Monekoe Town</v>
      </c>
      <c r="AE251" s="210">
        <f ca="1">IFERROR(OFFSET(DistanceToCamp[distance],MATCH(CampList[[#This Row],[CP_Pcode]],DistanceToCamp[CP_Pcode],0)-1,0,1,1),"")</f>
        <v>1.789574394782699</v>
      </c>
      <c r="AF251" s="211">
        <f ca="1">IFERROR(INT(CampList[[#This Row],[Distance]]/5)+1,"")</f>
        <v>1</v>
      </c>
      <c r="AH251" s="588"/>
      <c r="AI251" s="588"/>
    </row>
    <row r="252" spans="2:35" s="183" customFormat="1" ht="13.95" customHeight="1" x14ac:dyDescent="0.3">
      <c r="B252" s="201" t="s">
        <v>1692</v>
      </c>
      <c r="C252" s="195" t="s">
        <v>506</v>
      </c>
      <c r="D252" s="195" t="s">
        <v>489</v>
      </c>
      <c r="E252" s="195" t="s">
        <v>230</v>
      </c>
      <c r="F252" s="195" t="s">
        <v>490</v>
      </c>
      <c r="G252" s="195" t="s">
        <v>146</v>
      </c>
      <c r="H252" s="195" t="s">
        <v>497</v>
      </c>
      <c r="I252" s="195" t="s">
        <v>1145</v>
      </c>
      <c r="J252" s="214"/>
      <c r="K252" s="195" t="s">
        <v>1146</v>
      </c>
      <c r="L252" s="195"/>
      <c r="M252" s="195" t="s">
        <v>1144</v>
      </c>
      <c r="N252" s="196" t="s">
        <v>1126</v>
      </c>
      <c r="O252" s="202">
        <v>98.337999999999994</v>
      </c>
      <c r="P252" s="202">
        <v>23.850999999999999</v>
      </c>
      <c r="Q252" s="215"/>
      <c r="R252" s="306">
        <v>30</v>
      </c>
      <c r="S252" s="307">
        <v>170</v>
      </c>
      <c r="T252" s="205">
        <f>IF(CampList[[#This Row],[HH]]&gt;0,CampList[[#This Row],[Total]]/CampList[[#This Row],[HH]],"NA")</f>
        <v>5.666666666666667</v>
      </c>
      <c r="U252" s="181" t="s">
        <v>464</v>
      </c>
      <c r="V252" s="197" t="s">
        <v>993</v>
      </c>
      <c r="W252" s="197" t="s">
        <v>1376</v>
      </c>
      <c r="X252" s="197" t="s">
        <v>784</v>
      </c>
      <c r="Y252" s="216">
        <v>42401</v>
      </c>
      <c r="Z252" s="206" t="s">
        <v>1311</v>
      </c>
      <c r="AA252" s="196" t="s">
        <v>774</v>
      </c>
      <c r="AB252" s="208">
        <v>43256</v>
      </c>
      <c r="AC252" s="201" t="s">
        <v>1672</v>
      </c>
      <c r="AD252" s="197" t="str">
        <f ca="1">IFERROR(OFFSET(DistanceToCamp[Nearest Town],MATCH(CampList[[#This Row],[CP_Pcode]],DistanceToCamp[CP_Pcode],0)-1,0,1,1),"")</f>
        <v/>
      </c>
      <c r="AE252" s="210" t="str">
        <f ca="1">IFERROR(OFFSET(DistanceToCamp[distance],MATCH(CampList[[#This Row],[CP_Pcode]],DistanceToCamp[CP_Pcode],0)-1,0,1,1),"")</f>
        <v/>
      </c>
      <c r="AF252" s="219" t="str">
        <f ca="1">IFERROR(INT(CampList[[#This Row],[Distance]]/5)+1,"")</f>
        <v/>
      </c>
      <c r="AH252" s="588"/>
      <c r="AI252" s="588"/>
    </row>
    <row r="253" spans="2:35" s="183" customFormat="1" ht="13.95" hidden="1" customHeight="1" x14ac:dyDescent="0.3">
      <c r="B253" s="201" t="s">
        <v>775</v>
      </c>
      <c r="C253" s="195" t="s">
        <v>506</v>
      </c>
      <c r="D253" s="195" t="s">
        <v>489</v>
      </c>
      <c r="E253" s="195" t="s">
        <v>230</v>
      </c>
      <c r="F253" s="195" t="s">
        <v>490</v>
      </c>
      <c r="G253" s="195" t="s">
        <v>146</v>
      </c>
      <c r="H253" s="195" t="s">
        <v>497</v>
      </c>
      <c r="I253" s="222" t="s">
        <v>706</v>
      </c>
      <c r="J253" s="195" t="s">
        <v>707</v>
      </c>
      <c r="K253" s="222" t="s">
        <v>708</v>
      </c>
      <c r="L253" s="222">
        <v>208557</v>
      </c>
      <c r="M253" s="195" t="s">
        <v>370</v>
      </c>
      <c r="N253" s="195" t="s">
        <v>380</v>
      </c>
      <c r="O253" s="202">
        <v>97.848529999999997</v>
      </c>
      <c r="P253" s="202">
        <v>23.4008</v>
      </c>
      <c r="Q253" s="203">
        <v>0</v>
      </c>
      <c r="R253" s="181"/>
      <c r="S253" s="181"/>
      <c r="T253" s="205" t="str">
        <f>IF(CampList[[#This Row],[HH]]&gt;0,CampList[[#This Row],[Total]]/CampList[[#This Row],[HH]],"NA")</f>
        <v>NA</v>
      </c>
      <c r="U253" s="197" t="s">
        <v>464</v>
      </c>
      <c r="V253" s="197" t="s">
        <v>993</v>
      </c>
      <c r="W253" s="197" t="s">
        <v>507</v>
      </c>
      <c r="X253" s="197" t="s">
        <v>784</v>
      </c>
      <c r="Y253" s="636">
        <v>41275</v>
      </c>
      <c r="Z253" s="636" t="s">
        <v>424</v>
      </c>
      <c r="AA253" s="221" t="s">
        <v>774</v>
      </c>
      <c r="AB253" s="208">
        <v>42852</v>
      </c>
      <c r="AC253" s="201" t="s">
        <v>1234</v>
      </c>
      <c r="AD253" s="197" t="str">
        <f ca="1">IFERROR(OFFSET(DistanceToCamp[Nearest Town],MATCH(CampList[[#This Row],[CP_Pcode]],DistanceToCamp[CP_Pcode],0)-1,0,1,1),"")</f>
        <v>Kutkai Town</v>
      </c>
      <c r="AE253" s="210">
        <f ca="1">IFERROR(OFFSET(DistanceToCamp[distance],MATCH(CampList[[#This Row],[CP_Pcode]],DistanceToCamp[CP_Pcode],0)-1,0,1,1),"")</f>
        <v>11.65743881259678</v>
      </c>
      <c r="AF253" s="211">
        <f ca="1">IFERROR(INT(CampList[[#This Row],[Distance]]/5)+1,"")</f>
        <v>3</v>
      </c>
      <c r="AH253" s="588"/>
      <c r="AI253" s="588"/>
    </row>
    <row r="254" spans="2:35" s="183" customFormat="1" ht="13.95" customHeight="1" x14ac:dyDescent="0.3">
      <c r="B254" s="201" t="s">
        <v>1692</v>
      </c>
      <c r="C254" s="195" t="s">
        <v>506</v>
      </c>
      <c r="D254" s="195" t="s">
        <v>489</v>
      </c>
      <c r="E254" s="195" t="s">
        <v>494</v>
      </c>
      <c r="F254" s="195" t="s">
        <v>495</v>
      </c>
      <c r="G254" s="195" t="s">
        <v>297</v>
      </c>
      <c r="H254" s="195" t="s">
        <v>503</v>
      </c>
      <c r="I254" s="268" t="s">
        <v>755</v>
      </c>
      <c r="J254" s="269" t="s">
        <v>756</v>
      </c>
      <c r="K254" s="268" t="s">
        <v>757</v>
      </c>
      <c r="L254" s="268" t="s">
        <v>758</v>
      </c>
      <c r="M254" s="195" t="s">
        <v>1189</v>
      </c>
      <c r="N254" s="196" t="s">
        <v>1171</v>
      </c>
      <c r="O254" s="270"/>
      <c r="P254" s="270"/>
      <c r="Q254" s="271"/>
      <c r="R254" s="280">
        <v>28</v>
      </c>
      <c r="S254" s="288">
        <v>144</v>
      </c>
      <c r="T254" s="272">
        <f>IF(CampList[[#This Row],[HH]]&gt;0,CampList[[#This Row],[Total]]/CampList[[#This Row],[HH]],"NA")</f>
        <v>5.1428571428571432</v>
      </c>
      <c r="U254" s="181" t="s">
        <v>464</v>
      </c>
      <c r="V254" s="273" t="s">
        <v>993</v>
      </c>
      <c r="W254" s="181" t="s">
        <v>507</v>
      </c>
      <c r="X254" s="180" t="s">
        <v>742</v>
      </c>
      <c r="Y254" s="274"/>
      <c r="Z254" s="215" t="s">
        <v>1046</v>
      </c>
      <c r="AA254" s="268" t="s">
        <v>774</v>
      </c>
      <c r="AB254" s="208">
        <v>43593</v>
      </c>
      <c r="AC254" s="276" t="s">
        <v>2040</v>
      </c>
      <c r="AD254" s="277" t="str">
        <f ca="1">IFERROR(OFFSET(DistanceToCamp[Nearest Town],MATCH(CampList[[#This Row],[CP_Pcode]],DistanceToCamp[CP_Pcode],0)-1,0,1,1),"")</f>
        <v/>
      </c>
      <c r="AE254" s="278" t="str">
        <f ca="1">IFERROR(OFFSET(DistanceToCamp[distance],MATCH(CampList[[#This Row],[CP_Pcode]],DistanceToCamp[CP_Pcode],0)-1,0,1,1),"")</f>
        <v/>
      </c>
      <c r="AF254" s="279" t="str">
        <f ca="1">IFERROR(INT(CampList[[#This Row],[Distance]]/5)+1,"")</f>
        <v/>
      </c>
      <c r="AH254" s="588"/>
      <c r="AI254" s="588"/>
    </row>
    <row r="255" spans="2:35" ht="13.95" customHeight="1" x14ac:dyDescent="0.3">
      <c r="B255" s="201" t="s">
        <v>1692</v>
      </c>
      <c r="C255" s="195" t="s">
        <v>506</v>
      </c>
      <c r="D255" s="195" t="s">
        <v>489</v>
      </c>
      <c r="E255" s="195" t="s">
        <v>494</v>
      </c>
      <c r="F255" s="195" t="s">
        <v>495</v>
      </c>
      <c r="G255" s="195" t="s">
        <v>1198</v>
      </c>
      <c r="H255" s="195" t="s">
        <v>1199</v>
      </c>
      <c r="I255" s="268" t="s">
        <v>1214</v>
      </c>
      <c r="J255" s="269" t="s">
        <v>1215</v>
      </c>
      <c r="K255" s="268" t="s">
        <v>1213</v>
      </c>
      <c r="L255" s="268">
        <v>209986</v>
      </c>
      <c r="M255" s="172" t="s">
        <v>1195</v>
      </c>
      <c r="N255" s="196" t="s">
        <v>1183</v>
      </c>
      <c r="O255" s="270">
        <v>97.314762999999999</v>
      </c>
      <c r="P255" s="270">
        <v>22.677008000000001</v>
      </c>
      <c r="Q255" s="271"/>
      <c r="R255" s="270">
        <v>37</v>
      </c>
      <c r="S255" s="590">
        <v>120</v>
      </c>
      <c r="T255" s="272">
        <f>IF(CampList[[#This Row],[HH]]&gt;0,CampList[[#This Row],[Total]]/CampList[[#This Row],[HH]],"NA")</f>
        <v>3.2432432432432434</v>
      </c>
      <c r="U255" s="181" t="s">
        <v>464</v>
      </c>
      <c r="V255" s="273" t="s">
        <v>993</v>
      </c>
      <c r="W255" s="197" t="s">
        <v>1376</v>
      </c>
      <c r="X255" s="180" t="s">
        <v>784</v>
      </c>
      <c r="Y255" s="274"/>
      <c r="Z255" s="636" t="s">
        <v>1311</v>
      </c>
      <c r="AA255" s="268" t="s">
        <v>774</v>
      </c>
      <c r="AB255" s="275">
        <v>43256</v>
      </c>
      <c r="AC255" s="276" t="s">
        <v>1673</v>
      </c>
      <c r="AD255" s="277" t="str">
        <f ca="1">IFERROR(OFFSET(DistanceToCamp[Nearest Town],MATCH(CampList[[#This Row],[CP_Pcode]],DistanceToCamp[CP_Pcode],0)-1,0,1,1),"")</f>
        <v/>
      </c>
      <c r="AE255" s="278" t="str">
        <f ca="1">IFERROR(OFFSET(DistanceToCamp[distance],MATCH(CampList[[#This Row],[CP_Pcode]],DistanceToCamp[CP_Pcode],0)-1,0,1,1),"")</f>
        <v/>
      </c>
      <c r="AF255" s="279" t="str">
        <f ca="1">IFERROR(INT(CampList[[#This Row],[Distance]]/5)+1,"")</f>
        <v/>
      </c>
    </row>
    <row r="256" spans="2:35" ht="13.95" customHeight="1" x14ac:dyDescent="0.3">
      <c r="B256" s="201" t="s">
        <v>1692</v>
      </c>
      <c r="C256" s="195" t="s">
        <v>506</v>
      </c>
      <c r="D256" s="195" t="s">
        <v>489</v>
      </c>
      <c r="E256" s="195" t="s">
        <v>230</v>
      </c>
      <c r="F256" s="195" t="s">
        <v>490</v>
      </c>
      <c r="G256" s="195" t="s">
        <v>146</v>
      </c>
      <c r="H256" s="195" t="s">
        <v>497</v>
      </c>
      <c r="I256" s="196" t="s">
        <v>669</v>
      </c>
      <c r="J256" s="214" t="s">
        <v>670</v>
      </c>
      <c r="K256" s="196" t="s">
        <v>1228</v>
      </c>
      <c r="L256" s="196" t="s">
        <v>1227</v>
      </c>
      <c r="M256" s="172" t="s">
        <v>1230</v>
      </c>
      <c r="N256" s="196" t="s">
        <v>1229</v>
      </c>
      <c r="O256" s="204">
        <v>97.947360000000003</v>
      </c>
      <c r="P256" s="204">
        <v>23.460349999999998</v>
      </c>
      <c r="Q256" s="215"/>
      <c r="R256" s="204">
        <v>37</v>
      </c>
      <c r="S256" s="204">
        <v>150</v>
      </c>
      <c r="T256" s="205">
        <f>IF(CampList[[#This Row],[HH]]&gt;0,CampList[[#This Row],[Total]]/CampList[[#This Row],[HH]],"NA")</f>
        <v>4.0540540540540544</v>
      </c>
      <c r="U256" s="197" t="s">
        <v>464</v>
      </c>
      <c r="V256" s="197" t="s">
        <v>993</v>
      </c>
      <c r="W256" s="197" t="s">
        <v>507</v>
      </c>
      <c r="X256" s="197" t="s">
        <v>742</v>
      </c>
      <c r="Y256" s="216">
        <v>42724</v>
      </c>
      <c r="Z256" s="636" t="s">
        <v>1900</v>
      </c>
      <c r="AA256" s="196" t="s">
        <v>774</v>
      </c>
      <c r="AB256" s="208">
        <v>43593</v>
      </c>
      <c r="AC256" s="217" t="s">
        <v>2022</v>
      </c>
      <c r="AD256" s="218" t="str">
        <f ca="1">IFERROR(OFFSET(DistanceToCamp[Nearest Town],MATCH(CampList[[#This Row],[CP_Pcode]],DistanceToCamp[CP_Pcode],0)-1,0,1,1),"")</f>
        <v/>
      </c>
      <c r="AE256" s="210" t="str">
        <f ca="1">IFERROR(OFFSET(DistanceToCamp[distance],MATCH(CampList[[#This Row],[CP_Pcode]],DistanceToCamp[CP_Pcode],0)-1,0,1,1),"")</f>
        <v/>
      </c>
      <c r="AF256" s="219" t="str">
        <f ca="1">IFERROR(INT(CampList[[#This Row],[Distance]]/5)+1,"")</f>
        <v/>
      </c>
    </row>
    <row r="257" spans="2:32" ht="13.95" hidden="1" customHeight="1" x14ac:dyDescent="0.3">
      <c r="B257" s="201" t="s">
        <v>775</v>
      </c>
      <c r="C257" s="195" t="s">
        <v>506</v>
      </c>
      <c r="D257" s="195" t="s">
        <v>489</v>
      </c>
      <c r="E257" s="195" t="s">
        <v>230</v>
      </c>
      <c r="F257" s="195" t="s">
        <v>490</v>
      </c>
      <c r="G257" s="195" t="s">
        <v>146</v>
      </c>
      <c r="H257" s="195" t="s">
        <v>497</v>
      </c>
      <c r="I257" s="195" t="s">
        <v>725</v>
      </c>
      <c r="J257" s="195" t="s">
        <v>726</v>
      </c>
      <c r="K257" s="222" t="s">
        <v>727</v>
      </c>
      <c r="L257" s="222"/>
      <c r="M257" s="195" t="s">
        <v>365</v>
      </c>
      <c r="N257" s="195" t="s">
        <v>384</v>
      </c>
      <c r="O257" s="202">
        <v>98.213958000000005</v>
      </c>
      <c r="P257" s="202">
        <v>23.391741</v>
      </c>
      <c r="Q257" s="203">
        <v>0</v>
      </c>
      <c r="R257" s="280">
        <v>0</v>
      </c>
      <c r="S257" s="281">
        <v>0</v>
      </c>
      <c r="T257" s="205" t="str">
        <f>IF(CampList[[#This Row],[HH]]&gt;0,CampList[[#This Row],[Total]]/CampList[[#This Row],[HH]],"NA")</f>
        <v>NA</v>
      </c>
      <c r="U257" s="197" t="s">
        <v>464</v>
      </c>
      <c r="V257" s="197" t="s">
        <v>993</v>
      </c>
      <c r="W257" s="197" t="s">
        <v>507</v>
      </c>
      <c r="X257" s="197" t="s">
        <v>784</v>
      </c>
      <c r="Y257" s="636">
        <v>40787</v>
      </c>
      <c r="Z257" s="636"/>
      <c r="AA257" s="221" t="s">
        <v>774</v>
      </c>
      <c r="AB257" s="208">
        <v>41701</v>
      </c>
      <c r="AC257" s="201" t="s">
        <v>869</v>
      </c>
      <c r="AD257" s="197" t="str">
        <f ca="1">IFERROR(OFFSET(DistanceToCamp[Nearest Town],MATCH(CampList[[#This Row],[CP_Pcode]],DistanceToCamp[CP_Pcode],0)-1,0,1,1),"")</f>
        <v/>
      </c>
      <c r="AE257" s="210" t="str">
        <f ca="1">IFERROR(OFFSET(DistanceToCamp[distance],MATCH(CampList[[#This Row],[CP_Pcode]],DistanceToCamp[CP_Pcode],0)-1,0,1,1),"")</f>
        <v/>
      </c>
      <c r="AF257" s="211" t="str">
        <f ca="1">IFERROR(INT(CampList[[#This Row],[Distance]]/5)+1,"")</f>
        <v/>
      </c>
    </row>
    <row r="258" spans="2:32" ht="15.75" customHeight="1" x14ac:dyDescent="0.3">
      <c r="B258" s="201" t="s">
        <v>1692</v>
      </c>
      <c r="C258" s="195" t="s">
        <v>506</v>
      </c>
      <c r="D258" s="195" t="s">
        <v>489</v>
      </c>
      <c r="E258" s="195" t="s">
        <v>230</v>
      </c>
      <c r="F258" s="195" t="s">
        <v>490</v>
      </c>
      <c r="G258" s="195" t="s">
        <v>146</v>
      </c>
      <c r="H258" s="195" t="s">
        <v>497</v>
      </c>
      <c r="I258" s="268" t="s">
        <v>1239</v>
      </c>
      <c r="J258" s="269" t="s">
        <v>1240</v>
      </c>
      <c r="K258" s="268" t="s">
        <v>1237</v>
      </c>
      <c r="L258" s="268">
        <v>208530</v>
      </c>
      <c r="M258" s="268" t="s">
        <v>1237</v>
      </c>
      <c r="N258" s="196" t="s">
        <v>1238</v>
      </c>
      <c r="O258" s="270"/>
      <c r="P258" s="270"/>
      <c r="Q258" s="271"/>
      <c r="R258" s="270">
        <v>24</v>
      </c>
      <c r="S258" s="271">
        <v>84</v>
      </c>
      <c r="T258" s="205">
        <f>IF(CampList[[#This Row],[HH]]&gt;0,CampList[[#This Row],[Total]]/CampList[[#This Row],[HH]],"NA")</f>
        <v>3.5</v>
      </c>
      <c r="U258" s="197" t="s">
        <v>464</v>
      </c>
      <c r="V258" s="197" t="s">
        <v>993</v>
      </c>
      <c r="W258" s="197" t="s">
        <v>1376</v>
      </c>
      <c r="X258" s="180" t="s">
        <v>784</v>
      </c>
      <c r="Y258" s="274"/>
      <c r="Z258" s="636" t="s">
        <v>1311</v>
      </c>
      <c r="AA258" s="268" t="s">
        <v>774</v>
      </c>
      <c r="AB258" s="275">
        <v>43256</v>
      </c>
      <c r="AC258" s="290" t="s">
        <v>1674</v>
      </c>
      <c r="AD258" s="277" t="str">
        <f ca="1">IFERROR(OFFSET(DistanceToCamp[Nearest Town],MATCH(CampList[[#This Row],[CP_Pcode]],DistanceToCamp[CP_Pcode],0)-1,0,1,1),"")</f>
        <v/>
      </c>
      <c r="AE258" s="278" t="str">
        <f ca="1">IFERROR(OFFSET(DistanceToCamp[distance],MATCH(CampList[[#This Row],[CP_Pcode]],DistanceToCamp[CP_Pcode],0)-1,0,1,1),"")</f>
        <v/>
      </c>
      <c r="AF258" s="279" t="str">
        <f ca="1">IFERROR(INT(CampList[[#This Row],[Distance]]/5)+1,"")</f>
        <v/>
      </c>
    </row>
    <row r="259" spans="2:32" ht="15.75" hidden="1" customHeight="1" x14ac:dyDescent="0.3">
      <c r="B259" s="201" t="s">
        <v>775</v>
      </c>
      <c r="C259" s="195" t="s">
        <v>506</v>
      </c>
      <c r="D259" s="195" t="s">
        <v>489</v>
      </c>
      <c r="E259" s="195" t="s">
        <v>230</v>
      </c>
      <c r="F259" s="195" t="s">
        <v>490</v>
      </c>
      <c r="G259" s="195" t="s">
        <v>230</v>
      </c>
      <c r="H259" s="195" t="s">
        <v>491</v>
      </c>
      <c r="I259" s="195" t="s">
        <v>716</v>
      </c>
      <c r="J259" s="195" t="s">
        <v>715</v>
      </c>
      <c r="K259" s="195" t="s">
        <v>716</v>
      </c>
      <c r="L259" s="214">
        <v>208156</v>
      </c>
      <c r="M259" s="195" t="s">
        <v>231</v>
      </c>
      <c r="N259" s="195" t="s">
        <v>386</v>
      </c>
      <c r="O259" s="202">
        <v>98.115809999999996</v>
      </c>
      <c r="P259" s="202">
        <v>24.08738</v>
      </c>
      <c r="Q259" s="215"/>
      <c r="R259" s="306">
        <v>32</v>
      </c>
      <c r="S259" s="307">
        <v>187</v>
      </c>
      <c r="T259" s="205">
        <f>IF(CampList[[#This Row],[HH]]&gt;0,CampList[[#This Row],[Total]]/CampList[[#This Row],[HH]],"NA")</f>
        <v>5.84375</v>
      </c>
      <c r="U259" s="197" t="s">
        <v>464</v>
      </c>
      <c r="V259" s="197" t="s">
        <v>993</v>
      </c>
      <c r="W259" s="197" t="s">
        <v>12</v>
      </c>
      <c r="X259" s="197" t="s">
        <v>784</v>
      </c>
      <c r="Y259" s="216"/>
      <c r="Z259" s="207"/>
      <c r="AA259" s="221" t="s">
        <v>522</v>
      </c>
      <c r="AB259" s="208">
        <v>42888</v>
      </c>
      <c r="AC259" s="201" t="s">
        <v>1652</v>
      </c>
      <c r="AD259" s="197" t="str">
        <f ca="1">IFERROR(OFFSET(DistanceToCamp[Nearest Town],MATCH(CampList[[#This Row],[CP_Pcode]],DistanceToCamp[CP_Pcode],0)-1,0,1,1),"")</f>
        <v>Pang Hseng (Kyu Koke) Town</v>
      </c>
      <c r="AE259" s="210">
        <f ca="1">IFERROR(OFFSET(DistanceToCamp[distance],MATCH(CampList[[#This Row],[CP_Pcode]],DistanceToCamp[CP_Pcode],0)-1,0,1,1),"")</f>
        <v>5.5919136174199959</v>
      </c>
      <c r="AF259" s="211">
        <f ca="1">IFERROR(INT(CampList[[#This Row],[Distance]]/5)+1,"")</f>
        <v>2</v>
      </c>
    </row>
    <row r="260" spans="2:32" ht="15.75" hidden="1" customHeight="1" x14ac:dyDescent="0.3">
      <c r="B260" s="201" t="s">
        <v>775</v>
      </c>
      <c r="C260" s="195" t="s">
        <v>506</v>
      </c>
      <c r="D260" s="195" t="s">
        <v>489</v>
      </c>
      <c r="E260" s="195" t="s">
        <v>230</v>
      </c>
      <c r="F260" s="195" t="s">
        <v>490</v>
      </c>
      <c r="G260" s="195" t="s">
        <v>288</v>
      </c>
      <c r="H260" s="195" t="s">
        <v>502</v>
      </c>
      <c r="I260" s="195" t="s">
        <v>691</v>
      </c>
      <c r="J260" s="195" t="s">
        <v>692</v>
      </c>
      <c r="K260" s="195" t="s">
        <v>691</v>
      </c>
      <c r="L260" s="195">
        <v>208353</v>
      </c>
      <c r="M260" s="195" t="s">
        <v>373</v>
      </c>
      <c r="N260" s="195" t="s">
        <v>387</v>
      </c>
      <c r="O260" s="202">
        <v>97.678299999999993</v>
      </c>
      <c r="P260" s="202">
        <v>23.82152</v>
      </c>
      <c r="Q260" s="215">
        <v>813.4</v>
      </c>
      <c r="R260" s="280">
        <v>0</v>
      </c>
      <c r="S260" s="281">
        <v>0</v>
      </c>
      <c r="T260" s="205" t="str">
        <f>IF(CampList[[#This Row],[HH]]&gt;0,CampList[[#This Row],[Total]]/CampList[[#This Row],[HH]],"NA")</f>
        <v>NA</v>
      </c>
      <c r="U260" s="197" t="s">
        <v>466</v>
      </c>
      <c r="V260" s="197" t="s">
        <v>993</v>
      </c>
      <c r="W260" s="197" t="s">
        <v>507</v>
      </c>
      <c r="X260" s="197"/>
      <c r="Y260" s="216"/>
      <c r="Z260" s="636" t="s">
        <v>933</v>
      </c>
      <c r="AA260" s="221" t="s">
        <v>774</v>
      </c>
      <c r="AB260" s="208">
        <v>41712</v>
      </c>
      <c r="AC260" s="201" t="s">
        <v>876</v>
      </c>
      <c r="AD260" s="197" t="str">
        <f ca="1">IFERROR(OFFSET(DistanceToCamp[Nearest Town],MATCH(CampList[[#This Row],[CP_Pcode]],DistanceToCamp[CP_Pcode],0)-1,0,1,1),"")</f>
        <v/>
      </c>
      <c r="AE260" s="210" t="str">
        <f ca="1">IFERROR(OFFSET(DistanceToCamp[distance],MATCH(CampList[[#This Row],[CP_Pcode]],DistanceToCamp[CP_Pcode],0)-1,0,1,1),"")</f>
        <v/>
      </c>
      <c r="AF260" s="211" t="str">
        <f ca="1">IFERROR(INT(CampList[[#This Row],[Distance]]/5)+1,"")</f>
        <v/>
      </c>
    </row>
    <row r="261" spans="2:32" ht="15.75" hidden="1" customHeight="1" x14ac:dyDescent="0.3">
      <c r="B261" s="201" t="s">
        <v>775</v>
      </c>
      <c r="C261" s="195" t="s">
        <v>506</v>
      </c>
      <c r="D261" s="195" t="s">
        <v>489</v>
      </c>
      <c r="E261" s="195" t="s">
        <v>230</v>
      </c>
      <c r="F261" s="195" t="s">
        <v>490</v>
      </c>
      <c r="G261" s="195" t="s">
        <v>230</v>
      </c>
      <c r="H261" s="195" t="s">
        <v>491</v>
      </c>
      <c r="I261" s="195" t="s">
        <v>879</v>
      </c>
      <c r="J261" s="195" t="s">
        <v>878</v>
      </c>
      <c r="K261" s="195" t="s">
        <v>880</v>
      </c>
      <c r="L261" s="214">
        <v>208182</v>
      </c>
      <c r="M261" s="195" t="s">
        <v>359</v>
      </c>
      <c r="N261" s="195" t="s">
        <v>771</v>
      </c>
      <c r="O261" s="202">
        <v>98.139397000000002</v>
      </c>
      <c r="P261" s="202">
        <v>23.933098999999999</v>
      </c>
      <c r="Q261" s="203">
        <v>0</v>
      </c>
      <c r="R261" s="306">
        <v>9</v>
      </c>
      <c r="S261" s="307">
        <v>44</v>
      </c>
      <c r="T261" s="205">
        <f>IF(CampList[[#This Row],[HH]]&gt;0,CampList[[#This Row],[Total]]/CampList[[#This Row],[HH]],"NA")</f>
        <v>4.8888888888888893</v>
      </c>
      <c r="U261" s="197" t="s">
        <v>466</v>
      </c>
      <c r="V261" s="197" t="s">
        <v>993</v>
      </c>
      <c r="W261" s="197" t="s">
        <v>1376</v>
      </c>
      <c r="X261" s="197" t="s">
        <v>784</v>
      </c>
      <c r="Y261" s="636">
        <v>40787</v>
      </c>
      <c r="Z261" s="636"/>
      <c r="AA261" s="221" t="s">
        <v>774</v>
      </c>
      <c r="AB261" s="208">
        <v>42888</v>
      </c>
      <c r="AC261" s="201" t="s">
        <v>1522</v>
      </c>
      <c r="AD261" s="197" t="str">
        <f ca="1">IFERROR(OFFSET(DistanceToCamp[Nearest Town],MATCH(CampList[[#This Row],[CP_Pcode]],DistanceToCamp[CP_Pcode],0)-1,0,1,1),"")</f>
        <v/>
      </c>
      <c r="AE261" s="210" t="str">
        <f ca="1">IFERROR(OFFSET(DistanceToCamp[distance],MATCH(CampList[[#This Row],[CP_Pcode]],DistanceToCamp[CP_Pcode],0)-1,0,1,1),"")</f>
        <v/>
      </c>
      <c r="AF261" s="211" t="str">
        <f ca="1">IFERROR(INT(CampList[[#This Row],[Distance]]/5)+1,"")</f>
        <v/>
      </c>
    </row>
    <row r="262" spans="2:32" ht="15.75" hidden="1" customHeight="1" x14ac:dyDescent="0.3">
      <c r="B262" s="201" t="s">
        <v>775</v>
      </c>
      <c r="C262" s="195" t="s">
        <v>506</v>
      </c>
      <c r="D262" s="195" t="s">
        <v>489</v>
      </c>
      <c r="E262" s="195" t="s">
        <v>717</v>
      </c>
      <c r="F262" s="195" t="s">
        <v>718</v>
      </c>
      <c r="G262" s="195" t="s">
        <v>719</v>
      </c>
      <c r="H262" s="195" t="s">
        <v>720</v>
      </c>
      <c r="I262" s="195" t="s">
        <v>721</v>
      </c>
      <c r="J262" s="195" t="s">
        <v>722</v>
      </c>
      <c r="K262" s="195" t="s">
        <v>721</v>
      </c>
      <c r="L262" s="195">
        <v>206422</v>
      </c>
      <c r="M262" s="195" t="s">
        <v>535</v>
      </c>
      <c r="N262" s="195" t="s">
        <v>772</v>
      </c>
      <c r="O262" s="202">
        <v>98.352670000000003</v>
      </c>
      <c r="P262" s="202">
        <v>23.372409999999999</v>
      </c>
      <c r="Q262" s="203">
        <v>617.6</v>
      </c>
      <c r="R262" s="203">
        <v>67</v>
      </c>
      <c r="S262" s="215">
        <v>392</v>
      </c>
      <c r="T262" s="205">
        <f>IF(CampList[[#This Row],[HH]]&gt;0,CampList[[#This Row],[Total]]/CampList[[#This Row],[HH]],"NA")</f>
        <v>5.8507462686567164</v>
      </c>
      <c r="U262" s="197" t="s">
        <v>466</v>
      </c>
      <c r="V262" s="197" t="s">
        <v>993</v>
      </c>
      <c r="W262" s="197" t="s">
        <v>12</v>
      </c>
      <c r="X262" s="197" t="s">
        <v>784</v>
      </c>
      <c r="Y262" s="636">
        <v>41365</v>
      </c>
      <c r="Z262" s="636" t="s">
        <v>1311</v>
      </c>
      <c r="AA262" s="195" t="s">
        <v>774</v>
      </c>
      <c r="AB262" s="513">
        <v>43226</v>
      </c>
      <c r="AC262" s="209" t="s">
        <v>1708</v>
      </c>
      <c r="AD262" s="197" t="str">
        <f ca="1">IFERROR(OFFSET(DistanceToCamp[Nearest Town],MATCH(CampList[[#This Row],[CP_Pcode]],DistanceToCamp[CP_Pcode],0)-1,0,1,1),"")</f>
        <v>Kunlong Town</v>
      </c>
      <c r="AE262" s="210">
        <f ca="1">IFERROR(OFFSET(DistanceToCamp[distance],MATCH(CampList[[#This Row],[CP_Pcode]],DistanceToCamp[CP_Pcode],0)-1,0,1,1),"")</f>
        <v>30.037709702375544</v>
      </c>
      <c r="AF262" s="211">
        <f ca="1">IFERROR(INT(CampList[[#This Row],[Distance]]/5)+1,"")</f>
        <v>7</v>
      </c>
    </row>
    <row r="263" spans="2:32" ht="15.75" customHeight="1" x14ac:dyDescent="0.3">
      <c r="B263" s="201" t="s">
        <v>1692</v>
      </c>
      <c r="C263" s="195" t="s">
        <v>506</v>
      </c>
      <c r="D263" s="195" t="s">
        <v>489</v>
      </c>
      <c r="E263" s="195" t="s">
        <v>230</v>
      </c>
      <c r="F263" s="195" t="s">
        <v>490</v>
      </c>
      <c r="G263" s="195" t="s">
        <v>230</v>
      </c>
      <c r="H263" s="195" t="s">
        <v>491</v>
      </c>
      <c r="I263" s="195" t="s">
        <v>714</v>
      </c>
      <c r="J263" s="269" t="s">
        <v>715</v>
      </c>
      <c r="K263" s="268" t="s">
        <v>716</v>
      </c>
      <c r="L263" s="268">
        <v>208156</v>
      </c>
      <c r="M263" s="268" t="s">
        <v>716</v>
      </c>
      <c r="N263" s="196" t="s">
        <v>1241</v>
      </c>
      <c r="O263" s="202">
        <v>98.115809999999996</v>
      </c>
      <c r="P263" s="202">
        <v>24.08738</v>
      </c>
      <c r="Q263" s="271"/>
      <c r="R263" s="270">
        <v>152</v>
      </c>
      <c r="S263" s="271">
        <v>788</v>
      </c>
      <c r="T263" s="205">
        <f>IF(CampList[[#This Row],[HH]]&gt;0,CampList[[#This Row],[Total]]/CampList[[#This Row],[HH]],"NA")</f>
        <v>5.1842105263157894</v>
      </c>
      <c r="U263" s="197" t="s">
        <v>464</v>
      </c>
      <c r="V263" s="197" t="s">
        <v>993</v>
      </c>
      <c r="W263" s="197" t="s">
        <v>507</v>
      </c>
      <c r="X263" s="180" t="s">
        <v>784</v>
      </c>
      <c r="Y263" s="274"/>
      <c r="Z263" s="636" t="s">
        <v>1900</v>
      </c>
      <c r="AA263" s="268" t="s">
        <v>774</v>
      </c>
      <c r="AB263" s="208">
        <v>43593</v>
      </c>
      <c r="AC263" s="290" t="s">
        <v>2022</v>
      </c>
      <c r="AD263" s="277" t="str">
        <f ca="1">IFERROR(OFFSET(DistanceToCamp[Nearest Town],MATCH(CampList[[#This Row],[CP_Pcode]],DistanceToCamp[CP_Pcode],0)-1,0,1,1),"")</f>
        <v/>
      </c>
      <c r="AE263" s="278" t="str">
        <f ca="1">IFERROR(OFFSET(DistanceToCamp[distance],MATCH(CampList[[#This Row],[CP_Pcode]],DistanceToCamp[CP_Pcode],0)-1,0,1,1),"")</f>
        <v/>
      </c>
      <c r="AF263" s="279" t="str">
        <f ca="1">IFERROR(INT(CampList[[#This Row],[Distance]]/5)+1,"")</f>
        <v/>
      </c>
    </row>
    <row r="264" spans="2:32" ht="15.75" hidden="1" customHeight="1" x14ac:dyDescent="0.3">
      <c r="B264" s="201" t="s">
        <v>775</v>
      </c>
      <c r="C264" s="195" t="s">
        <v>506</v>
      </c>
      <c r="D264" s="195" t="s">
        <v>489</v>
      </c>
      <c r="E264" s="195" t="s">
        <v>494</v>
      </c>
      <c r="F264" s="195" t="s">
        <v>495</v>
      </c>
      <c r="G264" s="195" t="s">
        <v>297</v>
      </c>
      <c r="H264" s="195" t="s">
        <v>503</v>
      </c>
      <c r="I264" s="222" t="s">
        <v>755</v>
      </c>
      <c r="J264" s="195" t="s">
        <v>756</v>
      </c>
      <c r="K264" s="222" t="s">
        <v>757</v>
      </c>
      <c r="L264" s="222" t="s">
        <v>758</v>
      </c>
      <c r="M264" s="195" t="s">
        <v>534</v>
      </c>
      <c r="N264" s="195" t="s">
        <v>762</v>
      </c>
      <c r="O264" s="202">
        <v>97.398989</v>
      </c>
      <c r="P264" s="202">
        <v>23.088058</v>
      </c>
      <c r="Q264" s="203">
        <v>1948</v>
      </c>
      <c r="R264" s="306">
        <v>118</v>
      </c>
      <c r="S264" s="307">
        <v>520</v>
      </c>
      <c r="T264" s="205">
        <f>IF(CampList[[#This Row],[HH]]&gt;0,CampList[[#This Row],[Total]]/CampList[[#This Row],[HH]],"NA")</f>
        <v>4.406779661016949</v>
      </c>
      <c r="U264" s="197" t="s">
        <v>464</v>
      </c>
      <c r="V264" s="197" t="s">
        <v>993</v>
      </c>
      <c r="W264" s="197" t="s">
        <v>12</v>
      </c>
      <c r="X264" s="197" t="s">
        <v>742</v>
      </c>
      <c r="Y264" s="636"/>
      <c r="Z264" s="636"/>
      <c r="AA264" s="221" t="s">
        <v>774</v>
      </c>
      <c r="AB264" s="208">
        <v>41883</v>
      </c>
      <c r="AC264" s="201" t="s">
        <v>1380</v>
      </c>
      <c r="AD264" s="197" t="str">
        <f ca="1">IFERROR(OFFSET(DistanceToCamp[Nearest Town],MATCH(CampList[[#This Row],[CP_Pcode]],DistanceToCamp[CP_Pcode],0)-1,0,1,1),"")</f>
        <v>Namtu Town</v>
      </c>
      <c r="AE264" s="210">
        <f ca="1">IFERROR(OFFSET(DistanceToCamp[distance],MATCH(CampList[[#This Row],[CP_Pcode]],DistanceToCamp[CP_Pcode],0)-1,0,1,1),"")</f>
        <v>0.63626694856259092</v>
      </c>
      <c r="AF264" s="211">
        <f ca="1">IFERROR(INT(CampList[[#This Row],[Distance]]/5)+1,"")</f>
        <v>1</v>
      </c>
    </row>
    <row r="265" spans="2:32" ht="15.75" hidden="1" customHeight="1" x14ac:dyDescent="0.3">
      <c r="B265" s="201" t="s">
        <v>775</v>
      </c>
      <c r="C265" s="195" t="s">
        <v>506</v>
      </c>
      <c r="D265" s="195" t="s">
        <v>489</v>
      </c>
      <c r="E265" s="195" t="s">
        <v>230</v>
      </c>
      <c r="F265" s="195" t="s">
        <v>490</v>
      </c>
      <c r="G265" s="195" t="s">
        <v>146</v>
      </c>
      <c r="H265" s="195" t="s">
        <v>497</v>
      </c>
      <c r="I265" s="195" t="s">
        <v>836</v>
      </c>
      <c r="J265" s="195"/>
      <c r="K265" s="195" t="s">
        <v>836</v>
      </c>
      <c r="L265" s="195"/>
      <c r="M265" s="195" t="s">
        <v>837</v>
      </c>
      <c r="N265" s="195" t="s">
        <v>838</v>
      </c>
      <c r="O265" s="204"/>
      <c r="P265" s="204"/>
      <c r="Q265" s="215"/>
      <c r="R265" s="280">
        <v>0</v>
      </c>
      <c r="S265" s="281">
        <v>0</v>
      </c>
      <c r="T265" s="205" t="str">
        <f>IF(CampList[[#This Row],[HH]]&gt;0,CampList[[#This Row],[Total]]/CampList[[#This Row],[HH]],"NA")</f>
        <v>NA</v>
      </c>
      <c r="U265" s="197" t="s">
        <v>466</v>
      </c>
      <c r="V265" s="197" t="s">
        <v>993</v>
      </c>
      <c r="W265" s="197" t="s">
        <v>507</v>
      </c>
      <c r="X265" s="197" t="s">
        <v>784</v>
      </c>
      <c r="Y265" s="216"/>
      <c r="Z265" s="207"/>
      <c r="AA265" s="195" t="s">
        <v>774</v>
      </c>
      <c r="AB265" s="208">
        <v>41289</v>
      </c>
      <c r="AC265" s="209" t="s">
        <v>840</v>
      </c>
      <c r="AD265" s="197" t="str">
        <f ca="1">IFERROR(OFFSET(DistanceToCamp[Nearest Town],MATCH(CampList[[#This Row],[CP_Pcode]],DistanceToCamp[CP_Pcode],0)-1,0,1,1),"")</f>
        <v/>
      </c>
      <c r="AE265" s="210" t="str">
        <f ca="1">IFERROR(OFFSET(DistanceToCamp[distance],MATCH(CampList[[#This Row],[CP_Pcode]],DistanceToCamp[CP_Pcode],0)-1,0,1,1),"")</f>
        <v/>
      </c>
      <c r="AF265" s="211" t="str">
        <f ca="1">IFERROR(INT(CampList[[#This Row],[Distance]]/5)+1,"")</f>
        <v/>
      </c>
    </row>
    <row r="266" spans="2:32" ht="15.75" customHeight="1" x14ac:dyDescent="0.3">
      <c r="B266" s="201" t="s">
        <v>1692</v>
      </c>
      <c r="C266" s="195" t="s">
        <v>506</v>
      </c>
      <c r="D266" s="195" t="s">
        <v>489</v>
      </c>
      <c r="E266" s="195" t="s">
        <v>230</v>
      </c>
      <c r="F266" s="195" t="s">
        <v>490</v>
      </c>
      <c r="G266" s="195" t="s">
        <v>146</v>
      </c>
      <c r="H266" s="195" t="s">
        <v>497</v>
      </c>
      <c r="I266" s="195" t="s">
        <v>836</v>
      </c>
      <c r="J266" s="195"/>
      <c r="K266" s="195" t="s">
        <v>836</v>
      </c>
      <c r="L266" s="195"/>
      <c r="M266" s="195" t="s">
        <v>1727</v>
      </c>
      <c r="N266" s="195" t="s">
        <v>839</v>
      </c>
      <c r="O266" s="204"/>
      <c r="P266" s="204"/>
      <c r="Q266" s="215"/>
      <c r="R266" s="280">
        <v>86</v>
      </c>
      <c r="S266" s="281">
        <v>525</v>
      </c>
      <c r="T266" s="205">
        <f>IF(CampList[[#This Row],[HH]]&gt;0,CampList[[#This Row],[Total]]/CampList[[#This Row],[HH]],"NA")</f>
        <v>6.1046511627906979</v>
      </c>
      <c r="U266" s="197" t="s">
        <v>464</v>
      </c>
      <c r="V266" s="197" t="s">
        <v>993</v>
      </c>
      <c r="W266" s="197" t="s">
        <v>1556</v>
      </c>
      <c r="X266" s="197" t="s">
        <v>784</v>
      </c>
      <c r="Y266" s="216"/>
      <c r="Z266" s="207" t="s">
        <v>1311</v>
      </c>
      <c r="AA266" s="195" t="s">
        <v>774</v>
      </c>
      <c r="AB266" s="208">
        <v>43405</v>
      </c>
      <c r="AC266" s="209" t="s">
        <v>1722</v>
      </c>
      <c r="AD266" s="197" t="str">
        <f ca="1">IFERROR(OFFSET(DistanceToCamp[Nearest Town],MATCH(CampList[[#This Row],[CP_Pcode]],DistanceToCamp[CP_Pcode],0)-1,0,1,1),"")</f>
        <v/>
      </c>
      <c r="AE266" s="210" t="str">
        <f ca="1">IFERROR(OFFSET(DistanceToCamp[distance],MATCH(CampList[[#This Row],[CP_Pcode]],DistanceToCamp[CP_Pcode],0)-1,0,1,1),"")</f>
        <v/>
      </c>
      <c r="AF266" s="211" t="str">
        <f ca="1">IFERROR(INT(CampList[[#This Row],[Distance]]/5)+1,"")</f>
        <v/>
      </c>
    </row>
    <row r="267" spans="2:32" ht="15.75" customHeight="1" x14ac:dyDescent="0.3">
      <c r="B267" s="201" t="s">
        <v>1692</v>
      </c>
      <c r="C267" s="195" t="s">
        <v>506</v>
      </c>
      <c r="D267" s="195" t="s">
        <v>489</v>
      </c>
      <c r="E267" s="195" t="s">
        <v>494</v>
      </c>
      <c r="F267" s="195" t="s">
        <v>495</v>
      </c>
      <c r="G267" s="195" t="s">
        <v>297</v>
      </c>
      <c r="H267" s="195" t="s">
        <v>503</v>
      </c>
      <c r="I267" s="268" t="s">
        <v>755</v>
      </c>
      <c r="J267" s="269" t="s">
        <v>756</v>
      </c>
      <c r="K267" s="268" t="s">
        <v>757</v>
      </c>
      <c r="L267" s="268" t="s">
        <v>758</v>
      </c>
      <c r="M267" s="268" t="s">
        <v>1273</v>
      </c>
      <c r="N267" s="196" t="s">
        <v>1272</v>
      </c>
      <c r="O267" s="270">
        <v>97.400671000000003</v>
      </c>
      <c r="P267" s="270">
        <v>23.099304</v>
      </c>
      <c r="Q267" s="271"/>
      <c r="R267" s="588">
        <v>61</v>
      </c>
      <c r="S267" s="588">
        <v>279</v>
      </c>
      <c r="T267" s="272">
        <f>IF(CampList[[#This Row],[HH]]&gt;0,CampList[[#This Row],[Total]]/CampList[[#This Row],[HH]],"NA")</f>
        <v>4.5737704918032787</v>
      </c>
      <c r="U267" s="181" t="s">
        <v>464</v>
      </c>
      <c r="V267" s="273" t="s">
        <v>993</v>
      </c>
      <c r="W267" s="181" t="s">
        <v>507</v>
      </c>
      <c r="X267" s="180" t="s">
        <v>742</v>
      </c>
      <c r="Y267" s="274">
        <v>42781</v>
      </c>
      <c r="Z267" s="215" t="s">
        <v>1046</v>
      </c>
      <c r="AA267" s="268" t="s">
        <v>774</v>
      </c>
      <c r="AB267" s="208">
        <v>43593</v>
      </c>
      <c r="AC267" s="276" t="s">
        <v>2040</v>
      </c>
      <c r="AD267" s="277" t="str">
        <f ca="1">IFERROR(OFFSET(DistanceToCamp[Nearest Town],MATCH(CampList[[#This Row],[CP_Pcode]],DistanceToCamp[CP_Pcode],0)-1,0,1,1),"")</f>
        <v/>
      </c>
      <c r="AE267" s="278" t="str">
        <f ca="1">IFERROR(OFFSET(DistanceToCamp[distance],MATCH(CampList[[#This Row],[CP_Pcode]],DistanceToCamp[CP_Pcode],0)-1,0,1,1),"")</f>
        <v/>
      </c>
      <c r="AF267" s="279" t="str">
        <f ca="1">IFERROR(INT(CampList[[#This Row],[Distance]]/5)+1,"")</f>
        <v/>
      </c>
    </row>
    <row r="268" spans="2:32" ht="15.75" customHeight="1" x14ac:dyDescent="0.3">
      <c r="B268" s="201" t="s">
        <v>1692</v>
      </c>
      <c r="C268" s="195" t="s">
        <v>506</v>
      </c>
      <c r="D268" s="195"/>
      <c r="E268" s="195" t="s">
        <v>230</v>
      </c>
      <c r="F268" s="195"/>
      <c r="G268" s="195" t="s">
        <v>146</v>
      </c>
      <c r="H268" s="195"/>
      <c r="I268" s="195" t="s">
        <v>1523</v>
      </c>
      <c r="J268" s="269"/>
      <c r="K268" s="268" t="s">
        <v>1523</v>
      </c>
      <c r="L268" s="268"/>
      <c r="M268" s="268" t="s">
        <v>1523</v>
      </c>
      <c r="N268" s="196" t="s">
        <v>1539</v>
      </c>
      <c r="O268" s="202"/>
      <c r="P268" s="202"/>
      <c r="Q268" s="271"/>
      <c r="R268" s="180">
        <v>36</v>
      </c>
      <c r="S268" s="180">
        <v>192</v>
      </c>
      <c r="T268" s="205">
        <f>IF(CampList[[#This Row],[HH]]&gt;0,CampList[[#This Row],[Total]]/CampList[[#This Row],[HH]],"NA")</f>
        <v>5.333333333333333</v>
      </c>
      <c r="U268" s="197" t="s">
        <v>464</v>
      </c>
      <c r="V268" s="197" t="s">
        <v>993</v>
      </c>
      <c r="W268" s="181" t="s">
        <v>507</v>
      </c>
      <c r="X268" s="180" t="s">
        <v>784</v>
      </c>
      <c r="Y268" s="274">
        <v>42370</v>
      </c>
      <c r="Z268" s="215" t="s">
        <v>1046</v>
      </c>
      <c r="AA268" s="268" t="s">
        <v>774</v>
      </c>
      <c r="AB268" s="208">
        <v>43593</v>
      </c>
      <c r="AC268" s="290" t="s">
        <v>2041</v>
      </c>
      <c r="AD268" s="277" t="str">
        <f ca="1">IFERROR(OFFSET(DistanceToCamp[Nearest Town],MATCH(CampList[[#This Row],[CP_Pcode]],DistanceToCamp[CP_Pcode],0)-1,0,1,1),"")</f>
        <v/>
      </c>
      <c r="AE268" s="278" t="str">
        <f ca="1">IFERROR(OFFSET(DistanceToCamp[distance],MATCH(CampList[[#This Row],[CP_Pcode]],DistanceToCamp[CP_Pcode],0)-1,0,1,1),"")</f>
        <v/>
      </c>
      <c r="AF268" s="279" t="str">
        <f ca="1">IFERROR(INT(CampList[[#This Row],[Distance]]/5)+1,"")</f>
        <v/>
      </c>
    </row>
    <row r="269" spans="2:32" ht="15.75" hidden="1" customHeight="1" x14ac:dyDescent="0.3">
      <c r="B269" s="681"/>
      <c r="C269" s="196"/>
      <c r="D269" s="196"/>
      <c r="E269" s="196"/>
      <c r="F269" s="196"/>
      <c r="G269" s="196"/>
      <c r="H269" s="196"/>
      <c r="I269" s="196"/>
      <c r="J269" s="214"/>
      <c r="K269" s="196"/>
      <c r="L269" s="196"/>
      <c r="M269" s="196"/>
      <c r="N269" s="196"/>
      <c r="O269" s="204"/>
      <c r="P269" s="204"/>
      <c r="Q269" s="215"/>
      <c r="R269" s="180"/>
      <c r="S269" s="288"/>
      <c r="T269" s="205" t="str">
        <f>IF(CampList[[#This Row],[HH]]&gt;0,CampList[[#This Row],[Total]]/CampList[[#This Row],[HH]],"NA")</f>
        <v>NA</v>
      </c>
      <c r="U269" s="181"/>
      <c r="V269" s="197"/>
      <c r="W269" s="181"/>
      <c r="X269" s="181"/>
      <c r="Y269" s="682"/>
      <c r="Z269" s="215"/>
      <c r="AA269" s="196"/>
      <c r="AB269" s="208"/>
      <c r="AC269" s="217"/>
      <c r="AD269" s="218" t="str">
        <f ca="1">IFERROR(OFFSET(DistanceToCamp[Nearest Town],MATCH(CampList[[#This Row],[CP_Pcode]],DistanceToCamp[CP_Pcode],0)-1,0,1,1),"")</f>
        <v/>
      </c>
      <c r="AE269" s="210" t="str">
        <f ca="1">IFERROR(OFFSET(DistanceToCamp[distance],MATCH(CampList[[#This Row],[CP_Pcode]],DistanceToCamp[CP_Pcode],0)-1,0,1,1),"")</f>
        <v/>
      </c>
      <c r="AF269" s="219" t="str">
        <f ca="1">IFERROR(INT(CampList[[#This Row],[Distance]]/5)+1,"")</f>
        <v/>
      </c>
    </row>
    <row r="270" spans="2:32" ht="15.75" customHeight="1" x14ac:dyDescent="0.3">
      <c r="B270" s="201" t="s">
        <v>1692</v>
      </c>
      <c r="C270" s="195" t="s">
        <v>378</v>
      </c>
      <c r="D270" s="195" t="s">
        <v>478</v>
      </c>
      <c r="E270" s="195" t="s">
        <v>237</v>
      </c>
      <c r="F270" s="195" t="s">
        <v>484</v>
      </c>
      <c r="G270" s="195" t="s">
        <v>237</v>
      </c>
      <c r="H270" s="195" t="s">
        <v>488</v>
      </c>
      <c r="I270" s="209" t="s">
        <v>611</v>
      </c>
      <c r="J270" s="209" t="s">
        <v>612</v>
      </c>
      <c r="K270" s="209" t="s">
        <v>627</v>
      </c>
      <c r="L270" s="209" t="s">
        <v>628</v>
      </c>
      <c r="M270" s="195" t="s">
        <v>240</v>
      </c>
      <c r="N270" s="195" t="s">
        <v>239</v>
      </c>
      <c r="O270" s="202">
        <v>97.409035000000003</v>
      </c>
      <c r="P270" s="202">
        <v>25.362420757575801</v>
      </c>
      <c r="Q270" s="203">
        <v>0</v>
      </c>
      <c r="R270" s="270">
        <v>152</v>
      </c>
      <c r="S270" s="288">
        <v>770</v>
      </c>
      <c r="T270" s="205">
        <f>IF(CampList[[#This Row],[HH]]&gt;0,CampList[[#This Row],[Total]]/CampList[[#This Row],[HH]],"NA")</f>
        <v>5.0657894736842106</v>
      </c>
      <c r="U270" s="197" t="s">
        <v>464</v>
      </c>
      <c r="V270" s="197" t="s">
        <v>993</v>
      </c>
      <c r="W270" s="197" t="s">
        <v>507</v>
      </c>
      <c r="X270" s="197" t="s">
        <v>742</v>
      </c>
      <c r="Y270" s="308">
        <v>40603</v>
      </c>
      <c r="Z270" s="636" t="s">
        <v>1835</v>
      </c>
      <c r="AA270" s="221" t="s">
        <v>774</v>
      </c>
      <c r="AB270" s="208">
        <v>43593</v>
      </c>
      <c r="AC270" s="201" t="s">
        <v>2000</v>
      </c>
      <c r="AD270" s="197" t="str">
        <f ca="1">IFERROR(OFFSET(DistanceToCamp[Nearest Town],MATCH(CampList[[#This Row],[CP_Pcode]],DistanceToCamp[CP_Pcode],0)-1,0,1,1),"")</f>
        <v>Myitkyina Town</v>
      </c>
      <c r="AE270" s="210">
        <f ca="1">IFERROR(OFFSET(DistanceToCamp[distance],MATCH(CampList[[#This Row],[CP_Pcode]],DistanceToCamp[CP_Pcode],0)-1,0,1,1),"")</f>
        <v>3.3602711423118103</v>
      </c>
      <c r="AF270" s="211">
        <f ca="1">IFERROR(INT(CampList[[#This Row],[Distance]]/5)+1,"")</f>
        <v>1</v>
      </c>
    </row>
    <row r="271" spans="2:32" ht="15.75" customHeight="1" x14ac:dyDescent="0.3">
      <c r="B271" s="201" t="s">
        <v>1692</v>
      </c>
      <c r="C271" s="195" t="s">
        <v>378</v>
      </c>
      <c r="D271" s="195" t="s">
        <v>478</v>
      </c>
      <c r="E271" s="195" t="s">
        <v>237</v>
      </c>
      <c r="F271" s="195" t="s">
        <v>484</v>
      </c>
      <c r="G271" s="195" t="s">
        <v>309</v>
      </c>
      <c r="H271" s="195" t="s">
        <v>485</v>
      </c>
      <c r="I271" s="195" t="s">
        <v>633</v>
      </c>
      <c r="J271" s="195" t="s">
        <v>634</v>
      </c>
      <c r="K271" s="195" t="s">
        <v>633</v>
      </c>
      <c r="L271" s="195">
        <v>165740</v>
      </c>
      <c r="M271" s="195" t="s">
        <v>325</v>
      </c>
      <c r="N271" s="195" t="s">
        <v>324</v>
      </c>
      <c r="O271" s="202">
        <v>97.426536944444507</v>
      </c>
      <c r="P271" s="202">
        <v>25.409612685185198</v>
      </c>
      <c r="Q271" s="203">
        <v>0</v>
      </c>
      <c r="R271" s="270">
        <v>55</v>
      </c>
      <c r="S271" s="270">
        <v>250</v>
      </c>
      <c r="T271" s="205">
        <f>IF(CampList[[#This Row],[HH]]&gt;0,CampList[[#This Row],[Total]]/CampList[[#This Row],[HH]],"NA")</f>
        <v>4.5454545454545459</v>
      </c>
      <c r="U271" s="197" t="s">
        <v>464</v>
      </c>
      <c r="V271" s="197" t="s">
        <v>993</v>
      </c>
      <c r="W271" s="197" t="s">
        <v>507</v>
      </c>
      <c r="X271" s="197" t="s">
        <v>742</v>
      </c>
      <c r="Y271" s="308">
        <v>40878</v>
      </c>
      <c r="Z271" s="636" t="s">
        <v>1835</v>
      </c>
      <c r="AA271" s="221" t="s">
        <v>774</v>
      </c>
      <c r="AB271" s="208">
        <v>43593</v>
      </c>
      <c r="AC271" s="201" t="s">
        <v>2001</v>
      </c>
      <c r="AD271" s="197" t="str">
        <f ca="1">IFERROR(OFFSET(DistanceToCamp[Nearest Town],MATCH(CampList[[#This Row],[CP_Pcode]],DistanceToCamp[CP_Pcode],0)-1,0,1,1),"")</f>
        <v>Myitkyina Town</v>
      </c>
      <c r="AE271" s="210">
        <f ca="1">IFERROR(OFFSET(DistanceToCamp[distance],MATCH(CampList[[#This Row],[CP_Pcode]],DistanceToCamp[CP_Pcode],0)-1,0,1,1),"")</f>
        <v>4.3887485673235673</v>
      </c>
      <c r="AF271" s="211">
        <f ca="1">IFERROR(INT(CampList[[#This Row],[Distance]]/5)+1,"")</f>
        <v>1</v>
      </c>
    </row>
    <row r="272" spans="2:32" ht="15.75" customHeight="1" x14ac:dyDescent="0.3">
      <c r="B272" s="201" t="s">
        <v>1692</v>
      </c>
      <c r="C272" s="195" t="s">
        <v>378</v>
      </c>
      <c r="D272" s="195" t="s">
        <v>478</v>
      </c>
      <c r="E272" s="195" t="s">
        <v>237</v>
      </c>
      <c r="F272" s="195" t="s">
        <v>484</v>
      </c>
      <c r="G272" s="195" t="s">
        <v>309</v>
      </c>
      <c r="H272" s="195" t="s">
        <v>485</v>
      </c>
      <c r="I272" s="195" t="s">
        <v>633</v>
      </c>
      <c r="J272" s="195" t="s">
        <v>634</v>
      </c>
      <c r="K272" s="195" t="s">
        <v>633</v>
      </c>
      <c r="L272" s="195">
        <v>165740</v>
      </c>
      <c r="M272" s="195" t="s">
        <v>323</v>
      </c>
      <c r="N272" s="195" t="s">
        <v>322</v>
      </c>
      <c r="O272" s="202">
        <v>97.434855869565197</v>
      </c>
      <c r="P272" s="202">
        <v>25.4118005797101</v>
      </c>
      <c r="Q272" s="203">
        <v>0</v>
      </c>
      <c r="R272" s="775">
        <v>515</v>
      </c>
      <c r="S272" s="775">
        <v>2775</v>
      </c>
      <c r="T272" s="205">
        <f>IF(CampList[[#This Row],[HH]]&gt;0,CampList[[#This Row],[Total]]/CampList[[#This Row],[HH]],"NA")</f>
        <v>5.3883495145631066</v>
      </c>
      <c r="U272" s="197" t="s">
        <v>464</v>
      </c>
      <c r="V272" s="197" t="s">
        <v>993</v>
      </c>
      <c r="W272" s="197" t="s">
        <v>507</v>
      </c>
      <c r="X272" s="197" t="s">
        <v>784</v>
      </c>
      <c r="Y272" s="308">
        <v>41061</v>
      </c>
      <c r="Z272" s="636" t="s">
        <v>1835</v>
      </c>
      <c r="AA272" s="221" t="s">
        <v>774</v>
      </c>
      <c r="AB272" s="208">
        <v>43593</v>
      </c>
      <c r="AC272" s="201" t="s">
        <v>2002</v>
      </c>
      <c r="AD272" s="197" t="str">
        <f ca="1">IFERROR(OFFSET(DistanceToCamp[Nearest Town],MATCH(CampList[[#This Row],[CP_Pcode]],DistanceToCamp[CP_Pcode],0)-1,0,1,1),"")</f>
        <v>Myitkyina Town</v>
      </c>
      <c r="AE272" s="210">
        <f ca="1">IFERROR(OFFSET(DistanceToCamp[distance],MATCH(CampList[[#This Row],[CP_Pcode]],DistanceToCamp[CP_Pcode],0)-1,0,1,1),"")</f>
        <v>5.2238983299151851</v>
      </c>
      <c r="AF272" s="211">
        <f ca="1">IFERROR(INT(CampList[[#This Row],[Distance]]/5)+1,"")</f>
        <v>2</v>
      </c>
    </row>
    <row r="273" spans="1:35" ht="15.75" customHeight="1" x14ac:dyDescent="0.3">
      <c r="B273" s="201" t="s">
        <v>1692</v>
      </c>
      <c r="C273" s="195" t="s">
        <v>378</v>
      </c>
      <c r="D273" s="195" t="s">
        <v>478</v>
      </c>
      <c r="E273" s="195" t="s">
        <v>237</v>
      </c>
      <c r="F273" s="195" t="s">
        <v>484</v>
      </c>
      <c r="G273" s="195" t="s">
        <v>309</v>
      </c>
      <c r="H273" s="195" t="s">
        <v>485</v>
      </c>
      <c r="I273" s="195" t="s">
        <v>711</v>
      </c>
      <c r="J273" s="195" t="s">
        <v>712</v>
      </c>
      <c r="K273" s="195" t="s">
        <v>713</v>
      </c>
      <c r="L273" s="195">
        <v>165845</v>
      </c>
      <c r="M273" s="195" t="s">
        <v>345</v>
      </c>
      <c r="N273" s="195" t="s">
        <v>344</v>
      </c>
      <c r="O273" s="202">
        <v>98.025662999999994</v>
      </c>
      <c r="P273" s="202">
        <v>25.418084</v>
      </c>
      <c r="Q273" s="203"/>
      <c r="R273" s="270">
        <v>183</v>
      </c>
      <c r="S273" s="270">
        <v>1041</v>
      </c>
      <c r="T273" s="205">
        <f>IF(CampList[[#This Row],[HH]]&gt;0,CampList[[#This Row],[Total]]/CampList[[#This Row],[HH]],"NA")</f>
        <v>5.6885245901639347</v>
      </c>
      <c r="U273" s="197" t="s">
        <v>464</v>
      </c>
      <c r="V273" s="197" t="s">
        <v>993</v>
      </c>
      <c r="W273" s="197" t="s">
        <v>507</v>
      </c>
      <c r="X273" s="197" t="s">
        <v>784</v>
      </c>
      <c r="Y273" s="308">
        <v>40848</v>
      </c>
      <c r="Z273" s="636" t="s">
        <v>1835</v>
      </c>
      <c r="AA273" s="195" t="s">
        <v>774</v>
      </c>
      <c r="AB273" s="208">
        <v>43593</v>
      </c>
      <c r="AC273" s="209" t="s">
        <v>2003</v>
      </c>
      <c r="AD273" s="197" t="str">
        <f ca="1">IFERROR(OFFSET(DistanceToCamp[Nearest Town],MATCH(CampList[[#This Row],[CP_Pcode]],DistanceToCamp[CP_Pcode],0)-1,0,1,1),"")</f>
        <v>Kan Paik Ti Town</v>
      </c>
      <c r="AE273" s="210">
        <f ca="1">IFERROR(OFFSET(DistanceToCamp[distance],MATCH(CampList[[#This Row],[CP_Pcode]],DistanceToCamp[CP_Pcode],0)-1,0,1,1),"")</f>
        <v>9.3609732231189877</v>
      </c>
      <c r="AF273" s="211">
        <f ca="1">IFERROR(INT(CampList[[#This Row],[Distance]]/5)+1,"")</f>
        <v>2</v>
      </c>
    </row>
    <row r="274" spans="1:35" ht="15.75" customHeight="1" x14ac:dyDescent="0.3">
      <c r="B274" s="201" t="s">
        <v>1692</v>
      </c>
      <c r="C274" s="195" t="s">
        <v>378</v>
      </c>
      <c r="D274" s="195" t="s">
        <v>478</v>
      </c>
      <c r="E274" s="195" t="s">
        <v>237</v>
      </c>
      <c r="F274" s="195" t="s">
        <v>484</v>
      </c>
      <c r="G274" s="195" t="s">
        <v>27</v>
      </c>
      <c r="H274" s="195" t="s">
        <v>487</v>
      </c>
      <c r="I274" s="209" t="s">
        <v>733</v>
      </c>
      <c r="J274" s="209" t="s">
        <v>734</v>
      </c>
      <c r="K274" s="209" t="s">
        <v>735</v>
      </c>
      <c r="L274" s="209">
        <v>166355</v>
      </c>
      <c r="M274" s="195" t="s">
        <v>362</v>
      </c>
      <c r="N274" s="195" t="s">
        <v>29</v>
      </c>
      <c r="O274" s="202">
        <v>98.475719999999995</v>
      </c>
      <c r="P274" s="202">
        <v>25.754110000000001</v>
      </c>
      <c r="Q274" s="203">
        <v>2785</v>
      </c>
      <c r="R274" s="181">
        <v>163</v>
      </c>
      <c r="S274" s="181">
        <v>967</v>
      </c>
      <c r="T274" s="205">
        <f>IF(CampList[[#This Row],[HH]]&gt;0,CampList[[#This Row],[Total]]/CampList[[#This Row],[HH]],"NA")</f>
        <v>5.9325153374233128</v>
      </c>
      <c r="U274" s="197" t="s">
        <v>466</v>
      </c>
      <c r="V274" s="197" t="s">
        <v>993</v>
      </c>
      <c r="W274" s="197" t="s">
        <v>507</v>
      </c>
      <c r="X274" s="197" t="s">
        <v>785</v>
      </c>
      <c r="Y274" s="308">
        <v>41030</v>
      </c>
      <c r="Z274" s="636" t="s">
        <v>1835</v>
      </c>
      <c r="AA274" s="221" t="s">
        <v>774</v>
      </c>
      <c r="AB274" s="208">
        <v>43593</v>
      </c>
      <c r="AC274" s="201" t="s">
        <v>2004</v>
      </c>
      <c r="AD274" s="197" t="str">
        <f ca="1">IFERROR(OFFSET(DistanceToCamp[Nearest Town],MATCH(CampList[[#This Row],[CP_Pcode]],DistanceToCamp[CP_Pcode],0)-1,0,1,1),"")</f>
        <v>Pang War Town</v>
      </c>
      <c r="AE274" s="210">
        <f ca="1">IFERROR(OFFSET(DistanceToCamp[distance],MATCH(CampList[[#This Row],[CP_Pcode]],DistanceToCamp[CP_Pcode],0)-1,0,1,1),"")</f>
        <v>19.834999342466848</v>
      </c>
      <c r="AF274" s="211">
        <f ca="1">IFERROR(INT(CampList[[#This Row],[Distance]]/5)+1,"")</f>
        <v>4</v>
      </c>
    </row>
    <row r="275" spans="1:35" ht="15.75" customHeight="1" x14ac:dyDescent="0.3">
      <c r="B275" s="201" t="s">
        <v>1692</v>
      </c>
      <c r="C275" s="195" t="s">
        <v>506</v>
      </c>
      <c r="D275" s="195" t="s">
        <v>489</v>
      </c>
      <c r="E275" s="195" t="s">
        <v>230</v>
      </c>
      <c r="F275" s="196" t="s">
        <v>490</v>
      </c>
      <c r="G275" s="196" t="s">
        <v>146</v>
      </c>
      <c r="H275" s="196" t="s">
        <v>497</v>
      </c>
      <c r="I275" s="235" t="s">
        <v>706</v>
      </c>
      <c r="J275" s="214" t="s">
        <v>707</v>
      </c>
      <c r="K275" s="195"/>
      <c r="L275" s="195"/>
      <c r="M275" s="235" t="s">
        <v>1080</v>
      </c>
      <c r="N275" s="195" t="s">
        <v>1081</v>
      </c>
      <c r="O275" s="231">
        <v>97.868876999999998</v>
      </c>
      <c r="P275" s="231">
        <v>23.447111</v>
      </c>
      <c r="Q275" s="215"/>
      <c r="R275" s="270">
        <v>105</v>
      </c>
      <c r="S275" s="288">
        <v>642</v>
      </c>
      <c r="T275" s="205">
        <f>IF(CampList[[#This Row],[HH]]&gt;0,CampList[[#This Row],[Total]]/CampList[[#This Row],[HH]],"NA")</f>
        <v>6.1142857142857139</v>
      </c>
      <c r="U275" s="197" t="s">
        <v>464</v>
      </c>
      <c r="V275" s="197" t="s">
        <v>993</v>
      </c>
      <c r="W275" s="181" t="s">
        <v>507</v>
      </c>
      <c r="X275" s="197" t="s">
        <v>784</v>
      </c>
      <c r="Y275" s="636">
        <v>42036</v>
      </c>
      <c r="Z275" s="215" t="s">
        <v>1046</v>
      </c>
      <c r="AA275" s="195" t="s">
        <v>774</v>
      </c>
      <c r="AB275" s="208">
        <v>43593</v>
      </c>
      <c r="AC275" s="209" t="s">
        <v>2042</v>
      </c>
      <c r="AD275" s="197"/>
      <c r="AE275" s="210" t="str">
        <f ca="1">IFERROR(OFFSET(DistanceToCamp[distance],MATCH(CampList[[#This Row],[CP_Pcode]],DistanceToCamp[CP_Pcode],0)-1,0,1,1),"")</f>
        <v/>
      </c>
      <c r="AF275" s="219" t="str">
        <f ca="1">IFERROR(INT(CampList[[#This Row],[Distance]]/5)+1,"")</f>
        <v/>
      </c>
    </row>
    <row r="276" spans="1:35" ht="15.75" hidden="1" customHeight="1" x14ac:dyDescent="0.3">
      <c r="B276" s="201" t="s">
        <v>775</v>
      </c>
      <c r="C276" s="195" t="s">
        <v>506</v>
      </c>
      <c r="D276" s="195" t="s">
        <v>489</v>
      </c>
      <c r="E276" s="195" t="s">
        <v>494</v>
      </c>
      <c r="F276" s="195" t="s">
        <v>495</v>
      </c>
      <c r="G276" s="195" t="s">
        <v>166</v>
      </c>
      <c r="H276" s="195" t="s">
        <v>496</v>
      </c>
      <c r="I276" s="195"/>
      <c r="J276" s="214"/>
      <c r="K276" s="195"/>
      <c r="L276" s="195"/>
      <c r="M276" s="195" t="s">
        <v>1138</v>
      </c>
      <c r="N276" s="196" t="s">
        <v>1121</v>
      </c>
      <c r="O276" s="202"/>
      <c r="P276" s="202"/>
      <c r="Q276" s="215"/>
      <c r="R276" s="306">
        <v>36</v>
      </c>
      <c r="S276" s="307">
        <v>188</v>
      </c>
      <c r="T276" s="205">
        <f>IF(CampList[[#This Row],[HH]]&gt;0,CampList[[#This Row],[Total]]/CampList[[#This Row],[HH]],"NA")</f>
        <v>5.2222222222222223</v>
      </c>
      <c r="U276" s="181" t="s">
        <v>464</v>
      </c>
      <c r="V276" s="197" t="s">
        <v>993</v>
      </c>
      <c r="W276" s="197" t="s">
        <v>1376</v>
      </c>
      <c r="X276" s="197" t="s">
        <v>742</v>
      </c>
      <c r="Y276" s="216">
        <v>42370</v>
      </c>
      <c r="Z276" s="636" t="s">
        <v>1311</v>
      </c>
      <c r="AA276" s="196" t="s">
        <v>774</v>
      </c>
      <c r="AB276" s="208">
        <v>43343</v>
      </c>
      <c r="AC276" s="201" t="s">
        <v>1716</v>
      </c>
      <c r="AD276" s="197" t="str">
        <f ca="1">IFERROR(OFFSET(DistanceToCamp[Nearest Town],MATCH(CampList[[#This Row],[CP_Pcode]],DistanceToCamp[CP_Pcode],0)-1,0,1,1),"")</f>
        <v/>
      </c>
      <c r="AE276" s="210" t="str">
        <f ca="1">IFERROR(OFFSET(DistanceToCamp[distance],MATCH(CampList[[#This Row],[CP_Pcode]],DistanceToCamp[CP_Pcode],0)-1,0,1,1),"")</f>
        <v/>
      </c>
      <c r="AF276" s="219" t="str">
        <f ca="1">IFERROR(INT(CampList[[#This Row],[Distance]]/5)+1,"")</f>
        <v/>
      </c>
    </row>
    <row r="277" spans="1:35" s="648" customFormat="1" ht="15.75" hidden="1" customHeight="1" x14ac:dyDescent="0.3">
      <c r="A277" s="172"/>
      <c r="B277" s="201" t="s">
        <v>775</v>
      </c>
      <c r="C277" s="195" t="s">
        <v>506</v>
      </c>
      <c r="D277" s="195" t="s">
        <v>489</v>
      </c>
      <c r="E277" s="195" t="s">
        <v>230</v>
      </c>
      <c r="F277" s="195" t="s">
        <v>490</v>
      </c>
      <c r="G277" s="195" t="s">
        <v>288</v>
      </c>
      <c r="H277" s="195" t="s">
        <v>502</v>
      </c>
      <c r="I277" s="651" t="s">
        <v>1139</v>
      </c>
      <c r="J277" s="654" t="s">
        <v>1140</v>
      </c>
      <c r="K277" s="195" t="s">
        <v>1139</v>
      </c>
      <c r="L277" s="214">
        <v>208469</v>
      </c>
      <c r="M277" s="195" t="s">
        <v>1127</v>
      </c>
      <c r="N277" s="196" t="s">
        <v>1122</v>
      </c>
      <c r="O277" s="202">
        <v>97.504999999999995</v>
      </c>
      <c r="P277" s="202">
        <v>23.611999999999998</v>
      </c>
      <c r="Q277" s="215"/>
      <c r="R277" s="280"/>
      <c r="S277" s="281"/>
      <c r="T277" s="205" t="str">
        <f>IF(CampList[[#This Row],[HH]]&gt;0,CampList[[#This Row],[Total]]/CampList[[#This Row],[HH]],"NA")</f>
        <v>NA</v>
      </c>
      <c r="U277" s="181" t="s">
        <v>464</v>
      </c>
      <c r="V277" s="197" t="s">
        <v>993</v>
      </c>
      <c r="W277" s="181" t="s">
        <v>507</v>
      </c>
      <c r="X277" s="197" t="s">
        <v>784</v>
      </c>
      <c r="Y277" s="216">
        <v>42401</v>
      </c>
      <c r="Z277" s="207"/>
      <c r="AA277" s="196" t="s">
        <v>774</v>
      </c>
      <c r="AB277" s="208">
        <v>42888</v>
      </c>
      <c r="AC277" s="201" t="s">
        <v>1243</v>
      </c>
      <c r="AD277" s="197" t="str">
        <f ca="1">IFERROR(OFFSET(DistanceToCamp[Nearest Town],MATCH(CampList[[#This Row],[CP_Pcode]],DistanceToCamp[CP_Pcode],0)-1,0,1,1),"")</f>
        <v/>
      </c>
      <c r="AE277" s="210" t="str">
        <f ca="1">IFERROR(OFFSET(DistanceToCamp[distance],MATCH(CampList[[#This Row],[CP_Pcode]],DistanceToCamp[CP_Pcode],0)-1,0,1,1),"")</f>
        <v/>
      </c>
      <c r="AF277" s="219" t="str">
        <f ca="1">IFERROR(INT(CampList[[#This Row],[Distance]]/5)+1,"")</f>
        <v/>
      </c>
      <c r="AH277" s="649"/>
      <c r="AI277" s="649"/>
    </row>
    <row r="278" spans="1:35" ht="15.75" customHeight="1" x14ac:dyDescent="0.3">
      <c r="B278" s="201" t="s">
        <v>1692</v>
      </c>
      <c r="C278" s="195" t="s">
        <v>378</v>
      </c>
      <c r="D278" s="195" t="s">
        <v>478</v>
      </c>
      <c r="E278" s="195" t="s">
        <v>5</v>
      </c>
      <c r="F278" s="195" t="s">
        <v>482</v>
      </c>
      <c r="G278" s="195" t="s">
        <v>5</v>
      </c>
      <c r="H278" s="195" t="s">
        <v>483</v>
      </c>
      <c r="I278" s="651" t="s">
        <v>577</v>
      </c>
      <c r="J278" s="651" t="s">
        <v>578</v>
      </c>
      <c r="K278" s="195" t="s">
        <v>581</v>
      </c>
      <c r="L278" s="195" t="s">
        <v>582</v>
      </c>
      <c r="M278" s="195" t="s">
        <v>22</v>
      </c>
      <c r="N278" s="195" t="s">
        <v>21</v>
      </c>
      <c r="O278" s="202">
        <v>97.229116811594196</v>
      </c>
      <c r="P278" s="202">
        <v>24.268292826086999</v>
      </c>
      <c r="Q278" s="203"/>
      <c r="R278" s="181">
        <v>641</v>
      </c>
      <c r="S278" s="181">
        <v>4027</v>
      </c>
      <c r="T278" s="205">
        <f>IF(CampList[[#This Row],[HH]]&gt;0,CampList[[#This Row],[Total]]/CampList[[#This Row],[HH]],"NA")</f>
        <v>6.282371294851794</v>
      </c>
      <c r="U278" s="197" t="s">
        <v>464</v>
      </c>
      <c r="V278" s="197" t="s">
        <v>993</v>
      </c>
      <c r="W278" s="197" t="s">
        <v>507</v>
      </c>
      <c r="X278" s="197" t="s">
        <v>742</v>
      </c>
      <c r="Y278" s="308">
        <v>40725</v>
      </c>
      <c r="Z278" s="636" t="s">
        <v>1834</v>
      </c>
      <c r="AA278" s="195" t="s">
        <v>774</v>
      </c>
      <c r="AB278" s="208">
        <v>43593</v>
      </c>
      <c r="AC278" s="209" t="s">
        <v>1966</v>
      </c>
      <c r="AD278" s="197" t="str">
        <f ca="1">IFERROR(OFFSET(DistanceToCamp[Nearest Town],MATCH(CampList[[#This Row],[CP_Pcode]],DistanceToCamp[CP_Pcode],0)-1,0,1,1),"")</f>
        <v>Bhamo Town</v>
      </c>
      <c r="AE278" s="210">
        <f ca="1">IFERROR(OFFSET(DistanceToCamp[distance],MATCH(CampList[[#This Row],[CP_Pcode]],DistanceToCamp[CP_Pcode],0)-1,0,1,1),"")</f>
        <v>1.5797992800898704</v>
      </c>
      <c r="AF278" s="211">
        <f ca="1">IFERROR(INT(CampList[[#This Row],[Distance]]/5)+1,"")</f>
        <v>1</v>
      </c>
    </row>
    <row r="279" spans="1:35" ht="15.75" customHeight="1" x14ac:dyDescent="0.3">
      <c r="B279" s="201" t="s">
        <v>1692</v>
      </c>
      <c r="C279" s="196" t="s">
        <v>378</v>
      </c>
      <c r="D279" s="196" t="s">
        <v>478</v>
      </c>
      <c r="E279" s="196" t="s">
        <v>237</v>
      </c>
      <c r="F279" s="196" t="s">
        <v>484</v>
      </c>
      <c r="G279" s="196" t="s">
        <v>309</v>
      </c>
      <c r="H279" s="196" t="s">
        <v>485</v>
      </c>
      <c r="I279" s="655" t="s">
        <v>667</v>
      </c>
      <c r="J279" s="654" t="s">
        <v>668</v>
      </c>
      <c r="K279" s="196" t="s">
        <v>667</v>
      </c>
      <c r="L279" s="196">
        <v>165772</v>
      </c>
      <c r="M279" s="196" t="s">
        <v>351</v>
      </c>
      <c r="N279" s="196" t="s">
        <v>350</v>
      </c>
      <c r="O279" s="204">
        <v>97.546893999999995</v>
      </c>
      <c r="P279" s="204">
        <v>24.755253</v>
      </c>
      <c r="Q279" s="215">
        <v>316</v>
      </c>
      <c r="R279" s="756">
        <v>1403</v>
      </c>
      <c r="S279" s="807">
        <v>7165</v>
      </c>
      <c r="T279" s="205">
        <f>IF(CampList[[#This Row],[HH]]&gt;0,CampList[[#This Row],[Total]]/CampList[[#This Row],[HH]],"NA")</f>
        <v>5.1069137562366356</v>
      </c>
      <c r="U279" s="181" t="s">
        <v>466</v>
      </c>
      <c r="V279" s="197" t="s">
        <v>993</v>
      </c>
      <c r="W279" s="181" t="s">
        <v>507</v>
      </c>
      <c r="X279" s="181" t="s">
        <v>742</v>
      </c>
      <c r="Y279" s="309">
        <v>40695</v>
      </c>
      <c r="Z279" s="215" t="s">
        <v>934</v>
      </c>
      <c r="AA279" s="196" t="s">
        <v>774</v>
      </c>
      <c r="AB279" s="208">
        <v>43593</v>
      </c>
      <c r="AC279" s="217" t="s">
        <v>2067</v>
      </c>
      <c r="AD279" s="218" t="str">
        <f ca="1">IFERROR(OFFSET(DistanceToCamp[Nearest Town],MATCH(CampList[[#This Row],[CP_Pcode]],DistanceToCamp[CP_Pcode],0)-1,0,1,1),"")</f>
        <v>Laiza town</v>
      </c>
      <c r="AE279" s="210">
        <f ca="1">IFERROR(OFFSET(DistanceToCamp[distance],MATCH(CampList[[#This Row],[CP_Pcode]],DistanceToCamp[CP_Pcode],0)-1,0,1,1),"")</f>
        <v>1.7420415164460403</v>
      </c>
      <c r="AF279" s="219">
        <f ca="1">IFERROR(INT(CampList[[#This Row],[Distance]]/5)+1,"")</f>
        <v>1</v>
      </c>
    </row>
    <row r="280" spans="1:35" ht="15.75" hidden="1" customHeight="1" x14ac:dyDescent="0.3">
      <c r="B280" s="201" t="s">
        <v>775</v>
      </c>
      <c r="C280" s="195" t="s">
        <v>506</v>
      </c>
      <c r="D280" s="195" t="s">
        <v>489</v>
      </c>
      <c r="E280" s="195" t="s">
        <v>717</v>
      </c>
      <c r="F280" s="195" t="s">
        <v>718</v>
      </c>
      <c r="G280" s="195" t="s">
        <v>719</v>
      </c>
      <c r="H280" s="195" t="s">
        <v>720</v>
      </c>
      <c r="I280" s="651" t="s">
        <v>1142</v>
      </c>
      <c r="J280" s="654" t="s">
        <v>1143</v>
      </c>
      <c r="K280" s="195" t="s">
        <v>1142</v>
      </c>
      <c r="L280" s="214">
        <v>206395</v>
      </c>
      <c r="M280" s="195" t="s">
        <v>1141</v>
      </c>
      <c r="N280" s="196" t="s">
        <v>1125</v>
      </c>
      <c r="O280" s="202">
        <v>98.221000000000004</v>
      </c>
      <c r="P280" s="202">
        <v>23.353999999999999</v>
      </c>
      <c r="Q280" s="215"/>
      <c r="R280" s="306"/>
      <c r="S280" s="307"/>
      <c r="T280" s="205" t="str">
        <f>IF(CampList[[#This Row],[HH]]&gt;0,CampList[[#This Row],[Total]]/CampList[[#This Row],[HH]],"NA")</f>
        <v>NA</v>
      </c>
      <c r="U280" s="181" t="s">
        <v>464</v>
      </c>
      <c r="V280" s="197" t="s">
        <v>993</v>
      </c>
      <c r="W280" s="181" t="s">
        <v>507</v>
      </c>
      <c r="X280" s="197" t="s">
        <v>742</v>
      </c>
      <c r="Y280" s="216">
        <v>42430</v>
      </c>
      <c r="Z280" s="207"/>
      <c r="AA280" s="196" t="s">
        <v>774</v>
      </c>
      <c r="AB280" s="208">
        <v>42927</v>
      </c>
      <c r="AC280" s="201" t="s">
        <v>1281</v>
      </c>
      <c r="AD280" s="197" t="str">
        <f ca="1">IFERROR(OFFSET(DistanceToCamp[Nearest Town],MATCH(CampList[[#This Row],[CP_Pcode]],DistanceToCamp[CP_Pcode],0)-1,0,1,1),"")</f>
        <v/>
      </c>
      <c r="AE280" s="210" t="str">
        <f ca="1">IFERROR(OFFSET(DistanceToCamp[distance],MATCH(CampList[[#This Row],[CP_Pcode]],DistanceToCamp[CP_Pcode],0)-1,0,1,1),"")</f>
        <v/>
      </c>
      <c r="AF280" s="219" t="str">
        <f ca="1">IFERROR(INT(CampList[[#This Row],[Distance]]/5)+1,"")</f>
        <v/>
      </c>
    </row>
    <row r="281" spans="1:35" ht="15.75" customHeight="1" x14ac:dyDescent="0.3">
      <c r="B281" s="201" t="s">
        <v>1692</v>
      </c>
      <c r="C281" s="195" t="s">
        <v>378</v>
      </c>
      <c r="D281" s="195" t="s">
        <v>478</v>
      </c>
      <c r="E281" s="195" t="s">
        <v>180</v>
      </c>
      <c r="F281" s="195" t="s">
        <v>479</v>
      </c>
      <c r="G281" s="195" t="s">
        <v>180</v>
      </c>
      <c r="H281" s="195" t="s">
        <v>504</v>
      </c>
      <c r="I281" s="195" t="s">
        <v>556</v>
      </c>
      <c r="J281" s="195" t="s">
        <v>557</v>
      </c>
      <c r="K281" s="195" t="s">
        <v>1648</v>
      </c>
      <c r="L281" s="656">
        <v>166592</v>
      </c>
      <c r="M281" s="195" t="s">
        <v>286</v>
      </c>
      <c r="N281" s="195" t="s">
        <v>285</v>
      </c>
      <c r="O281" s="202">
        <v>96.364949999999993</v>
      </c>
      <c r="P281" s="202">
        <v>24.998349999999999</v>
      </c>
      <c r="Q281" s="203"/>
      <c r="R281" s="270">
        <v>26</v>
      </c>
      <c r="S281" s="270">
        <v>117</v>
      </c>
      <c r="T281" s="205">
        <f>IF(CampList[[#This Row],[HH]]&gt;0,CampList[[#This Row],[Total]]/CampList[[#This Row],[HH]],"NA")</f>
        <v>4.5</v>
      </c>
      <c r="U281" s="197" t="s">
        <v>464</v>
      </c>
      <c r="V281" s="197" t="s">
        <v>993</v>
      </c>
      <c r="W281" s="197" t="s">
        <v>507</v>
      </c>
      <c r="X281" s="197" t="s">
        <v>784</v>
      </c>
      <c r="Y281" s="308">
        <v>40940</v>
      </c>
      <c r="Z281" s="636" t="s">
        <v>1835</v>
      </c>
      <c r="AA281" s="195" t="s">
        <v>774</v>
      </c>
      <c r="AB281" s="208">
        <v>43593</v>
      </c>
      <c r="AC281" s="209" t="s">
        <v>2005</v>
      </c>
      <c r="AD281" s="197" t="str">
        <f ca="1">IFERROR(OFFSET(DistanceToCamp[Nearest Town],MATCH(CampList[[#This Row],[CP_Pcode]],DistanceToCamp[CP_Pcode],0)-1,0,1,1),"")</f>
        <v>Hopin Town</v>
      </c>
      <c r="AE281" s="210">
        <f ca="1">IFERROR(OFFSET(DistanceToCamp[distance],MATCH(CampList[[#This Row],[CP_Pcode]],DistanceToCamp[CP_Pcode],0)-1,0,1,1),"")</f>
        <v>16.668825701583572</v>
      </c>
      <c r="AF281" s="211">
        <f ca="1">IFERROR(INT(CampList[[#This Row],[Distance]]/5)+1,"")</f>
        <v>4</v>
      </c>
    </row>
    <row r="282" spans="1:35" ht="15.75" hidden="1" customHeight="1" x14ac:dyDescent="0.3">
      <c r="B282" s="201" t="s">
        <v>775</v>
      </c>
      <c r="C282" s="195" t="s">
        <v>506</v>
      </c>
      <c r="D282" s="195" t="s">
        <v>489</v>
      </c>
      <c r="E282" s="195" t="s">
        <v>494</v>
      </c>
      <c r="F282" s="195" t="s">
        <v>495</v>
      </c>
      <c r="G282" s="195" t="s">
        <v>297</v>
      </c>
      <c r="H282" s="195" t="s">
        <v>503</v>
      </c>
      <c r="I282" s="655" t="s">
        <v>755</v>
      </c>
      <c r="J282" s="654" t="s">
        <v>756</v>
      </c>
      <c r="K282" s="655" t="s">
        <v>757</v>
      </c>
      <c r="L282" s="655" t="s">
        <v>758</v>
      </c>
      <c r="M282" s="593" t="s">
        <v>1184</v>
      </c>
      <c r="N282" s="196" t="s">
        <v>1167</v>
      </c>
      <c r="O282" s="270">
        <v>97.400671000000003</v>
      </c>
      <c r="P282" s="270">
        <v>23.099304</v>
      </c>
      <c r="Q282" s="271"/>
      <c r="R282" s="588"/>
      <c r="S282" s="588"/>
      <c r="T282" s="272" t="str">
        <f>IF(CampList[[#This Row],[HH]]&gt;0,CampList[[#This Row],[Total]]/CampList[[#This Row],[HH]],"NA")</f>
        <v>NA</v>
      </c>
      <c r="U282" s="181" t="s">
        <v>464</v>
      </c>
      <c r="V282" s="273" t="s">
        <v>993</v>
      </c>
      <c r="W282" s="180" t="s">
        <v>507</v>
      </c>
      <c r="X282" s="180" t="s">
        <v>742</v>
      </c>
      <c r="Y282" s="274"/>
      <c r="Z282" s="271"/>
      <c r="AA282" s="268" t="s">
        <v>774</v>
      </c>
      <c r="AB282" s="275">
        <v>42888</v>
      </c>
      <c r="AC282" s="276" t="s">
        <v>1242</v>
      </c>
      <c r="AD282" s="277" t="str">
        <f ca="1">IFERROR(OFFSET(DistanceToCamp[Nearest Town],MATCH(CampList[[#This Row],[CP_Pcode]],DistanceToCamp[CP_Pcode],0)-1,0,1,1),"")</f>
        <v/>
      </c>
      <c r="AE282" s="278" t="str">
        <f ca="1">IFERROR(OFFSET(DistanceToCamp[distance],MATCH(CampList[[#This Row],[CP_Pcode]],DistanceToCamp[CP_Pcode],0)-1,0,1,1),"")</f>
        <v/>
      </c>
      <c r="AF282" s="279" t="str">
        <f ca="1">IFERROR(INT(CampList[[#This Row],[Distance]]/5)+1,"")</f>
        <v/>
      </c>
    </row>
    <row r="283" spans="1:35" ht="15.75" hidden="1" customHeight="1" x14ac:dyDescent="0.3">
      <c r="B283" s="201" t="s">
        <v>775</v>
      </c>
      <c r="C283" s="195" t="s">
        <v>506</v>
      </c>
      <c r="D283" s="195" t="s">
        <v>489</v>
      </c>
      <c r="E283" s="195" t="s">
        <v>494</v>
      </c>
      <c r="F283" s="195" t="s">
        <v>495</v>
      </c>
      <c r="G283" s="195" t="s">
        <v>297</v>
      </c>
      <c r="H283" s="195" t="s">
        <v>503</v>
      </c>
      <c r="I283" s="268" t="s">
        <v>755</v>
      </c>
      <c r="J283" s="269" t="s">
        <v>756</v>
      </c>
      <c r="K283" s="196" t="s">
        <v>757</v>
      </c>
      <c r="L283" s="196" t="s">
        <v>758</v>
      </c>
      <c r="M283" s="195" t="s">
        <v>1186</v>
      </c>
      <c r="N283" s="196" t="s">
        <v>1168</v>
      </c>
      <c r="O283" s="270"/>
      <c r="P283" s="270"/>
      <c r="Q283" s="271"/>
      <c r="R283" s="231">
        <v>13</v>
      </c>
      <c r="S283" s="231">
        <v>45</v>
      </c>
      <c r="T283" s="272">
        <f>IF(CampList[[#This Row],[HH]]&gt;0,CampList[[#This Row],[Total]]/CampList[[#This Row],[HH]],"NA")</f>
        <v>3.4615384615384617</v>
      </c>
      <c r="U283" s="181" t="s">
        <v>464</v>
      </c>
      <c r="V283" s="273" t="s">
        <v>993</v>
      </c>
      <c r="W283" s="197" t="s">
        <v>1376</v>
      </c>
      <c r="X283" s="180" t="s">
        <v>742</v>
      </c>
      <c r="Y283" s="274"/>
      <c r="Z283" s="271"/>
      <c r="AA283" s="268" t="s">
        <v>774</v>
      </c>
      <c r="AB283" s="275">
        <v>42752</v>
      </c>
      <c r="AC283" s="276" t="s">
        <v>1522</v>
      </c>
      <c r="AD283" s="277" t="str">
        <f ca="1">IFERROR(OFFSET(DistanceToCamp[Nearest Town],MATCH(CampList[[#This Row],[CP_Pcode]],DistanceToCamp[CP_Pcode],0)-1,0,1,1),"")</f>
        <v/>
      </c>
      <c r="AE283" s="278" t="str">
        <f ca="1">IFERROR(OFFSET(DistanceToCamp[distance],MATCH(CampList[[#This Row],[CP_Pcode]],DistanceToCamp[CP_Pcode],0)-1,0,1,1),"")</f>
        <v/>
      </c>
      <c r="AF283" s="279" t="str">
        <f ca="1">IFERROR(INT(CampList[[#This Row],[Distance]]/5)+1,"")</f>
        <v/>
      </c>
    </row>
    <row r="284" spans="1:35" ht="15.75" hidden="1" customHeight="1" x14ac:dyDescent="0.3">
      <c r="B284" s="201" t="s">
        <v>775</v>
      </c>
      <c r="C284" s="195" t="s">
        <v>506</v>
      </c>
      <c r="D284" s="195" t="s">
        <v>489</v>
      </c>
      <c r="E284" s="195" t="s">
        <v>494</v>
      </c>
      <c r="F284" s="195" t="s">
        <v>495</v>
      </c>
      <c r="G284" s="195" t="s">
        <v>297</v>
      </c>
      <c r="H284" s="195" t="s">
        <v>503</v>
      </c>
      <c r="I284" s="268" t="s">
        <v>755</v>
      </c>
      <c r="J284" s="269" t="s">
        <v>756</v>
      </c>
      <c r="K284" s="655" t="s">
        <v>757</v>
      </c>
      <c r="L284" s="655" t="s">
        <v>758</v>
      </c>
      <c r="M284" s="593" t="s">
        <v>1187</v>
      </c>
      <c r="N284" s="196" t="s">
        <v>1169</v>
      </c>
      <c r="O284" s="270"/>
      <c r="P284" s="270"/>
      <c r="Q284" s="271"/>
      <c r="R284" s="231"/>
      <c r="S284" s="231"/>
      <c r="T284" s="272" t="str">
        <f>IF(CampList[[#This Row],[HH]]&gt;0,CampList[[#This Row],[Total]]/CampList[[#This Row],[HH]],"NA")</f>
        <v>NA</v>
      </c>
      <c r="U284" s="181" t="s">
        <v>464</v>
      </c>
      <c r="V284" s="273" t="s">
        <v>993</v>
      </c>
      <c r="W284" s="180" t="s">
        <v>507</v>
      </c>
      <c r="X284" s="180" t="s">
        <v>742</v>
      </c>
      <c r="Y284" s="274"/>
      <c r="Z284" s="271"/>
      <c r="AA284" s="268" t="s">
        <v>774</v>
      </c>
      <c r="AB284" s="208">
        <v>42919</v>
      </c>
      <c r="AC284" s="276" t="s">
        <v>1266</v>
      </c>
      <c r="AD284" s="277" t="str">
        <f ca="1">IFERROR(OFFSET(DistanceToCamp[Nearest Town],MATCH(CampList[[#This Row],[CP_Pcode]],DistanceToCamp[CP_Pcode],0)-1,0,1,1),"")</f>
        <v/>
      </c>
      <c r="AE284" s="278" t="str">
        <f ca="1">IFERROR(OFFSET(DistanceToCamp[distance],MATCH(CampList[[#This Row],[CP_Pcode]],DistanceToCamp[CP_Pcode],0)-1,0,1,1),"")</f>
        <v/>
      </c>
      <c r="AF284" s="279" t="str">
        <f ca="1">IFERROR(INT(CampList[[#This Row],[Distance]]/5)+1,"")</f>
        <v/>
      </c>
    </row>
    <row r="285" spans="1:35" ht="15.75" hidden="1" customHeight="1" x14ac:dyDescent="0.3">
      <c r="B285" s="201" t="s">
        <v>775</v>
      </c>
      <c r="C285" s="195" t="s">
        <v>506</v>
      </c>
      <c r="D285" s="195" t="s">
        <v>489</v>
      </c>
      <c r="E285" s="195" t="s">
        <v>494</v>
      </c>
      <c r="F285" s="195" t="s">
        <v>495</v>
      </c>
      <c r="G285" s="195" t="s">
        <v>297</v>
      </c>
      <c r="H285" s="195" t="s">
        <v>503</v>
      </c>
      <c r="I285" s="268" t="s">
        <v>755</v>
      </c>
      <c r="J285" s="269" t="s">
        <v>756</v>
      </c>
      <c r="K285" s="268" t="s">
        <v>757</v>
      </c>
      <c r="L285" s="655" t="s">
        <v>758</v>
      </c>
      <c r="M285" s="593" t="s">
        <v>1188</v>
      </c>
      <c r="N285" s="196" t="s">
        <v>1170</v>
      </c>
      <c r="O285" s="270"/>
      <c r="P285" s="270"/>
      <c r="Q285" s="271"/>
      <c r="R285" s="231"/>
      <c r="S285" s="231"/>
      <c r="T285" s="272" t="str">
        <f>IF(CampList[[#This Row],[HH]]&gt;0,CampList[[#This Row],[Total]]/CampList[[#This Row],[HH]],"NA")</f>
        <v>NA</v>
      </c>
      <c r="U285" s="181" t="s">
        <v>464</v>
      </c>
      <c r="V285" s="273" t="s">
        <v>993</v>
      </c>
      <c r="W285" s="180" t="s">
        <v>507</v>
      </c>
      <c r="X285" s="180" t="s">
        <v>742</v>
      </c>
      <c r="Y285" s="274"/>
      <c r="Z285" s="271"/>
      <c r="AA285" s="268" t="s">
        <v>774</v>
      </c>
      <c r="AB285" s="208">
        <v>42919</v>
      </c>
      <c r="AC285" s="276" t="s">
        <v>1266</v>
      </c>
      <c r="AD285" s="277" t="str">
        <f ca="1">IFERROR(OFFSET(DistanceToCamp[Nearest Town],MATCH(CampList[[#This Row],[CP_Pcode]],DistanceToCamp[CP_Pcode],0)-1,0,1,1),"")</f>
        <v/>
      </c>
      <c r="AE285" s="278" t="str">
        <f ca="1">IFERROR(OFFSET(DistanceToCamp[distance],MATCH(CampList[[#This Row],[CP_Pcode]],DistanceToCamp[CP_Pcode],0)-1,0,1,1),"")</f>
        <v/>
      </c>
      <c r="AF285" s="279" t="str">
        <f ca="1">IFERROR(INT(CampList[[#This Row],[Distance]]/5)+1,"")</f>
        <v/>
      </c>
    </row>
    <row r="286" spans="1:35" ht="15.75" customHeight="1" x14ac:dyDescent="0.3">
      <c r="B286" s="201" t="s">
        <v>1692</v>
      </c>
      <c r="C286" s="195" t="s">
        <v>378</v>
      </c>
      <c r="D286" s="195" t="s">
        <v>478</v>
      </c>
      <c r="E286" s="195" t="s">
        <v>5</v>
      </c>
      <c r="F286" s="195" t="s">
        <v>482</v>
      </c>
      <c r="G286" s="195" t="s">
        <v>151</v>
      </c>
      <c r="H286" s="195" t="s">
        <v>492</v>
      </c>
      <c r="I286" s="195" t="s">
        <v>811</v>
      </c>
      <c r="J286" s="195" t="s">
        <v>1106</v>
      </c>
      <c r="K286" s="195" t="s">
        <v>811</v>
      </c>
      <c r="L286" s="195">
        <v>167301</v>
      </c>
      <c r="M286" s="195" t="s">
        <v>811</v>
      </c>
      <c r="N286" s="195" t="s">
        <v>812</v>
      </c>
      <c r="O286" s="202">
        <v>97.225881000000001</v>
      </c>
      <c r="P286" s="202">
        <v>23.972453000000002</v>
      </c>
      <c r="Q286" s="215">
        <v>466</v>
      </c>
      <c r="R286" s="270">
        <v>432</v>
      </c>
      <c r="S286" s="771">
        <v>2528</v>
      </c>
      <c r="T286" s="205">
        <f>IF(CampList[[#This Row],[HH]]&gt;0,CampList[[#This Row],[Total]]/CampList[[#This Row],[HH]],"NA")</f>
        <v>5.8518518518518521</v>
      </c>
      <c r="U286" s="197" t="s">
        <v>464</v>
      </c>
      <c r="V286" s="197" t="s">
        <v>993</v>
      </c>
      <c r="W286" s="197" t="s">
        <v>507</v>
      </c>
      <c r="X286" s="197" t="s">
        <v>784</v>
      </c>
      <c r="Y286" s="308">
        <v>41548</v>
      </c>
      <c r="Z286" s="636" t="s">
        <v>1834</v>
      </c>
      <c r="AA286" s="221" t="s">
        <v>774</v>
      </c>
      <c r="AB286" s="208">
        <v>43593</v>
      </c>
      <c r="AC286" s="201" t="s">
        <v>1967</v>
      </c>
      <c r="AD286" s="197" t="str">
        <f ca="1">IFERROR(OFFSET(DistanceToCamp[Nearest Town],MATCH(CampList[[#This Row],[CP_Pcode]],DistanceToCamp[CP_Pcode],0)-1,0,1,1),"")</f>
        <v>Mansi Town</v>
      </c>
      <c r="AE286" s="210">
        <f ca="1">IFERROR(OFFSET(DistanceToCamp[distance],MATCH(CampList[[#This Row],[CP_Pcode]],DistanceToCamp[CP_Pcode],0)-1,0,1,1),"")</f>
        <v>17.731070777343263</v>
      </c>
      <c r="AF286" s="211">
        <f ca="1">IFERROR(INT(CampList[[#This Row],[Distance]]/5)+1,"")</f>
        <v>4</v>
      </c>
    </row>
    <row r="287" spans="1:35" ht="15.75" hidden="1" customHeight="1" x14ac:dyDescent="0.3">
      <c r="B287" s="201" t="s">
        <v>775</v>
      </c>
      <c r="C287" s="195" t="s">
        <v>506</v>
      </c>
      <c r="D287" s="195" t="s">
        <v>489</v>
      </c>
      <c r="E287" s="195" t="s">
        <v>230</v>
      </c>
      <c r="F287" s="195" t="s">
        <v>490</v>
      </c>
      <c r="G287" s="195" t="s">
        <v>230</v>
      </c>
      <c r="H287" s="195" t="s">
        <v>491</v>
      </c>
      <c r="I287" s="268" t="s">
        <v>897</v>
      </c>
      <c r="J287" s="269" t="s">
        <v>898</v>
      </c>
      <c r="K287" s="268" t="s">
        <v>899</v>
      </c>
      <c r="L287" s="268" t="s">
        <v>900</v>
      </c>
      <c r="M287" s="172" t="s">
        <v>1196</v>
      </c>
      <c r="N287" s="196" t="s">
        <v>1172</v>
      </c>
      <c r="O287" s="270"/>
      <c r="P287" s="270"/>
      <c r="Q287" s="271"/>
      <c r="R287" s="180"/>
      <c r="S287" s="183"/>
      <c r="T287" s="272" t="str">
        <f>IF(CampList[[#This Row],[HH]]&gt;0,CampList[[#This Row],[Total]]/CampList[[#This Row],[HH]],"NA")</f>
        <v>NA</v>
      </c>
      <c r="U287" s="181" t="s">
        <v>464</v>
      </c>
      <c r="V287" s="273" t="s">
        <v>993</v>
      </c>
      <c r="W287" s="180" t="s">
        <v>507</v>
      </c>
      <c r="X287" s="180" t="s">
        <v>742</v>
      </c>
      <c r="Y287" s="274"/>
      <c r="Z287" s="271"/>
      <c r="AA287" s="268" t="s">
        <v>774</v>
      </c>
      <c r="AB287" s="275">
        <v>42831</v>
      </c>
      <c r="AC287" s="276" t="s">
        <v>1224</v>
      </c>
      <c r="AD287" s="277" t="str">
        <f ca="1">IFERROR(OFFSET(DistanceToCamp[Nearest Town],MATCH(CampList[[#This Row],[CP_Pcode]],DistanceToCamp[CP_Pcode],0)-1,0,1,1),"")</f>
        <v/>
      </c>
      <c r="AE287" s="278" t="str">
        <f ca="1">IFERROR(OFFSET(DistanceToCamp[distance],MATCH(CampList[[#This Row],[CP_Pcode]],DistanceToCamp[CP_Pcode],0)-1,0,1,1),"")</f>
        <v/>
      </c>
      <c r="AF287" s="279" t="str">
        <f ca="1">IFERROR(INT(CampList[[#This Row],[Distance]]/5)+1,"")</f>
        <v/>
      </c>
    </row>
    <row r="288" spans="1:35" ht="15.75" hidden="1" customHeight="1" x14ac:dyDescent="0.3">
      <c r="B288" s="201" t="s">
        <v>775</v>
      </c>
      <c r="C288" s="195" t="s">
        <v>506</v>
      </c>
      <c r="D288" s="195" t="s">
        <v>489</v>
      </c>
      <c r="E288" s="195" t="s">
        <v>230</v>
      </c>
      <c r="F288" s="195" t="s">
        <v>490</v>
      </c>
      <c r="G288" s="195" t="s">
        <v>230</v>
      </c>
      <c r="H288" s="195" t="s">
        <v>491</v>
      </c>
      <c r="I288" s="268" t="s">
        <v>897</v>
      </c>
      <c r="J288" s="269" t="s">
        <v>898</v>
      </c>
      <c r="K288" s="268" t="s">
        <v>1200</v>
      </c>
      <c r="L288" s="268" t="s">
        <v>1201</v>
      </c>
      <c r="M288" s="172" t="s">
        <v>1206</v>
      </c>
      <c r="N288" s="196" t="s">
        <v>1173</v>
      </c>
      <c r="O288" s="270"/>
      <c r="P288" s="270"/>
      <c r="Q288" s="271"/>
      <c r="R288" s="180"/>
      <c r="S288" s="183"/>
      <c r="T288" s="272" t="str">
        <f>IF(CampList[[#This Row],[HH]]&gt;0,CampList[[#This Row],[Total]]/CampList[[#This Row],[HH]],"NA")</f>
        <v>NA</v>
      </c>
      <c r="U288" s="181" t="s">
        <v>464</v>
      </c>
      <c r="V288" s="273" t="s">
        <v>993</v>
      </c>
      <c r="W288" s="180" t="s">
        <v>507</v>
      </c>
      <c r="X288" s="180" t="s">
        <v>742</v>
      </c>
      <c r="Y288" s="274"/>
      <c r="Z288" s="271"/>
      <c r="AA288" s="268"/>
      <c r="AB288" s="275">
        <v>42752</v>
      </c>
      <c r="AC288" s="276" t="s">
        <v>1185</v>
      </c>
      <c r="AD288" s="277" t="str">
        <f ca="1">IFERROR(OFFSET(DistanceToCamp[Nearest Town],MATCH(CampList[[#This Row],[CP_Pcode]],DistanceToCamp[CP_Pcode],0)-1,0,1,1),"")</f>
        <v/>
      </c>
      <c r="AE288" s="278" t="str">
        <f ca="1">IFERROR(OFFSET(DistanceToCamp[distance],MATCH(CampList[[#This Row],[CP_Pcode]],DistanceToCamp[CP_Pcode],0)-1,0,1,1),"")</f>
        <v/>
      </c>
      <c r="AF288" s="279" t="str">
        <f ca="1">IFERROR(INT(CampList[[#This Row],[Distance]]/5)+1,"")</f>
        <v/>
      </c>
    </row>
    <row r="289" spans="2:32" ht="15.75" hidden="1" customHeight="1" x14ac:dyDescent="0.3">
      <c r="B289" s="201" t="s">
        <v>775</v>
      </c>
      <c r="C289" s="195" t="s">
        <v>506</v>
      </c>
      <c r="D289" s="195" t="s">
        <v>489</v>
      </c>
      <c r="E289" s="195" t="s">
        <v>230</v>
      </c>
      <c r="F289" s="195" t="s">
        <v>490</v>
      </c>
      <c r="G289" s="195" t="s">
        <v>230</v>
      </c>
      <c r="H289" s="195" t="s">
        <v>491</v>
      </c>
      <c r="I289" s="268" t="s">
        <v>897</v>
      </c>
      <c r="J289" s="269" t="s">
        <v>898</v>
      </c>
      <c r="K289" s="268" t="s">
        <v>1202</v>
      </c>
      <c r="L289" s="268" t="s">
        <v>1203</v>
      </c>
      <c r="M289" s="172" t="s">
        <v>1207</v>
      </c>
      <c r="N289" s="196" t="s">
        <v>1174</v>
      </c>
      <c r="O289" s="270"/>
      <c r="P289" s="270"/>
      <c r="Q289" s="271"/>
      <c r="R289" s="180"/>
      <c r="S289" s="183"/>
      <c r="T289" s="272" t="str">
        <f>IF(CampList[[#This Row],[HH]]&gt;0,CampList[[#This Row],[Total]]/CampList[[#This Row],[HH]],"NA")</f>
        <v>NA</v>
      </c>
      <c r="U289" s="181" t="s">
        <v>464</v>
      </c>
      <c r="V289" s="273" t="s">
        <v>993</v>
      </c>
      <c r="W289" s="180" t="s">
        <v>507</v>
      </c>
      <c r="X289" s="180" t="s">
        <v>742</v>
      </c>
      <c r="Y289" s="274"/>
      <c r="Z289" s="271"/>
      <c r="AA289" s="268"/>
      <c r="AB289" s="275">
        <v>42752</v>
      </c>
      <c r="AC289" s="276" t="s">
        <v>1185</v>
      </c>
      <c r="AD289" s="277" t="str">
        <f ca="1">IFERROR(OFFSET(DistanceToCamp[Nearest Town],MATCH(CampList[[#This Row],[CP_Pcode]],DistanceToCamp[CP_Pcode],0)-1,0,1,1),"")</f>
        <v/>
      </c>
      <c r="AE289" s="278" t="str">
        <f ca="1">IFERROR(OFFSET(DistanceToCamp[distance],MATCH(CampList[[#This Row],[CP_Pcode]],DistanceToCamp[CP_Pcode],0)-1,0,1,1),"")</f>
        <v/>
      </c>
      <c r="AF289" s="279" t="str">
        <f ca="1">IFERROR(INT(CampList[[#This Row],[Distance]]/5)+1,"")</f>
        <v/>
      </c>
    </row>
    <row r="290" spans="2:32" ht="15.75" hidden="1" customHeight="1" x14ac:dyDescent="0.3">
      <c r="B290" s="201" t="s">
        <v>775</v>
      </c>
      <c r="C290" s="195" t="s">
        <v>506</v>
      </c>
      <c r="D290" s="195" t="s">
        <v>489</v>
      </c>
      <c r="E290" s="195" t="s">
        <v>230</v>
      </c>
      <c r="F290" s="195" t="s">
        <v>490</v>
      </c>
      <c r="G290" s="195" t="s">
        <v>230</v>
      </c>
      <c r="H290" s="195" t="s">
        <v>491</v>
      </c>
      <c r="I290" s="268"/>
      <c r="J290" s="269"/>
      <c r="K290" s="268"/>
      <c r="L290" s="268"/>
      <c r="M290" s="172" t="s">
        <v>1197</v>
      </c>
      <c r="N290" s="196" t="s">
        <v>1175</v>
      </c>
      <c r="O290" s="270"/>
      <c r="P290" s="270"/>
      <c r="Q290" s="271"/>
      <c r="R290" s="180"/>
      <c r="S290" s="183"/>
      <c r="T290" s="272" t="str">
        <f>IF(CampList[[#This Row],[HH]]&gt;0,CampList[[#This Row],[Total]]/CampList[[#This Row],[HH]],"NA")</f>
        <v>NA</v>
      </c>
      <c r="U290" s="181" t="s">
        <v>464</v>
      </c>
      <c r="V290" s="273" t="s">
        <v>993</v>
      </c>
      <c r="W290" s="180" t="s">
        <v>507</v>
      </c>
      <c r="X290" s="180"/>
      <c r="Y290" s="274"/>
      <c r="Z290" s="271"/>
      <c r="AA290" s="268" t="s">
        <v>774</v>
      </c>
      <c r="AB290" s="275">
        <v>42831</v>
      </c>
      <c r="AC290" s="276" t="s">
        <v>1224</v>
      </c>
      <c r="AD290" s="277" t="str">
        <f ca="1">IFERROR(OFFSET(DistanceToCamp[Nearest Town],MATCH(CampList[[#This Row],[CP_Pcode]],DistanceToCamp[CP_Pcode],0)-1,0,1,1),"")</f>
        <v/>
      </c>
      <c r="AE290" s="278" t="str">
        <f ca="1">IFERROR(OFFSET(DistanceToCamp[distance],MATCH(CampList[[#This Row],[CP_Pcode]],DistanceToCamp[CP_Pcode],0)-1,0,1,1),"")</f>
        <v/>
      </c>
      <c r="AF290" s="279" t="str">
        <f ca="1">IFERROR(INT(CampList[[#This Row],[Distance]]/5)+1,"")</f>
        <v/>
      </c>
    </row>
    <row r="291" spans="2:32" ht="15.75" hidden="1" customHeight="1" x14ac:dyDescent="0.3">
      <c r="B291" s="201" t="s">
        <v>775</v>
      </c>
      <c r="C291" s="195" t="s">
        <v>506</v>
      </c>
      <c r="D291" s="195" t="s">
        <v>489</v>
      </c>
      <c r="E291" s="195" t="s">
        <v>230</v>
      </c>
      <c r="F291" s="195" t="s">
        <v>490</v>
      </c>
      <c r="G291" s="195" t="s">
        <v>230</v>
      </c>
      <c r="H291" s="195" t="s">
        <v>491</v>
      </c>
      <c r="I291" s="268" t="s">
        <v>897</v>
      </c>
      <c r="J291" s="269" t="s">
        <v>898</v>
      </c>
      <c r="K291" s="268" t="s">
        <v>1204</v>
      </c>
      <c r="L291" s="268" t="s">
        <v>1205</v>
      </c>
      <c r="M291" s="172" t="s">
        <v>1208</v>
      </c>
      <c r="N291" s="196" t="s">
        <v>1176</v>
      </c>
      <c r="O291" s="270"/>
      <c r="P291" s="270"/>
      <c r="Q291" s="271"/>
      <c r="R291" s="180"/>
      <c r="S291" s="183"/>
      <c r="T291" s="272" t="str">
        <f>IF(CampList[[#This Row],[HH]]&gt;0,CampList[[#This Row],[Total]]/CampList[[#This Row],[HH]],"NA")</f>
        <v>NA</v>
      </c>
      <c r="U291" s="181" t="s">
        <v>464</v>
      </c>
      <c r="V291" s="273" t="s">
        <v>993</v>
      </c>
      <c r="W291" s="180" t="s">
        <v>507</v>
      </c>
      <c r="X291" s="180" t="s">
        <v>742</v>
      </c>
      <c r="Y291" s="274"/>
      <c r="Z291" s="271"/>
      <c r="AA291" s="268" t="s">
        <v>774</v>
      </c>
      <c r="AB291" s="275">
        <v>42831</v>
      </c>
      <c r="AC291" s="276" t="s">
        <v>1224</v>
      </c>
      <c r="AD291" s="277" t="str">
        <f ca="1">IFERROR(OFFSET(DistanceToCamp[Nearest Town],MATCH(CampList[[#This Row],[CP_Pcode]],DistanceToCamp[CP_Pcode],0)-1,0,1,1),"")</f>
        <v/>
      </c>
      <c r="AE291" s="278" t="str">
        <f ca="1">IFERROR(OFFSET(DistanceToCamp[distance],MATCH(CampList[[#This Row],[CP_Pcode]],DistanceToCamp[CP_Pcode],0)-1,0,1,1),"")</f>
        <v/>
      </c>
      <c r="AF291" s="279" t="str">
        <f ca="1">IFERROR(INT(CampList[[#This Row],[Distance]]/5)+1,"")</f>
        <v/>
      </c>
    </row>
    <row r="292" spans="2:32" ht="15.75" hidden="1" customHeight="1" x14ac:dyDescent="0.3">
      <c r="B292" s="201" t="s">
        <v>775</v>
      </c>
      <c r="C292" s="195" t="s">
        <v>506</v>
      </c>
      <c r="D292" s="195" t="s">
        <v>489</v>
      </c>
      <c r="E292" s="195" t="s">
        <v>230</v>
      </c>
      <c r="F292" s="195" t="s">
        <v>490</v>
      </c>
      <c r="G292" s="195" t="s">
        <v>230</v>
      </c>
      <c r="H292" s="195" t="s">
        <v>491</v>
      </c>
      <c r="I292" s="268" t="s">
        <v>1209</v>
      </c>
      <c r="J292" s="269" t="s">
        <v>1210</v>
      </c>
      <c r="K292" s="268" t="s">
        <v>1211</v>
      </c>
      <c r="L292" s="268">
        <v>208003</v>
      </c>
      <c r="M292" s="172" t="s">
        <v>1212</v>
      </c>
      <c r="N292" s="196" t="s">
        <v>1177</v>
      </c>
      <c r="O292" s="270"/>
      <c r="P292" s="270"/>
      <c r="Q292" s="271"/>
      <c r="R292" s="180"/>
      <c r="S292" s="183"/>
      <c r="T292" s="272" t="str">
        <f>IF(CampList[[#This Row],[HH]]&gt;0,CampList[[#This Row],[Total]]/CampList[[#This Row],[HH]],"NA")</f>
        <v>NA</v>
      </c>
      <c r="U292" s="181" t="s">
        <v>464</v>
      </c>
      <c r="V292" s="273" t="s">
        <v>993</v>
      </c>
      <c r="W292" s="180" t="s">
        <v>507</v>
      </c>
      <c r="X292" s="180" t="s">
        <v>784</v>
      </c>
      <c r="Y292" s="274"/>
      <c r="Z292" s="271"/>
      <c r="AA292" s="268" t="s">
        <v>774</v>
      </c>
      <c r="AB292" s="275">
        <v>42831</v>
      </c>
      <c r="AC292" s="276" t="s">
        <v>1224</v>
      </c>
      <c r="AD292" s="277" t="str">
        <f ca="1">IFERROR(OFFSET(DistanceToCamp[Nearest Town],MATCH(CampList[[#This Row],[CP_Pcode]],DistanceToCamp[CP_Pcode],0)-1,0,1,1),"")</f>
        <v/>
      </c>
      <c r="AE292" s="278" t="str">
        <f ca="1">IFERROR(OFFSET(DistanceToCamp[distance],MATCH(CampList[[#This Row],[CP_Pcode]],DistanceToCamp[CP_Pcode],0)-1,0,1,1),"")</f>
        <v/>
      </c>
      <c r="AF292" s="279" t="str">
        <f ca="1">IFERROR(INT(CampList[[#This Row],[Distance]]/5)+1,"")</f>
        <v/>
      </c>
    </row>
    <row r="293" spans="2:32" ht="15.75" hidden="1" customHeight="1" x14ac:dyDescent="0.3">
      <c r="B293" s="201" t="s">
        <v>775</v>
      </c>
      <c r="C293" s="195" t="s">
        <v>506</v>
      </c>
      <c r="D293" s="195" t="s">
        <v>489</v>
      </c>
      <c r="E293" s="195" t="s">
        <v>230</v>
      </c>
      <c r="F293" s="195" t="s">
        <v>490</v>
      </c>
      <c r="G293" s="195" t="s">
        <v>230</v>
      </c>
      <c r="H293" s="195" t="s">
        <v>491</v>
      </c>
      <c r="I293" s="268" t="s">
        <v>897</v>
      </c>
      <c r="J293" s="269" t="s">
        <v>898</v>
      </c>
      <c r="K293" s="268" t="s">
        <v>899</v>
      </c>
      <c r="L293" s="268" t="s">
        <v>900</v>
      </c>
      <c r="M293" s="172" t="s">
        <v>1190</v>
      </c>
      <c r="N293" s="196" t="s">
        <v>1178</v>
      </c>
      <c r="O293" s="270"/>
      <c r="P293" s="270"/>
      <c r="Q293" s="271"/>
      <c r="R293" s="180"/>
      <c r="S293" s="183"/>
      <c r="T293" s="272" t="str">
        <f>IF(CampList[[#This Row],[HH]]&gt;0,CampList[[#This Row],[Total]]/CampList[[#This Row],[HH]],"NA")</f>
        <v>NA</v>
      </c>
      <c r="U293" s="181" t="s">
        <v>464</v>
      </c>
      <c r="V293" s="273" t="s">
        <v>993</v>
      </c>
      <c r="W293" s="180" t="s">
        <v>507</v>
      </c>
      <c r="X293" s="180" t="s">
        <v>742</v>
      </c>
      <c r="Y293" s="274"/>
      <c r="Z293" s="271"/>
      <c r="AA293" s="268" t="s">
        <v>774</v>
      </c>
      <c r="AB293" s="275">
        <v>42831</v>
      </c>
      <c r="AC293" s="276" t="s">
        <v>1224</v>
      </c>
      <c r="AD293" s="277" t="str">
        <f ca="1">IFERROR(OFFSET(DistanceToCamp[Nearest Town],MATCH(CampList[[#This Row],[CP_Pcode]],DistanceToCamp[CP_Pcode],0)-1,0,1,1),"")</f>
        <v/>
      </c>
      <c r="AE293" s="278" t="str">
        <f ca="1">IFERROR(OFFSET(DistanceToCamp[distance],MATCH(CampList[[#This Row],[CP_Pcode]],DistanceToCamp[CP_Pcode],0)-1,0,1,1),"")</f>
        <v/>
      </c>
      <c r="AF293" s="279" t="str">
        <f ca="1">IFERROR(INT(CampList[[#This Row],[Distance]]/5)+1,"")</f>
        <v/>
      </c>
    </row>
    <row r="294" spans="2:32" ht="15.75" hidden="1" customHeight="1" x14ac:dyDescent="0.3">
      <c r="B294" s="201" t="s">
        <v>775</v>
      </c>
      <c r="C294" s="195" t="s">
        <v>506</v>
      </c>
      <c r="D294" s="195" t="s">
        <v>489</v>
      </c>
      <c r="E294" s="195" t="s">
        <v>230</v>
      </c>
      <c r="F294" s="195" t="s">
        <v>490</v>
      </c>
      <c r="G294" s="195" t="s">
        <v>230</v>
      </c>
      <c r="H294" s="195" t="s">
        <v>491</v>
      </c>
      <c r="I294" s="268" t="s">
        <v>897</v>
      </c>
      <c r="J294" s="269" t="s">
        <v>898</v>
      </c>
      <c r="K294" s="268"/>
      <c r="L294" s="268"/>
      <c r="M294" s="172" t="s">
        <v>1191</v>
      </c>
      <c r="N294" s="196" t="s">
        <v>1179</v>
      </c>
      <c r="O294" s="270"/>
      <c r="P294" s="270"/>
      <c r="Q294" s="271"/>
      <c r="R294" s="180"/>
      <c r="S294" s="183"/>
      <c r="T294" s="272" t="str">
        <f>IF(CampList[[#This Row],[HH]]&gt;0,CampList[[#This Row],[Total]]/CampList[[#This Row],[HH]],"NA")</f>
        <v>NA</v>
      </c>
      <c r="U294" s="181" t="s">
        <v>464</v>
      </c>
      <c r="V294" s="273" t="s">
        <v>993</v>
      </c>
      <c r="W294" s="180" t="s">
        <v>507</v>
      </c>
      <c r="X294" s="180"/>
      <c r="Y294" s="274"/>
      <c r="Z294" s="271"/>
      <c r="AA294" s="268"/>
      <c r="AB294" s="275">
        <v>42752</v>
      </c>
      <c r="AC294" s="276" t="s">
        <v>1185</v>
      </c>
      <c r="AD294" s="277" t="str">
        <f ca="1">IFERROR(OFFSET(DistanceToCamp[Nearest Town],MATCH(CampList[[#This Row],[CP_Pcode]],DistanceToCamp[CP_Pcode],0)-1,0,1,1),"")</f>
        <v/>
      </c>
      <c r="AE294" s="278" t="str">
        <f ca="1">IFERROR(OFFSET(DistanceToCamp[distance],MATCH(CampList[[#This Row],[CP_Pcode]],DistanceToCamp[CP_Pcode],0)-1,0,1,1),"")</f>
        <v/>
      </c>
      <c r="AF294" s="279" t="str">
        <f ca="1">IFERROR(INT(CampList[[#This Row],[Distance]]/5)+1,"")</f>
        <v/>
      </c>
    </row>
    <row r="295" spans="2:32" ht="15.75" hidden="1" customHeight="1" x14ac:dyDescent="0.3">
      <c r="B295" s="201" t="s">
        <v>775</v>
      </c>
      <c r="C295" s="195" t="s">
        <v>506</v>
      </c>
      <c r="D295" s="195" t="s">
        <v>489</v>
      </c>
      <c r="E295" s="195" t="s">
        <v>230</v>
      </c>
      <c r="F295" s="195" t="s">
        <v>490</v>
      </c>
      <c r="G295" s="195" t="s">
        <v>230</v>
      </c>
      <c r="H295" s="195" t="s">
        <v>491</v>
      </c>
      <c r="I295" s="268" t="s">
        <v>897</v>
      </c>
      <c r="J295" s="269" t="s">
        <v>898</v>
      </c>
      <c r="K295" s="268" t="s">
        <v>899</v>
      </c>
      <c r="L295" s="268" t="s">
        <v>900</v>
      </c>
      <c r="M295" s="172" t="s">
        <v>1192</v>
      </c>
      <c r="N295" s="196" t="s">
        <v>1180</v>
      </c>
      <c r="O295" s="270"/>
      <c r="P295" s="270"/>
      <c r="Q295" s="271"/>
      <c r="R295" s="180"/>
      <c r="S295" s="183"/>
      <c r="T295" s="272" t="str">
        <f>IF(CampList[[#This Row],[HH]]&gt;0,CampList[[#This Row],[Total]]/CampList[[#This Row],[HH]],"NA")</f>
        <v>NA</v>
      </c>
      <c r="U295" s="181" t="s">
        <v>464</v>
      </c>
      <c r="V295" s="273" t="s">
        <v>993</v>
      </c>
      <c r="W295" s="180" t="s">
        <v>507</v>
      </c>
      <c r="X295" s="180" t="s">
        <v>742</v>
      </c>
      <c r="Y295" s="274"/>
      <c r="Z295" s="271"/>
      <c r="AA295" s="268" t="s">
        <v>774</v>
      </c>
      <c r="AB295" s="275">
        <v>42831</v>
      </c>
      <c r="AC295" s="276" t="s">
        <v>1224</v>
      </c>
      <c r="AD295" s="277" t="str">
        <f ca="1">IFERROR(OFFSET(DistanceToCamp[Nearest Town],MATCH(CampList[[#This Row],[CP_Pcode]],DistanceToCamp[CP_Pcode],0)-1,0,1,1),"")</f>
        <v/>
      </c>
      <c r="AE295" s="278" t="str">
        <f ca="1">IFERROR(OFFSET(DistanceToCamp[distance],MATCH(CampList[[#This Row],[CP_Pcode]],DistanceToCamp[CP_Pcode],0)-1,0,1,1),"")</f>
        <v/>
      </c>
      <c r="AF295" s="279" t="str">
        <f ca="1">IFERROR(INT(CampList[[#This Row],[Distance]]/5)+1,"")</f>
        <v/>
      </c>
    </row>
    <row r="296" spans="2:32" ht="15.75" hidden="1" customHeight="1" x14ac:dyDescent="0.3">
      <c r="B296" s="201" t="s">
        <v>775</v>
      </c>
      <c r="C296" s="195" t="s">
        <v>506</v>
      </c>
      <c r="D296" s="195" t="s">
        <v>489</v>
      </c>
      <c r="E296" s="195" t="s">
        <v>230</v>
      </c>
      <c r="F296" s="195" t="s">
        <v>490</v>
      </c>
      <c r="G296" s="195" t="s">
        <v>230</v>
      </c>
      <c r="H296" s="195" t="s">
        <v>491</v>
      </c>
      <c r="I296" s="268" t="s">
        <v>897</v>
      </c>
      <c r="J296" s="269" t="s">
        <v>898</v>
      </c>
      <c r="K296" s="268" t="s">
        <v>899</v>
      </c>
      <c r="L296" s="268" t="s">
        <v>900</v>
      </c>
      <c r="M296" s="172" t="s">
        <v>1193</v>
      </c>
      <c r="N296" s="196" t="s">
        <v>1181</v>
      </c>
      <c r="O296" s="270"/>
      <c r="P296" s="270"/>
      <c r="Q296" s="271"/>
      <c r="R296" s="180"/>
      <c r="S296" s="183"/>
      <c r="T296" s="272" t="str">
        <f>IF(CampList[[#This Row],[HH]]&gt;0,CampList[[#This Row],[Total]]/CampList[[#This Row],[HH]],"NA")</f>
        <v>NA</v>
      </c>
      <c r="U296" s="181" t="s">
        <v>464</v>
      </c>
      <c r="V296" s="273" t="s">
        <v>993</v>
      </c>
      <c r="W296" s="180" t="s">
        <v>507</v>
      </c>
      <c r="X296" s="180" t="s">
        <v>742</v>
      </c>
      <c r="Y296" s="274"/>
      <c r="Z296" s="271"/>
      <c r="AA296" s="268" t="s">
        <v>774</v>
      </c>
      <c r="AB296" s="275">
        <v>42831</v>
      </c>
      <c r="AC296" s="276" t="s">
        <v>1224</v>
      </c>
      <c r="AD296" s="277" t="str">
        <f ca="1">IFERROR(OFFSET(DistanceToCamp[Nearest Town],MATCH(CampList[[#This Row],[CP_Pcode]],DistanceToCamp[CP_Pcode],0)-1,0,1,1),"")</f>
        <v/>
      </c>
      <c r="AE296" s="278" t="str">
        <f ca="1">IFERROR(OFFSET(DistanceToCamp[distance],MATCH(CampList[[#This Row],[CP_Pcode]],DistanceToCamp[CP_Pcode],0)-1,0,1,1),"")</f>
        <v/>
      </c>
      <c r="AF296" s="279" t="str">
        <f ca="1">IFERROR(INT(CampList[[#This Row],[Distance]]/5)+1,"")</f>
        <v/>
      </c>
    </row>
    <row r="297" spans="2:32" ht="15.75" hidden="1" customHeight="1" x14ac:dyDescent="0.3">
      <c r="B297" s="201" t="s">
        <v>775</v>
      </c>
      <c r="C297" s="195" t="s">
        <v>506</v>
      </c>
      <c r="D297" s="195" t="s">
        <v>489</v>
      </c>
      <c r="E297" s="195" t="s">
        <v>230</v>
      </c>
      <c r="F297" s="195" t="s">
        <v>490</v>
      </c>
      <c r="G297" s="195" t="s">
        <v>230</v>
      </c>
      <c r="H297" s="195" t="s">
        <v>491</v>
      </c>
      <c r="I297" s="268"/>
      <c r="J297" s="269"/>
      <c r="K297" s="268"/>
      <c r="L297" s="268"/>
      <c r="M297" s="172" t="s">
        <v>1194</v>
      </c>
      <c r="N297" s="196" t="s">
        <v>1182</v>
      </c>
      <c r="O297" s="270"/>
      <c r="P297" s="270"/>
      <c r="Q297" s="271"/>
      <c r="R297" s="180"/>
      <c r="S297" s="589"/>
      <c r="T297" s="272" t="str">
        <f>IF(CampList[[#This Row],[HH]]&gt;0,CampList[[#This Row],[Total]]/CampList[[#This Row],[HH]],"NA")</f>
        <v>NA</v>
      </c>
      <c r="U297" s="181" t="s">
        <v>464</v>
      </c>
      <c r="V297" s="273" t="s">
        <v>993</v>
      </c>
      <c r="W297" s="180" t="s">
        <v>507</v>
      </c>
      <c r="X297" s="180"/>
      <c r="Y297" s="274"/>
      <c r="Z297" s="271"/>
      <c r="AA297" s="268" t="s">
        <v>774</v>
      </c>
      <c r="AB297" s="275">
        <v>42831</v>
      </c>
      <c r="AC297" s="276" t="s">
        <v>1224</v>
      </c>
      <c r="AD297" s="277" t="str">
        <f ca="1">IFERROR(OFFSET(DistanceToCamp[Nearest Town],MATCH(CampList[[#This Row],[CP_Pcode]],DistanceToCamp[CP_Pcode],0)-1,0,1,1),"")</f>
        <v/>
      </c>
      <c r="AE297" s="278" t="str">
        <f ca="1">IFERROR(OFFSET(DistanceToCamp[distance],MATCH(CampList[[#This Row],[CP_Pcode]],DistanceToCamp[CP_Pcode],0)-1,0,1,1),"")</f>
        <v/>
      </c>
      <c r="AF297" s="279" t="str">
        <f ca="1">IFERROR(INT(CampList[[#This Row],[Distance]]/5)+1,"")</f>
        <v/>
      </c>
    </row>
    <row r="298" spans="2:32" ht="15.6" customHeight="1" x14ac:dyDescent="0.3">
      <c r="B298" s="201" t="s">
        <v>1692</v>
      </c>
      <c r="C298" s="196" t="s">
        <v>378</v>
      </c>
      <c r="D298" s="196" t="s">
        <v>478</v>
      </c>
      <c r="E298" s="196" t="s">
        <v>237</v>
      </c>
      <c r="F298" s="196" t="s">
        <v>484</v>
      </c>
      <c r="G298" s="196" t="s">
        <v>309</v>
      </c>
      <c r="H298" s="196" t="s">
        <v>485</v>
      </c>
      <c r="I298" s="195" t="s">
        <v>695</v>
      </c>
      <c r="J298" s="195" t="s">
        <v>696</v>
      </c>
      <c r="K298" s="212" t="s">
        <v>1118</v>
      </c>
      <c r="L298" s="212">
        <v>165792</v>
      </c>
      <c r="M298" s="172" t="s">
        <v>1261</v>
      </c>
      <c r="N298" s="196" t="s">
        <v>1259</v>
      </c>
      <c r="O298" s="204"/>
      <c r="P298" s="204"/>
      <c r="Q298" s="215"/>
      <c r="R298" s="270">
        <v>398</v>
      </c>
      <c r="S298" s="270">
        <v>1834</v>
      </c>
      <c r="T298" s="205">
        <f>IF(CampList[[#This Row],[HH]]&gt;0,CampList[[#This Row],[Total]]/CampList[[#This Row],[HH]],"NA")</f>
        <v>4.608040201005025</v>
      </c>
      <c r="U298" s="181" t="s">
        <v>466</v>
      </c>
      <c r="V298" s="197" t="s">
        <v>993</v>
      </c>
      <c r="W298" s="181" t="s">
        <v>507</v>
      </c>
      <c r="X298" s="181" t="s">
        <v>784</v>
      </c>
      <c r="Y298" s="309">
        <v>42752</v>
      </c>
      <c r="Z298" s="636" t="s">
        <v>1835</v>
      </c>
      <c r="AA298" s="196" t="s">
        <v>774</v>
      </c>
      <c r="AB298" s="208">
        <v>43593</v>
      </c>
      <c r="AC298" s="217" t="s">
        <v>2006</v>
      </c>
      <c r="AD298" s="218" t="str">
        <f ca="1">IFERROR(OFFSET(DistanceToCamp[Nearest Town],MATCH(CampList[[#This Row],[CP_Pcode]],DistanceToCamp[CP_Pcode],0)-1,0,1,1),"")</f>
        <v>Waingmaw Town</v>
      </c>
      <c r="AE298" s="210">
        <f ca="1">IFERROR(OFFSET(DistanceToCamp[distance],MATCH(CampList[[#This Row],[CP_Pcode]],DistanceToCamp[CP_Pcode],0)-1,0,1,1),"")</f>
        <v>0</v>
      </c>
      <c r="AF298" s="219">
        <f ca="1">IFERROR(INT(CampList[[#This Row],[Distance]]/5)+1,"")</f>
        <v>1</v>
      </c>
    </row>
    <row r="299" spans="2:32" ht="15.6" customHeight="1" x14ac:dyDescent="0.3">
      <c r="B299" s="201" t="s">
        <v>1692</v>
      </c>
      <c r="C299" s="195" t="s">
        <v>378</v>
      </c>
      <c r="D299" s="195" t="s">
        <v>478</v>
      </c>
      <c r="E299" s="195" t="s">
        <v>180</v>
      </c>
      <c r="F299" s="195" t="s">
        <v>479</v>
      </c>
      <c r="G299" s="195" t="s">
        <v>173</v>
      </c>
      <c r="H299" s="195" t="s">
        <v>498</v>
      </c>
      <c r="I299" s="195" t="s">
        <v>1622</v>
      </c>
      <c r="J299" s="214" t="s">
        <v>1623</v>
      </c>
      <c r="K299" s="195" t="s">
        <v>1622</v>
      </c>
      <c r="L299" s="214">
        <v>166765</v>
      </c>
      <c r="M299" s="195" t="s">
        <v>1627</v>
      </c>
      <c r="N299" s="195" t="s">
        <v>1615</v>
      </c>
      <c r="O299" s="202">
        <v>97.013800000000003</v>
      </c>
      <c r="P299" s="202">
        <v>25.383465999999999</v>
      </c>
      <c r="Q299" s="215"/>
      <c r="R299" s="807">
        <v>76</v>
      </c>
      <c r="S299" s="807">
        <v>381</v>
      </c>
      <c r="T299" s="205">
        <f>IF(CampList[[#This Row],[HH]]&gt;0,CampList[[#This Row],[Total]]/CampList[[#This Row],[HH]],"NA")</f>
        <v>5.0131578947368425</v>
      </c>
      <c r="U299" s="197" t="s">
        <v>464</v>
      </c>
      <c r="V299" s="197" t="s">
        <v>993</v>
      </c>
      <c r="W299" s="197" t="s">
        <v>507</v>
      </c>
      <c r="X299" s="197" t="s">
        <v>742</v>
      </c>
      <c r="Y299" s="308">
        <v>43212</v>
      </c>
      <c r="Z299" s="636" t="s">
        <v>934</v>
      </c>
      <c r="AA299" s="195" t="s">
        <v>774</v>
      </c>
      <c r="AB299" s="208">
        <v>43593</v>
      </c>
      <c r="AC299" s="209" t="s">
        <v>2064</v>
      </c>
      <c r="AD299" s="218" t="str">
        <f ca="1">IFERROR(OFFSET(DistanceToCamp[Nearest Town],MATCH(CampList[[#This Row],[CP_Pcode]],DistanceToCamp[CP_Pcode],0)-1,0,1,1),"")</f>
        <v>Panmatee Town</v>
      </c>
      <c r="AE299" s="210">
        <f ca="1">IFERROR(OFFSET(DistanceToCamp[distance],MATCH(CampList[[#This Row],[CP_Pcode]],DistanceToCamp[CP_Pcode],0)-1,0,1,1),"")</f>
        <v>0.4</v>
      </c>
      <c r="AF299" s="219">
        <f ca="1">IFERROR(INT(CampList[[#This Row],[Distance]]/5)+1,"")</f>
        <v>1</v>
      </c>
    </row>
    <row r="300" spans="2:32" ht="15.6" customHeight="1" x14ac:dyDescent="0.3">
      <c r="B300" s="201" t="s">
        <v>1692</v>
      </c>
      <c r="C300" s="195" t="s">
        <v>378</v>
      </c>
      <c r="D300" s="195" t="s">
        <v>478</v>
      </c>
      <c r="E300" s="195" t="s">
        <v>180</v>
      </c>
      <c r="F300" s="195" t="s">
        <v>479</v>
      </c>
      <c r="G300" s="195" t="s">
        <v>173</v>
      </c>
      <c r="H300" s="195" t="s">
        <v>498</v>
      </c>
      <c r="I300" s="195" t="s">
        <v>1621</v>
      </c>
      <c r="J300" s="214" t="s">
        <v>1620</v>
      </c>
      <c r="K300" s="195" t="s">
        <v>643</v>
      </c>
      <c r="L300" s="195" t="s">
        <v>1628</v>
      </c>
      <c r="M300" s="195" t="s">
        <v>1629</v>
      </c>
      <c r="N300" s="195" t="s">
        <v>1617</v>
      </c>
      <c r="O300" s="202"/>
      <c r="P300" s="202"/>
      <c r="Q300" s="215"/>
      <c r="R300" s="180">
        <v>6</v>
      </c>
      <c r="S300" s="270">
        <v>32</v>
      </c>
      <c r="T300" s="205">
        <f>IF(CampList[[#This Row],[HH]]&gt;0,CampList[[#This Row],[Total]]/CampList[[#This Row],[HH]],"NA")</f>
        <v>5.333333333333333</v>
      </c>
      <c r="U300" s="197" t="s">
        <v>464</v>
      </c>
      <c r="V300" s="197" t="s">
        <v>993</v>
      </c>
      <c r="W300" s="197" t="s">
        <v>1376</v>
      </c>
      <c r="X300" s="197" t="s">
        <v>742</v>
      </c>
      <c r="Y300" s="308">
        <v>43212</v>
      </c>
      <c r="Z300" s="636" t="s">
        <v>1311</v>
      </c>
      <c r="AA300" s="195" t="s">
        <v>774</v>
      </c>
      <c r="AB300" s="208">
        <v>43343</v>
      </c>
      <c r="AC300" s="209" t="s">
        <v>1715</v>
      </c>
      <c r="AD300" s="218" t="str">
        <f ca="1">IFERROR(OFFSET(DistanceToCamp[Nearest Town],MATCH(CampList[[#This Row],[CP_Pcode]],DistanceToCamp[CP_Pcode],0)-1,0,1,1),"")</f>
        <v>Panmatee Town</v>
      </c>
      <c r="AE300" s="210">
        <f ca="1">IFERROR(OFFSET(DistanceToCamp[distance],MATCH(CampList[[#This Row],[CP_Pcode]],DistanceToCamp[CP_Pcode],0)-1,0,1,1),"")</f>
        <v>0.4</v>
      </c>
      <c r="AF300" s="219">
        <f ca="1">IFERROR(INT(CampList[[#This Row],[Distance]]/5)+1,"")</f>
        <v>1</v>
      </c>
    </row>
    <row r="301" spans="2:32" ht="15.6" customHeight="1" x14ac:dyDescent="0.3">
      <c r="B301" s="201" t="s">
        <v>1692</v>
      </c>
      <c r="C301" s="195" t="s">
        <v>378</v>
      </c>
      <c r="D301" s="195" t="s">
        <v>478</v>
      </c>
      <c r="E301" s="195" t="s">
        <v>237</v>
      </c>
      <c r="F301" s="196" t="s">
        <v>484</v>
      </c>
      <c r="G301" s="195" t="s">
        <v>237</v>
      </c>
      <c r="H301" s="195" t="s">
        <v>488</v>
      </c>
      <c r="I301" s="195" t="s">
        <v>1630</v>
      </c>
      <c r="J301" s="214" t="s">
        <v>1631</v>
      </c>
      <c r="K301" s="195" t="s">
        <v>1632</v>
      </c>
      <c r="L301" s="214">
        <v>165682</v>
      </c>
      <c r="M301" s="195" t="s">
        <v>1688</v>
      </c>
      <c r="N301" s="683" t="s">
        <v>1618</v>
      </c>
      <c r="O301" s="202">
        <v>97.431079999999994</v>
      </c>
      <c r="P301" s="202">
        <v>25.480989999999998</v>
      </c>
      <c r="Q301" s="215"/>
      <c r="R301" s="180">
        <v>205</v>
      </c>
      <c r="S301" s="180">
        <v>960</v>
      </c>
      <c r="T301" s="304">
        <f>IF(CampList[[#This Row],[HH]]&gt;0,CampList[[#This Row],[Total]]/CampList[[#This Row],[HH]],"NA")</f>
        <v>4.6829268292682924</v>
      </c>
      <c r="U301" s="305" t="s">
        <v>464</v>
      </c>
      <c r="V301" s="305" t="s">
        <v>993</v>
      </c>
      <c r="W301" s="197" t="s">
        <v>507</v>
      </c>
      <c r="X301" s="197" t="s">
        <v>742</v>
      </c>
      <c r="Y301" s="308">
        <v>43212</v>
      </c>
      <c r="Z301" s="636" t="s">
        <v>1835</v>
      </c>
      <c r="AA301" s="195" t="s">
        <v>774</v>
      </c>
      <c r="AB301" s="208">
        <v>43593</v>
      </c>
      <c r="AC301" s="209" t="s">
        <v>2007</v>
      </c>
      <c r="AD301" s="218" t="str">
        <f ca="1">IFERROR(OFFSET(DistanceToCamp[Nearest Town],MATCH(CampList[[#This Row],[CP_Pcode]],DistanceToCamp[CP_Pcode],0)-1,0,1,1),"")</f>
        <v>Myitkyina Town</v>
      </c>
      <c r="AE301" s="210">
        <f ca="1">IFERROR(OFFSET(DistanceToCamp[distance],MATCH(CampList[[#This Row],[CP_Pcode]],DistanceToCamp[CP_Pcode],0)-1,0,1,1),"")</f>
        <v>8</v>
      </c>
      <c r="AF301" s="219">
        <f ca="1">IFERROR(INT(CampList[[#This Row],[Distance]]/5)+1,"")</f>
        <v>2</v>
      </c>
    </row>
    <row r="302" spans="2:32" ht="15.6" customHeight="1" x14ac:dyDescent="0.3">
      <c r="B302" s="201" t="s">
        <v>1692</v>
      </c>
      <c r="C302" s="195" t="s">
        <v>378</v>
      </c>
      <c r="D302" s="195" t="s">
        <v>478</v>
      </c>
      <c r="E302" s="195" t="s">
        <v>180</v>
      </c>
      <c r="F302" s="195" t="s">
        <v>479</v>
      </c>
      <c r="G302" s="195" t="s">
        <v>480</v>
      </c>
      <c r="H302" s="195" t="s">
        <v>481</v>
      </c>
      <c r="I302" s="195" t="s">
        <v>1663</v>
      </c>
      <c r="J302" s="214" t="s">
        <v>1664</v>
      </c>
      <c r="K302" s="195" t="s">
        <v>1665</v>
      </c>
      <c r="L302" s="214">
        <v>166808</v>
      </c>
      <c r="M302" s="195" t="s">
        <v>1612</v>
      </c>
      <c r="N302" s="195" t="s">
        <v>1656</v>
      </c>
      <c r="O302" s="202"/>
      <c r="P302" s="202"/>
      <c r="Q302" s="215"/>
      <c r="R302" s="180">
        <v>47</v>
      </c>
      <c r="S302" s="288">
        <v>218</v>
      </c>
      <c r="T302" s="205">
        <f>IF(CampList[[#This Row],[HH]]&gt;0,CampList[[#This Row],[Total]]/CampList[[#This Row],[HH]],"NA")</f>
        <v>4.6382978723404253</v>
      </c>
      <c r="U302" s="197" t="s">
        <v>464</v>
      </c>
      <c r="V302" s="197" t="s">
        <v>993</v>
      </c>
      <c r="W302" s="197" t="s">
        <v>507</v>
      </c>
      <c r="X302" s="197" t="s">
        <v>784</v>
      </c>
      <c r="Y302" s="636"/>
      <c r="Z302" s="636" t="s">
        <v>934</v>
      </c>
      <c r="AA302" s="195"/>
      <c r="AB302" s="208">
        <v>43593</v>
      </c>
      <c r="AC302" s="209" t="s">
        <v>2068</v>
      </c>
      <c r="AD302" s="218" t="str">
        <f ca="1">IFERROR(OFFSET(DistanceToCamp[Nearest Town],MATCH(CampList[[#This Row],[CP_Pcode]],DistanceToCamp[CP_Pcode],0)-1,0,1,1),"")</f>
        <v>Kamaing Town</v>
      </c>
      <c r="AE302" s="210">
        <f ca="1">IFERROR(OFFSET(DistanceToCamp[distance],MATCH(CampList[[#This Row],[CP_Pcode]],DistanceToCamp[CP_Pcode],0)-1,0,1,1),"")</f>
        <v>10</v>
      </c>
      <c r="AF302" s="219">
        <f ca="1">IFERROR(INT(CampList[[#This Row],[Distance]]/5)+1,"")</f>
        <v>3</v>
      </c>
    </row>
    <row r="303" spans="2:32" ht="18.75" customHeight="1" x14ac:dyDescent="0.3">
      <c r="B303" s="201" t="s">
        <v>1692</v>
      </c>
      <c r="C303" s="195" t="s">
        <v>378</v>
      </c>
      <c r="D303" s="195" t="s">
        <v>478</v>
      </c>
      <c r="E303" s="195" t="s">
        <v>1527</v>
      </c>
      <c r="F303" s="196" t="s">
        <v>484</v>
      </c>
      <c r="G303" s="195" t="s">
        <v>309</v>
      </c>
      <c r="H303" s="195" t="s">
        <v>485</v>
      </c>
      <c r="I303" s="195" t="s">
        <v>635</v>
      </c>
      <c r="J303" s="214" t="s">
        <v>636</v>
      </c>
      <c r="K303" s="195" t="s">
        <v>1638</v>
      </c>
      <c r="L303" s="214" t="s">
        <v>1670</v>
      </c>
      <c r="M303" s="195" t="s">
        <v>1697</v>
      </c>
      <c r="N303" s="195" t="s">
        <v>1657</v>
      </c>
      <c r="O303" s="202"/>
      <c r="P303" s="202"/>
      <c r="Q303" s="215"/>
      <c r="R303" s="270">
        <v>79</v>
      </c>
      <c r="S303" s="270">
        <v>350</v>
      </c>
      <c r="T303" s="205">
        <f>IF(CampList[[#This Row],[HH]]&gt;0,CampList[[#This Row],[Total]]/CampList[[#This Row],[HH]],"NA")</f>
        <v>4.4303797468354427</v>
      </c>
      <c r="U303" s="197" t="s">
        <v>464</v>
      </c>
      <c r="V303" s="197" t="s">
        <v>993</v>
      </c>
      <c r="W303" s="197" t="s">
        <v>507</v>
      </c>
      <c r="X303" s="197" t="s">
        <v>742</v>
      </c>
      <c r="Y303" s="308">
        <v>43250</v>
      </c>
      <c r="Z303" s="636" t="s">
        <v>1835</v>
      </c>
      <c r="AA303" s="195" t="s">
        <v>774</v>
      </c>
      <c r="AB303" s="208">
        <v>43593</v>
      </c>
      <c r="AC303" s="209" t="s">
        <v>2008</v>
      </c>
      <c r="AD303" s="218" t="str">
        <f ca="1">IFERROR(OFFSET(DistanceToCamp[Nearest Town],MATCH(CampList[[#This Row],[CP_Pcode]],DistanceToCamp[CP_Pcode],0)-1,0,1,1),"")</f>
        <v>Waingmaw Town</v>
      </c>
      <c r="AE303" s="210">
        <f ca="1">IFERROR(OFFSET(DistanceToCamp[distance],MATCH(CampList[[#This Row],[CP_Pcode]],DistanceToCamp[CP_Pcode],0)-1,0,1,1),"")</f>
        <v>0</v>
      </c>
      <c r="AF303" s="219">
        <f ca="1">IFERROR(INT(CampList[[#This Row],[Distance]]/5)+1,"")</f>
        <v>1</v>
      </c>
    </row>
    <row r="304" spans="2:32" ht="16.5" hidden="1" customHeight="1" x14ac:dyDescent="0.3">
      <c r="B304" s="201" t="s">
        <v>1691</v>
      </c>
      <c r="C304" s="196" t="s">
        <v>378</v>
      </c>
      <c r="D304" s="196" t="s">
        <v>478</v>
      </c>
      <c r="E304" s="196" t="s">
        <v>237</v>
      </c>
      <c r="F304" s="196" t="s">
        <v>484</v>
      </c>
      <c r="G304" s="196" t="s">
        <v>309</v>
      </c>
      <c r="H304" s="196" t="s">
        <v>485</v>
      </c>
      <c r="I304" s="196" t="s">
        <v>633</v>
      </c>
      <c r="J304" s="214" t="s">
        <v>634</v>
      </c>
      <c r="K304" s="196" t="s">
        <v>633</v>
      </c>
      <c r="L304" s="196">
        <v>165740</v>
      </c>
      <c r="M304" s="196" t="s">
        <v>1694</v>
      </c>
      <c r="N304" s="196" t="s">
        <v>1695</v>
      </c>
      <c r="O304" s="204">
        <v>97.437782499999997</v>
      </c>
      <c r="P304" s="204">
        <v>25.415667500000001</v>
      </c>
      <c r="Q304" s="215"/>
      <c r="R304" s="270">
        <v>95</v>
      </c>
      <c r="S304" s="270">
        <v>499</v>
      </c>
      <c r="T304" s="205">
        <f>IF(CampList[[#This Row],[HH]]&gt;0,CampList[[#This Row],[Total]]/CampList[[#This Row],[HH]],"NA")</f>
        <v>5.2526315789473683</v>
      </c>
      <c r="U304" s="181" t="s">
        <v>464</v>
      </c>
      <c r="V304" s="197"/>
      <c r="W304" s="181" t="s">
        <v>1693</v>
      </c>
      <c r="X304" s="181" t="s">
        <v>742</v>
      </c>
      <c r="Y304" s="309">
        <v>43252</v>
      </c>
      <c r="Z304" s="215"/>
      <c r="AA304" s="196"/>
      <c r="AB304" s="208">
        <v>43290</v>
      </c>
      <c r="AC304" s="217" t="s">
        <v>1696</v>
      </c>
      <c r="AD304" s="218" t="str">
        <f ca="1">IFERROR(OFFSET(DistanceToCamp[Nearest Town],MATCH(CampList[[#This Row],[CP_Pcode]],DistanceToCamp[CP_Pcode],0)-1,0,1,1),"")</f>
        <v>Myitkyina Town</v>
      </c>
      <c r="AE304" s="210">
        <f ca="1">IFERROR(OFFSET(DistanceToCamp[distance],MATCH(CampList[[#This Row],[CP_Pcode]],DistanceToCamp[CP_Pcode],0)-1,0,1,1),"")</f>
        <v>6</v>
      </c>
      <c r="AF304" s="219">
        <f ca="1">IFERROR(INT(CampList[[#This Row],[Distance]]/5)+1,"")</f>
        <v>2</v>
      </c>
    </row>
    <row r="305" spans="2:32" ht="15" customHeight="1" x14ac:dyDescent="0.3">
      <c r="B305" s="201" t="s">
        <v>1692</v>
      </c>
      <c r="C305" s="195" t="s">
        <v>506</v>
      </c>
      <c r="D305" s="195" t="s">
        <v>489</v>
      </c>
      <c r="E305" s="195" t="s">
        <v>230</v>
      </c>
      <c r="F305" s="195" t="s">
        <v>490</v>
      </c>
      <c r="G305" s="195" t="s">
        <v>146</v>
      </c>
      <c r="H305" s="195" t="s">
        <v>497</v>
      </c>
      <c r="I305" s="222" t="s">
        <v>662</v>
      </c>
      <c r="J305" s="195" t="s">
        <v>1038</v>
      </c>
      <c r="K305" s="222" t="s">
        <v>662</v>
      </c>
      <c r="L305" s="767">
        <v>208747</v>
      </c>
      <c r="M305" s="196" t="s">
        <v>1590</v>
      </c>
      <c r="N305" s="196" t="s">
        <v>1119</v>
      </c>
      <c r="O305" s="204">
        <v>97.796999999999997</v>
      </c>
      <c r="P305" s="204">
        <v>23.591999999999999</v>
      </c>
      <c r="Q305" s="203"/>
      <c r="R305" s="270">
        <v>66</v>
      </c>
      <c r="S305" s="215">
        <v>346</v>
      </c>
      <c r="T305" s="205">
        <f>IF(CampList[[#This Row],[HH]]&gt;0,CampList[[#This Row],[Total]]/CampList[[#This Row],[HH]],"NA")</f>
        <v>5.2424242424242422</v>
      </c>
      <c r="U305" s="181" t="s">
        <v>464</v>
      </c>
      <c r="V305" s="197" t="s">
        <v>993</v>
      </c>
      <c r="W305" s="181" t="s">
        <v>507</v>
      </c>
      <c r="X305" s="181" t="s">
        <v>784</v>
      </c>
      <c r="Y305" s="682">
        <v>42435</v>
      </c>
      <c r="Z305" s="215" t="s">
        <v>1046</v>
      </c>
      <c r="AA305" s="196" t="s">
        <v>774</v>
      </c>
      <c r="AB305" s="208">
        <v>43593</v>
      </c>
      <c r="AC305" s="217" t="s">
        <v>2043</v>
      </c>
      <c r="AD305" s="197"/>
      <c r="AE305" s="210" t="str">
        <f ca="1">IFERROR(OFFSET(DistanceToCamp[distance],MATCH(CampList[[#This Row],[CP_Pcode]],DistanceToCamp[CP_Pcode],0)-1,0,1,1),"")</f>
        <v/>
      </c>
      <c r="AF305" s="219" t="str">
        <f ca="1">IFERROR(INT(CampList[[#This Row],[Distance]]/5)+1,"")</f>
        <v/>
      </c>
    </row>
    <row r="306" spans="2:32" ht="14.4" hidden="1" x14ac:dyDescent="0.3">
      <c r="B306" s="681" t="s">
        <v>1691</v>
      </c>
      <c r="C306" s="196" t="s">
        <v>378</v>
      </c>
      <c r="D306" s="196"/>
      <c r="E306" s="196"/>
      <c r="F306" s="196"/>
      <c r="G306" s="196" t="s">
        <v>151</v>
      </c>
      <c r="H306" s="196"/>
      <c r="I306" s="196"/>
      <c r="J306" s="214"/>
      <c r="K306" s="196"/>
      <c r="L306" s="196"/>
      <c r="M306" s="196" t="s">
        <v>1717</v>
      </c>
      <c r="N306" s="196"/>
      <c r="O306" s="204"/>
      <c r="P306" s="204"/>
      <c r="Q306" s="215"/>
      <c r="R306" s="180">
        <v>86</v>
      </c>
      <c r="S306" s="288">
        <v>450</v>
      </c>
      <c r="T306" s="205">
        <f>IF(CampList[[#This Row],[HH]]&gt;0,CampList[[#This Row],[Total]]/CampList[[#This Row],[HH]],"NA")</f>
        <v>5.2325581395348841</v>
      </c>
      <c r="U306" s="181" t="s">
        <v>464</v>
      </c>
      <c r="V306" s="197"/>
      <c r="W306" s="181" t="s">
        <v>1693</v>
      </c>
      <c r="X306" s="181" t="s">
        <v>1718</v>
      </c>
      <c r="Y306" s="682"/>
      <c r="Z306" s="215"/>
      <c r="AA306" s="196"/>
      <c r="AB306" s="208"/>
      <c r="AC306" s="217"/>
      <c r="AD306" s="218" t="str">
        <f ca="1">IFERROR(OFFSET(DistanceToCamp[Nearest Town],MATCH(CampList[[#This Row],[CP_Pcode]],DistanceToCamp[CP_Pcode],0)-1,0,1,1),"")</f>
        <v/>
      </c>
      <c r="AE306" s="210" t="str">
        <f ca="1">IFERROR(OFFSET(DistanceToCamp[distance],MATCH(CampList[[#This Row],[CP_Pcode]],DistanceToCamp[CP_Pcode],0)-1,0,1,1),"")</f>
        <v/>
      </c>
      <c r="AF306" s="219" t="str">
        <f ca="1">IFERROR(INT(CampList[[#This Row],[Distance]]/5)+1,"")</f>
        <v/>
      </c>
    </row>
    <row r="307" spans="2:32" ht="13.5" customHeight="1" x14ac:dyDescent="0.3">
      <c r="B307" s="201" t="s">
        <v>1692</v>
      </c>
      <c r="C307" s="195" t="s">
        <v>506</v>
      </c>
      <c r="D307" s="195" t="s">
        <v>489</v>
      </c>
      <c r="E307" s="195" t="s">
        <v>230</v>
      </c>
      <c r="F307" s="195" t="s">
        <v>490</v>
      </c>
      <c r="G307" s="195" t="s">
        <v>146</v>
      </c>
      <c r="H307" s="195" t="s">
        <v>497</v>
      </c>
      <c r="I307" s="222" t="s">
        <v>1726</v>
      </c>
      <c r="J307" s="768" t="s">
        <v>1725</v>
      </c>
      <c r="K307" s="222"/>
      <c r="L307" s="767"/>
      <c r="M307" s="268" t="s">
        <v>1724</v>
      </c>
      <c r="N307" s="196" t="s">
        <v>1721</v>
      </c>
      <c r="O307" s="270"/>
      <c r="P307" s="270"/>
      <c r="Q307" s="271"/>
      <c r="R307" s="180">
        <v>32</v>
      </c>
      <c r="S307" s="180">
        <v>150</v>
      </c>
      <c r="T307" s="272">
        <f>IF(CampList[[#This Row],[HH]]&gt;0,CampList[[#This Row],[Total]]/CampList[[#This Row],[HH]],"NA")</f>
        <v>4.6875</v>
      </c>
      <c r="U307" s="197" t="s">
        <v>464</v>
      </c>
      <c r="V307" s="197" t="s">
        <v>993</v>
      </c>
      <c r="W307" s="197" t="s">
        <v>507</v>
      </c>
      <c r="X307" s="180" t="s">
        <v>784</v>
      </c>
      <c r="Y307" s="274" t="s">
        <v>1723</v>
      </c>
      <c r="Z307" s="215" t="s">
        <v>1046</v>
      </c>
      <c r="AA307" s="268" t="s">
        <v>774</v>
      </c>
      <c r="AB307" s="208">
        <v>43593</v>
      </c>
      <c r="AC307" s="290" t="s">
        <v>2044</v>
      </c>
      <c r="AD307" s="277" t="str">
        <f ca="1">IFERROR(OFFSET(DistanceToCamp[Nearest Town],MATCH(CampList[[#This Row],[CP_Pcode]],DistanceToCamp[CP_Pcode],0)-1,0,1,1),"")</f>
        <v/>
      </c>
      <c r="AE307" s="278" t="str">
        <f ca="1">IFERROR(OFFSET(DistanceToCamp[distance],MATCH(CampList[[#This Row],[CP_Pcode]],DistanceToCamp[CP_Pcode],0)-1,0,1,1),"")</f>
        <v/>
      </c>
      <c r="AF307" s="279" t="str">
        <f ca="1">IFERROR(INT(CampList[[#This Row],[Distance]]/5)+1,"")</f>
        <v/>
      </c>
    </row>
    <row r="308" spans="2:32" ht="15.6" customHeight="1" x14ac:dyDescent="0.3">
      <c r="B308" s="201" t="s">
        <v>1692</v>
      </c>
      <c r="C308" s="196" t="s">
        <v>378</v>
      </c>
      <c r="D308" s="195" t="s">
        <v>478</v>
      </c>
      <c r="E308" s="195" t="s">
        <v>299</v>
      </c>
      <c r="F308" s="195" t="s">
        <v>499</v>
      </c>
      <c r="G308" s="195" t="s">
        <v>746</v>
      </c>
      <c r="H308" s="195" t="s">
        <v>747</v>
      </c>
      <c r="I308" s="268"/>
      <c r="J308" s="269"/>
      <c r="K308" s="268" t="s">
        <v>1858</v>
      </c>
      <c r="L308" s="269" t="s">
        <v>1910</v>
      </c>
      <c r="M308" s="268" t="s">
        <v>1911</v>
      </c>
      <c r="N308" s="268" t="s">
        <v>1695</v>
      </c>
      <c r="O308" s="774">
        <v>97.487258999999995</v>
      </c>
      <c r="P308" s="774">
        <v>26.299828999999999</v>
      </c>
      <c r="Q308" s="271"/>
      <c r="R308" s="180">
        <v>29</v>
      </c>
      <c r="S308" s="288">
        <v>140</v>
      </c>
      <c r="T308" s="272">
        <f>IF(CampList[[#This Row],[HH]]&gt;0,CampList[[#This Row],[Total]]/CampList[[#This Row],[HH]],"NA")</f>
        <v>4.8275862068965516</v>
      </c>
      <c r="U308" s="180" t="s">
        <v>464</v>
      </c>
      <c r="V308" s="273" t="s">
        <v>993</v>
      </c>
      <c r="W308" s="180" t="s">
        <v>1376</v>
      </c>
      <c r="X308" s="181" t="s">
        <v>784</v>
      </c>
      <c r="Y308" s="274">
        <v>43555</v>
      </c>
      <c r="Z308" s="271" t="s">
        <v>1311</v>
      </c>
      <c r="AA308" s="268" t="s">
        <v>774</v>
      </c>
      <c r="AB308" s="208">
        <v>43563</v>
      </c>
      <c r="AC308" s="290" t="s">
        <v>1931</v>
      </c>
      <c r="AD308" s="197" t="s">
        <v>748</v>
      </c>
      <c r="AE308" s="278"/>
      <c r="AF308" s="279"/>
    </row>
    <row r="309" spans="2:32" ht="15.6" customHeight="1" x14ac:dyDescent="0.3">
      <c r="B309" s="681" t="s">
        <v>1692</v>
      </c>
      <c r="C309" s="196" t="s">
        <v>378</v>
      </c>
      <c r="D309" s="195" t="s">
        <v>478</v>
      </c>
      <c r="E309" s="268" t="s">
        <v>5</v>
      </c>
      <c r="F309" s="268" t="s">
        <v>482</v>
      </c>
      <c r="G309" s="268" t="s">
        <v>301</v>
      </c>
      <c r="H309" s="268" t="s">
        <v>493</v>
      </c>
      <c r="I309" s="268"/>
      <c r="J309" s="269"/>
      <c r="K309" s="268" t="s">
        <v>2099</v>
      </c>
      <c r="L309" s="269" t="s">
        <v>2100</v>
      </c>
      <c r="M309" s="811" t="s">
        <v>2102</v>
      </c>
      <c r="N309" s="268" t="s">
        <v>2098</v>
      </c>
      <c r="O309" s="270"/>
      <c r="P309" s="270"/>
      <c r="Q309" s="271"/>
      <c r="R309" s="180">
        <v>361</v>
      </c>
      <c r="S309" s="288">
        <v>1397</v>
      </c>
      <c r="T309" s="272">
        <f>IF(CampList[[#This Row],[HH]]&gt;0,CampList[[#This Row],[Total]]/CampList[[#This Row],[HH]],"NA")</f>
        <v>3.8698060941828256</v>
      </c>
      <c r="U309" s="180" t="s">
        <v>466</v>
      </c>
      <c r="V309" s="273" t="s">
        <v>993</v>
      </c>
      <c r="W309" s="180" t="s">
        <v>1376</v>
      </c>
      <c r="X309" s="181" t="s">
        <v>784</v>
      </c>
      <c r="Y309" s="274">
        <v>43220</v>
      </c>
      <c r="Z309" s="271" t="s">
        <v>1311</v>
      </c>
      <c r="AA309" s="268"/>
      <c r="AB309" s="275">
        <v>43585</v>
      </c>
      <c r="AC309" s="290" t="s">
        <v>2101</v>
      </c>
      <c r="AD309" s="277" t="s">
        <v>561</v>
      </c>
      <c r="AE309" s="278" t="str">
        <f ca="1">IFERROR(OFFSET(DistanceToCamp[distance],MATCH(CampList[[#This Row],[CP_Pcode]],DistanceToCamp[CP_Pcode],0)-1,0,1,1),"")</f>
        <v/>
      </c>
      <c r="AF309" s="279" t="str">
        <f ca="1">IFERROR(INT(CampList[[#This Row],[Distance]]/5)+1,"")</f>
        <v/>
      </c>
    </row>
    <row r="310" spans="2:32" ht="15.6" customHeight="1" x14ac:dyDescent="0.3">
      <c r="U310" s="675"/>
    </row>
  </sheetData>
  <sortState ref="B73:AL238">
    <sortCondition ref="H1:H1048576"/>
    <sortCondition ref="M1:M1048576"/>
  </sortState>
  <mergeCells count="4">
    <mergeCell ref="B3:D3"/>
    <mergeCell ref="M2:M3"/>
    <mergeCell ref="X3:Y3"/>
    <mergeCell ref="AA3:AC3"/>
  </mergeCells>
  <conditionalFormatting sqref="B5:B30 B32:B307">
    <cfRule type="cellIs" dxfId="1025" priority="105" operator="equal">
      <formula>"closed"</formula>
    </cfRule>
  </conditionalFormatting>
  <conditionalFormatting sqref="AA4:AA30 AA32:AA157 AA178 AA180">
    <cfRule type="cellIs" dxfId="1024" priority="94" operator="equal">
      <formula>"RRD"</formula>
    </cfRule>
    <cfRule type="cellIs" dxfId="1023" priority="95" operator="equal">
      <formula>"IP"</formula>
    </cfRule>
    <cfRule type="cellIs" dxfId="1022" priority="96" operator="equal">
      <formula>"IRRC"</formula>
    </cfRule>
  </conditionalFormatting>
  <conditionalFormatting sqref="AA158:AA177 AA239 AA245 AA261 AA264 AA251 AA179 AA181:AA206">
    <cfRule type="cellIs" dxfId="1021" priority="71" operator="equal">
      <formula>"RRD"</formula>
    </cfRule>
    <cfRule type="cellIs" dxfId="1020" priority="72" operator="equal">
      <formula>"IP"</formula>
    </cfRule>
    <cfRule type="cellIs" dxfId="1019" priority="73" operator="equal">
      <formula>"IRRC"</formula>
    </cfRule>
  </conditionalFormatting>
  <conditionalFormatting sqref="AA207">
    <cfRule type="cellIs" dxfId="1018" priority="67" operator="equal">
      <formula>"RRD"</formula>
    </cfRule>
    <cfRule type="cellIs" dxfId="1017" priority="68" operator="equal">
      <formula>"IP"</formula>
    </cfRule>
    <cfRule type="cellIs" dxfId="1016" priority="69" operator="equal">
      <formula>"IRRC"</formula>
    </cfRule>
  </conditionalFormatting>
  <conditionalFormatting sqref="AA209 AA211 AA213">
    <cfRule type="cellIs" dxfId="1015" priority="30" operator="equal">
      <formula>"RRD"</formula>
    </cfRule>
    <cfRule type="cellIs" dxfId="1014" priority="31" operator="equal">
      <formula>"IP"</formula>
    </cfRule>
    <cfRule type="cellIs" dxfId="1013" priority="32" operator="equal">
      <formula>"IRRC"</formula>
    </cfRule>
  </conditionalFormatting>
  <conditionalFormatting sqref="AA208 AA210 AA212 AA214">
    <cfRule type="cellIs" dxfId="1012" priority="34" operator="equal">
      <formula>"RRD"</formula>
    </cfRule>
    <cfRule type="cellIs" dxfId="1011" priority="35" operator="equal">
      <formula>"IP"</formula>
    </cfRule>
    <cfRule type="cellIs" dxfId="1010" priority="36" operator="equal">
      <formula>"IRRC"</formula>
    </cfRule>
  </conditionalFormatting>
  <conditionalFormatting sqref="AA296">
    <cfRule type="cellIs" dxfId="1009" priority="6" operator="equal">
      <formula>"RRD"</formula>
    </cfRule>
    <cfRule type="cellIs" dxfId="1008" priority="7" operator="equal">
      <formula>"IP"</formula>
    </cfRule>
    <cfRule type="cellIs" dxfId="1007" priority="8" operator="equal">
      <formula>"IRRC"</formula>
    </cfRule>
  </conditionalFormatting>
  <conditionalFormatting sqref="B31">
    <cfRule type="cellIs" dxfId="1006" priority="5" operator="equal">
      <formula>"closed"</formula>
    </cfRule>
  </conditionalFormatting>
  <conditionalFormatting sqref="AA31">
    <cfRule type="cellIs" dxfId="1005" priority="2" operator="equal">
      <formula>"RRD"</formula>
    </cfRule>
    <cfRule type="cellIs" dxfId="1004" priority="3" operator="equal">
      <formula>"IP"</formula>
    </cfRule>
    <cfRule type="cellIs" dxfId="1003" priority="4" operator="equal">
      <formula>"IRRC"</formula>
    </cfRule>
  </conditionalFormatting>
  <conditionalFormatting sqref="B308">
    <cfRule type="cellIs" dxfId="1002" priority="1" operator="equal">
      <formula>"closed"</formula>
    </cfRule>
  </conditionalFormatting>
  <pageMargins left="0.7" right="0.7" top="0.75" bottom="0.75" header="0.3" footer="0.3"/>
  <pageSetup scale="82" orientation="landscape" r:id="rId1"/>
  <ignoredErrors>
    <ignoredError sqref="AD308" calculatedColumn="1"/>
  </ignoredErrors>
  <drawing r:id="rId2"/>
  <legacyDrawing r:id="rId3"/>
  <tableParts count="1">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Definition!$X$2:$X$4</xm:f>
          </x14:formula1>
          <xm:sqref>B5:B309</xm:sqref>
        </x14:dataValidation>
        <x14:dataValidation type="list" allowBlank="1" showInputMessage="1" showErrorMessage="1">
          <x14:formula1>
            <xm:f>Definition!$V$2:$V$6</xm:f>
          </x14:formula1>
          <xm:sqref>W5:W309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8" tint="0.59999389629810485"/>
  </sheetPr>
  <dimension ref="B1:L359"/>
  <sheetViews>
    <sheetView showGridLines="0" topLeftCell="A91" zoomScaleNormal="100" workbookViewId="0">
      <selection activeCell="D122" sqref="D122"/>
    </sheetView>
  </sheetViews>
  <sheetFormatPr defaultColWidth="9.109375" defaultRowHeight="14.4" x14ac:dyDescent="0.3"/>
  <cols>
    <col min="1" max="1" width="1.6640625" style="179" customWidth="1"/>
    <col min="2" max="2" width="11.33203125" style="179" customWidth="1"/>
    <col min="3" max="3" width="12.6640625" style="179" customWidth="1"/>
    <col min="4" max="4" width="47" style="179" bestFit="1" customWidth="1"/>
    <col min="5" max="5" width="19.109375" style="179" customWidth="1"/>
    <col min="6" max="6" width="18.5546875" style="179" customWidth="1"/>
    <col min="7" max="7" width="12" style="179" customWidth="1"/>
    <col min="8" max="8" width="10.6640625" style="247" customWidth="1"/>
    <col min="9" max="9" width="11.33203125" style="247" customWidth="1"/>
    <col min="10" max="10" width="12.33203125" style="179" customWidth="1"/>
    <col min="11" max="16384" width="9.109375" style="179"/>
  </cols>
  <sheetData>
    <row r="1" spans="2:12" ht="10.95" customHeight="1" x14ac:dyDescent="0.3"/>
    <row r="2" spans="2:12" ht="21.75" customHeight="1" x14ac:dyDescent="0.3">
      <c r="B2" s="238"/>
      <c r="C2" s="173"/>
      <c r="D2" s="173"/>
      <c r="E2" s="173"/>
      <c r="F2" s="173"/>
      <c r="G2" s="173"/>
      <c r="H2" s="173"/>
      <c r="I2" s="174"/>
      <c r="J2" s="303"/>
      <c r="K2" s="303"/>
      <c r="L2" s="178"/>
    </row>
    <row r="3" spans="2:12" ht="28.8" x14ac:dyDescent="0.3">
      <c r="B3" s="239" t="s">
        <v>786</v>
      </c>
      <c r="C3" s="240"/>
      <c r="D3" s="240"/>
      <c r="E3" s="240"/>
      <c r="F3" s="240"/>
      <c r="G3" s="240"/>
      <c r="H3" s="240"/>
      <c r="I3" s="241"/>
      <c r="J3" s="41"/>
      <c r="K3" s="41"/>
      <c r="L3" s="41"/>
    </row>
    <row r="4" spans="2:12" ht="28.8" x14ac:dyDescent="0.3">
      <c r="B4" s="834">
        <f>Definition!B23</f>
        <v>43585</v>
      </c>
      <c r="C4" s="835"/>
      <c r="D4" s="243"/>
      <c r="E4" s="243"/>
      <c r="F4" s="243"/>
      <c r="G4" s="243"/>
      <c r="H4" s="243"/>
      <c r="I4" s="244"/>
      <c r="J4" s="242"/>
      <c r="K4" s="242"/>
      <c r="L4" s="242"/>
    </row>
    <row r="5" spans="2:12" ht="17.25" customHeight="1" x14ac:dyDescent="0.3">
      <c r="B5" s="245" t="s">
        <v>458</v>
      </c>
      <c r="C5" s="246" t="s">
        <v>1692</v>
      </c>
      <c r="D5" s="242"/>
      <c r="E5" s="242"/>
      <c r="F5" s="242"/>
      <c r="G5" s="242"/>
      <c r="H5" s="242"/>
      <c r="I5" s="242"/>
      <c r="J5" s="242"/>
      <c r="K5" s="42"/>
      <c r="L5" s="242"/>
    </row>
    <row r="6" spans="2:12" x14ac:dyDescent="0.3">
      <c r="B6" s="245" t="s">
        <v>1034</v>
      </c>
      <c r="C6" s="246" t="s">
        <v>537</v>
      </c>
    </row>
    <row r="7" spans="2:12" ht="6.75" customHeight="1" x14ac:dyDescent="0.3"/>
    <row r="8" spans="2:12" s="287" customFormat="1" x14ac:dyDescent="0.3">
      <c r="B8" s="282" t="s">
        <v>392</v>
      </c>
      <c r="C8" s="283" t="s">
        <v>0</v>
      </c>
      <c r="D8" s="283" t="s">
        <v>507</v>
      </c>
      <c r="E8" s="283" t="s">
        <v>833</v>
      </c>
      <c r="F8" s="284" t="s">
        <v>834</v>
      </c>
      <c r="G8" s="622" t="s">
        <v>457</v>
      </c>
      <c r="H8" s="285" t="s">
        <v>1401</v>
      </c>
      <c r="I8" s="442" t="s">
        <v>788</v>
      </c>
      <c r="J8"/>
      <c r="K8"/>
      <c r="L8" s="286"/>
    </row>
    <row r="9" spans="2:12" ht="12.75" customHeight="1" x14ac:dyDescent="0.3">
      <c r="B9" s="248" t="s">
        <v>378</v>
      </c>
      <c r="C9" s="175" t="s">
        <v>5</v>
      </c>
      <c r="D9" s="175" t="s">
        <v>6</v>
      </c>
      <c r="E9" s="175" t="s">
        <v>4</v>
      </c>
      <c r="F9" s="175" t="s">
        <v>933</v>
      </c>
      <c r="G9" s="175" t="s">
        <v>464</v>
      </c>
      <c r="H9" s="249">
        <v>218</v>
      </c>
      <c r="I9" s="250">
        <v>1067</v>
      </c>
      <c r="J9"/>
      <c r="K9"/>
    </row>
    <row r="10" spans="2:12" ht="12.75" customHeight="1" x14ac:dyDescent="0.3">
      <c r="B10" s="248"/>
      <c r="C10" s="175"/>
      <c r="D10" s="175" t="s">
        <v>465</v>
      </c>
      <c r="E10" s="175" t="s">
        <v>375</v>
      </c>
      <c r="F10" s="175" t="s">
        <v>1834</v>
      </c>
      <c r="G10" s="175" t="s">
        <v>464</v>
      </c>
      <c r="H10" s="249">
        <v>12</v>
      </c>
      <c r="I10" s="250">
        <v>52</v>
      </c>
      <c r="J10"/>
      <c r="K10"/>
    </row>
    <row r="11" spans="2:12" ht="12.75" customHeight="1" x14ac:dyDescent="0.3">
      <c r="B11" s="248"/>
      <c r="C11" s="175"/>
      <c r="D11" s="175" t="s">
        <v>14</v>
      </c>
      <c r="E11" s="175" t="s">
        <v>13</v>
      </c>
      <c r="F11" s="175" t="s">
        <v>1834</v>
      </c>
      <c r="G11" s="175" t="s">
        <v>464</v>
      </c>
      <c r="H11" s="249">
        <v>40</v>
      </c>
      <c r="I11" s="250">
        <v>232</v>
      </c>
      <c r="J11"/>
      <c r="K11"/>
    </row>
    <row r="12" spans="2:12" ht="12.75" customHeight="1" x14ac:dyDescent="0.3">
      <c r="B12" s="248"/>
      <c r="C12" s="175"/>
      <c r="D12" s="302" t="s">
        <v>18</v>
      </c>
      <c r="E12" s="175" t="s">
        <v>17</v>
      </c>
      <c r="F12" s="175" t="s">
        <v>462</v>
      </c>
      <c r="G12" s="175" t="s">
        <v>464</v>
      </c>
      <c r="H12" s="249">
        <v>139</v>
      </c>
      <c r="I12" s="250">
        <v>777</v>
      </c>
      <c r="J12"/>
      <c r="K12"/>
    </row>
    <row r="13" spans="2:12" ht="12.75" customHeight="1" x14ac:dyDescent="0.3">
      <c r="B13" s="248"/>
      <c r="C13" s="175"/>
      <c r="D13" s="302" t="s">
        <v>8</v>
      </c>
      <c r="E13" s="175" t="s">
        <v>7</v>
      </c>
      <c r="F13" s="175" t="s">
        <v>462</v>
      </c>
      <c r="G13" s="175" t="s">
        <v>464</v>
      </c>
      <c r="H13" s="249">
        <v>14</v>
      </c>
      <c r="I13" s="250">
        <v>55</v>
      </c>
      <c r="J13"/>
      <c r="K13"/>
    </row>
    <row r="14" spans="2:12" ht="12.75" customHeight="1" x14ac:dyDescent="0.3">
      <c r="B14" s="248"/>
      <c r="C14" s="175"/>
      <c r="D14" s="302" t="s">
        <v>364</v>
      </c>
      <c r="E14" s="175" t="s">
        <v>374</v>
      </c>
      <c r="F14" s="175" t="s">
        <v>1834</v>
      </c>
      <c r="G14" s="175" t="s">
        <v>464</v>
      </c>
      <c r="H14" s="249">
        <v>147</v>
      </c>
      <c r="I14" s="250">
        <v>783</v>
      </c>
      <c r="J14"/>
      <c r="K14"/>
    </row>
    <row r="15" spans="2:12" ht="12.75" customHeight="1" x14ac:dyDescent="0.3">
      <c r="B15" s="248"/>
      <c r="C15" s="175"/>
      <c r="D15" s="302" t="s">
        <v>22</v>
      </c>
      <c r="E15" s="175" t="s">
        <v>21</v>
      </c>
      <c r="F15" s="175" t="s">
        <v>1834</v>
      </c>
      <c r="G15" s="175" t="s">
        <v>464</v>
      </c>
      <c r="H15" s="249">
        <v>641</v>
      </c>
      <c r="I15" s="250">
        <v>4027</v>
      </c>
      <c r="J15"/>
      <c r="K15"/>
    </row>
    <row r="16" spans="2:12" ht="12.75" customHeight="1" x14ac:dyDescent="0.3">
      <c r="B16" s="248"/>
      <c r="C16" s="175"/>
      <c r="D16" s="175" t="s">
        <v>1884</v>
      </c>
      <c r="E16" s="175" t="s">
        <v>11</v>
      </c>
      <c r="F16" s="175" t="s">
        <v>1311</v>
      </c>
      <c r="G16" s="175" t="s">
        <v>464</v>
      </c>
      <c r="H16" s="249">
        <v>181</v>
      </c>
      <c r="I16" s="250">
        <v>906</v>
      </c>
      <c r="J16"/>
      <c r="K16"/>
    </row>
    <row r="17" spans="2:11" ht="12.75" customHeight="1" x14ac:dyDescent="0.3">
      <c r="B17" s="248"/>
      <c r="C17" s="175" t="s">
        <v>1575</v>
      </c>
      <c r="D17" s="175"/>
      <c r="E17" s="175"/>
      <c r="F17" s="175"/>
      <c r="G17" s="175"/>
      <c r="H17" s="249">
        <v>1392</v>
      </c>
      <c r="I17" s="250">
        <v>7899</v>
      </c>
      <c r="J17"/>
      <c r="K17"/>
    </row>
    <row r="18" spans="2:11" ht="12.75" customHeight="1" x14ac:dyDescent="0.3">
      <c r="B18" s="248"/>
      <c r="C18" s="175" t="s">
        <v>27</v>
      </c>
      <c r="D18" s="175" t="s">
        <v>28</v>
      </c>
      <c r="E18" s="175" t="s">
        <v>30</v>
      </c>
      <c r="F18" s="175" t="s">
        <v>462</v>
      </c>
      <c r="G18" s="175" t="s">
        <v>464</v>
      </c>
      <c r="H18" s="249">
        <v>163</v>
      </c>
      <c r="I18" s="250">
        <v>830</v>
      </c>
      <c r="J18"/>
      <c r="K18"/>
    </row>
    <row r="19" spans="2:11" ht="12.75" customHeight="1" x14ac:dyDescent="0.3">
      <c r="B19" s="248"/>
      <c r="C19" s="175"/>
      <c r="D19" s="175" t="s">
        <v>362</v>
      </c>
      <c r="E19" s="175" t="s">
        <v>29</v>
      </c>
      <c r="F19" s="175" t="s">
        <v>1835</v>
      </c>
      <c r="G19" s="175" t="s">
        <v>466</v>
      </c>
      <c r="H19" s="249">
        <v>163</v>
      </c>
      <c r="I19" s="250">
        <v>967</v>
      </c>
      <c r="J19"/>
      <c r="K19"/>
    </row>
    <row r="20" spans="2:11" ht="12.75" customHeight="1" x14ac:dyDescent="0.3">
      <c r="B20" s="248"/>
      <c r="C20" s="175"/>
      <c r="D20" s="175" t="s">
        <v>363</v>
      </c>
      <c r="E20" s="175" t="s">
        <v>376</v>
      </c>
      <c r="F20" s="175" t="s">
        <v>462</v>
      </c>
      <c r="G20" s="175" t="s">
        <v>464</v>
      </c>
      <c r="H20" s="249">
        <v>206</v>
      </c>
      <c r="I20" s="250">
        <v>856</v>
      </c>
      <c r="J20"/>
      <c r="K20"/>
    </row>
    <row r="21" spans="2:11" ht="12.75" customHeight="1" x14ac:dyDescent="0.3">
      <c r="B21" s="248"/>
      <c r="C21" s="175"/>
      <c r="D21" s="175" t="s">
        <v>790</v>
      </c>
      <c r="E21" s="175" t="s">
        <v>789</v>
      </c>
      <c r="F21" s="175" t="s">
        <v>934</v>
      </c>
      <c r="G21" s="175" t="s">
        <v>464</v>
      </c>
      <c r="H21" s="249">
        <v>57</v>
      </c>
      <c r="I21" s="250">
        <v>274</v>
      </c>
      <c r="J21"/>
      <c r="K21"/>
    </row>
    <row r="22" spans="2:11" ht="12.75" customHeight="1" x14ac:dyDescent="0.3">
      <c r="B22" s="248"/>
      <c r="C22" s="175"/>
      <c r="D22" s="175" t="s">
        <v>873</v>
      </c>
      <c r="E22" s="175" t="s">
        <v>874</v>
      </c>
      <c r="F22" s="175" t="s">
        <v>934</v>
      </c>
      <c r="G22" s="175" t="s">
        <v>464</v>
      </c>
      <c r="H22" s="249">
        <v>32</v>
      </c>
      <c r="I22" s="250">
        <v>167</v>
      </c>
      <c r="J22"/>
      <c r="K22"/>
    </row>
    <row r="23" spans="2:11" ht="12.75" customHeight="1" x14ac:dyDescent="0.3">
      <c r="B23" s="248"/>
      <c r="C23" s="175" t="s">
        <v>951</v>
      </c>
      <c r="D23" s="175"/>
      <c r="E23" s="175"/>
      <c r="F23" s="175"/>
      <c r="G23" s="175"/>
      <c r="H23" s="249">
        <v>621</v>
      </c>
      <c r="I23" s="250">
        <v>3094</v>
      </c>
      <c r="J23"/>
      <c r="K23"/>
    </row>
    <row r="24" spans="2:11" ht="12.75" customHeight="1" x14ac:dyDescent="0.3">
      <c r="B24" s="248"/>
      <c r="C24" s="175" t="s">
        <v>480</v>
      </c>
      <c r="D24" s="175" t="s">
        <v>120</v>
      </c>
      <c r="E24" s="175" t="s">
        <v>119</v>
      </c>
      <c r="F24" s="175" t="s">
        <v>934</v>
      </c>
      <c r="G24" s="175" t="s">
        <v>464</v>
      </c>
      <c r="H24" s="249">
        <v>68</v>
      </c>
      <c r="I24" s="250">
        <v>343</v>
      </c>
      <c r="J24"/>
      <c r="K24"/>
    </row>
    <row r="25" spans="2:11" ht="12.75" customHeight="1" x14ac:dyDescent="0.3">
      <c r="B25" s="248"/>
      <c r="C25" s="175"/>
      <c r="D25" s="175" t="s">
        <v>41</v>
      </c>
      <c r="E25" s="175" t="s">
        <v>40</v>
      </c>
      <c r="F25" s="175" t="s">
        <v>462</v>
      </c>
      <c r="G25" s="175" t="s">
        <v>464</v>
      </c>
      <c r="H25" s="249">
        <v>70</v>
      </c>
      <c r="I25" s="250">
        <v>372</v>
      </c>
      <c r="J25"/>
      <c r="K25"/>
    </row>
    <row r="26" spans="2:11" x14ac:dyDescent="0.3">
      <c r="B26" s="248"/>
      <c r="C26" s="175"/>
      <c r="D26" s="175" t="s">
        <v>43</v>
      </c>
      <c r="E26" s="175" t="s">
        <v>42</v>
      </c>
      <c r="F26" s="175" t="s">
        <v>462</v>
      </c>
      <c r="G26" s="175" t="s">
        <v>464</v>
      </c>
      <c r="H26" s="249">
        <v>13</v>
      </c>
      <c r="I26" s="250">
        <v>84</v>
      </c>
      <c r="J26"/>
      <c r="K26"/>
    </row>
    <row r="27" spans="2:11" ht="12.75" customHeight="1" x14ac:dyDescent="0.3">
      <c r="B27" s="248"/>
      <c r="C27" s="175"/>
      <c r="D27" s="175" t="s">
        <v>52</v>
      </c>
      <c r="E27" s="175" t="s">
        <v>51</v>
      </c>
      <c r="F27" s="175" t="s">
        <v>1835</v>
      </c>
      <c r="G27" s="175" t="s">
        <v>464</v>
      </c>
      <c r="H27" s="249">
        <v>36</v>
      </c>
      <c r="I27" s="250">
        <v>227</v>
      </c>
      <c r="J27"/>
      <c r="K27"/>
    </row>
    <row r="28" spans="2:11" ht="12.75" customHeight="1" x14ac:dyDescent="0.3">
      <c r="B28" s="248"/>
      <c r="C28" s="175"/>
      <c r="D28" s="175" t="s">
        <v>72</v>
      </c>
      <c r="E28" s="175" t="s">
        <v>71</v>
      </c>
      <c r="F28" s="175" t="s">
        <v>1311</v>
      </c>
      <c r="G28" s="175" t="s">
        <v>464</v>
      </c>
      <c r="H28" s="249">
        <v>6</v>
      </c>
      <c r="I28" s="250">
        <v>31</v>
      </c>
      <c r="J28"/>
      <c r="K28"/>
    </row>
    <row r="29" spans="2:11" x14ac:dyDescent="0.3">
      <c r="B29" s="248"/>
      <c r="C29" s="175"/>
      <c r="D29" s="175" t="s">
        <v>76</v>
      </c>
      <c r="E29" s="175" t="s">
        <v>75</v>
      </c>
      <c r="F29" s="175" t="s">
        <v>462</v>
      </c>
      <c r="G29" s="175" t="s">
        <v>464</v>
      </c>
      <c r="H29" s="249">
        <v>70</v>
      </c>
      <c r="I29" s="250">
        <v>376</v>
      </c>
      <c r="J29"/>
      <c r="K29"/>
    </row>
    <row r="30" spans="2:11" ht="12.75" customHeight="1" x14ac:dyDescent="0.3">
      <c r="B30" s="248"/>
      <c r="C30" s="175"/>
      <c r="D30" s="175" t="s">
        <v>88</v>
      </c>
      <c r="E30" s="175" t="s">
        <v>87</v>
      </c>
      <c r="F30" s="175" t="s">
        <v>1835</v>
      </c>
      <c r="G30" s="175" t="s">
        <v>464</v>
      </c>
      <c r="H30" s="249">
        <v>34</v>
      </c>
      <c r="I30" s="250">
        <v>137</v>
      </c>
      <c r="J30"/>
      <c r="K30"/>
    </row>
    <row r="31" spans="2:11" ht="12.75" customHeight="1" x14ac:dyDescent="0.3">
      <c r="B31" s="248"/>
      <c r="C31" s="175"/>
      <c r="D31" s="175" t="s">
        <v>44</v>
      </c>
      <c r="E31" s="175" t="s">
        <v>45</v>
      </c>
      <c r="F31" s="175" t="s">
        <v>1311</v>
      </c>
      <c r="G31" s="175" t="s">
        <v>464</v>
      </c>
      <c r="H31" s="249">
        <v>2</v>
      </c>
      <c r="I31" s="250">
        <v>14</v>
      </c>
      <c r="J31"/>
      <c r="K31"/>
    </row>
    <row r="32" spans="2:11" ht="12.75" customHeight="1" x14ac:dyDescent="0.3">
      <c r="B32" s="248"/>
      <c r="C32" s="175"/>
      <c r="D32" s="175" t="s">
        <v>90</v>
      </c>
      <c r="E32" s="175" t="s">
        <v>89</v>
      </c>
      <c r="F32" s="175" t="s">
        <v>462</v>
      </c>
      <c r="G32" s="175" t="s">
        <v>464</v>
      </c>
      <c r="H32" s="249">
        <v>18</v>
      </c>
      <c r="I32" s="250">
        <v>105</v>
      </c>
      <c r="J32"/>
      <c r="K32"/>
    </row>
    <row r="33" spans="2:11" x14ac:dyDescent="0.3">
      <c r="B33" s="248"/>
      <c r="C33" s="175"/>
      <c r="D33" s="175" t="s">
        <v>92</v>
      </c>
      <c r="E33" s="175" t="s">
        <v>91</v>
      </c>
      <c r="F33" s="175" t="s">
        <v>462</v>
      </c>
      <c r="G33" s="175" t="s">
        <v>464</v>
      </c>
      <c r="H33" s="249">
        <v>12</v>
      </c>
      <c r="I33" s="250">
        <v>60</v>
      </c>
      <c r="J33"/>
      <c r="K33"/>
    </row>
    <row r="34" spans="2:11" ht="12.75" customHeight="1" x14ac:dyDescent="0.3">
      <c r="B34" s="248"/>
      <c r="C34" s="175"/>
      <c r="D34" s="175" t="s">
        <v>100</v>
      </c>
      <c r="E34" s="175" t="s">
        <v>99</v>
      </c>
      <c r="F34" s="175" t="s">
        <v>1311</v>
      </c>
      <c r="G34" s="175" t="s">
        <v>464</v>
      </c>
      <c r="H34" s="249">
        <v>3</v>
      </c>
      <c r="I34" s="250">
        <v>15</v>
      </c>
      <c r="J34"/>
      <c r="K34"/>
    </row>
    <row r="35" spans="2:11" ht="12.75" customHeight="1" x14ac:dyDescent="0.3">
      <c r="B35" s="248"/>
      <c r="C35" s="175"/>
      <c r="D35" s="175" t="s">
        <v>551</v>
      </c>
      <c r="E35" s="175" t="s">
        <v>46</v>
      </c>
      <c r="F35" s="175" t="s">
        <v>1311</v>
      </c>
      <c r="G35" s="175" t="s">
        <v>464</v>
      </c>
      <c r="H35" s="249">
        <v>11</v>
      </c>
      <c r="I35" s="250">
        <v>43</v>
      </c>
      <c r="J35"/>
      <c r="K35"/>
    </row>
    <row r="36" spans="2:11" ht="12.75" customHeight="1" x14ac:dyDescent="0.3">
      <c r="B36" s="248"/>
      <c r="C36" s="175"/>
      <c r="D36" s="175" t="s">
        <v>108</v>
      </c>
      <c r="E36" s="175" t="s">
        <v>107</v>
      </c>
      <c r="F36" s="175" t="s">
        <v>934</v>
      </c>
      <c r="G36" s="175" t="s">
        <v>464</v>
      </c>
      <c r="H36" s="249">
        <v>47</v>
      </c>
      <c r="I36" s="250">
        <v>225</v>
      </c>
      <c r="J36"/>
      <c r="K36"/>
    </row>
    <row r="37" spans="2:11" ht="12.75" customHeight="1" x14ac:dyDescent="0.3">
      <c r="B37" s="248"/>
      <c r="C37" s="175"/>
      <c r="D37" s="175" t="s">
        <v>118</v>
      </c>
      <c r="E37" s="175" t="s">
        <v>117</v>
      </c>
      <c r="F37" s="175" t="s">
        <v>1311</v>
      </c>
      <c r="G37" s="175" t="s">
        <v>464</v>
      </c>
      <c r="H37" s="249">
        <v>10</v>
      </c>
      <c r="I37" s="250">
        <v>38</v>
      </c>
      <c r="J37"/>
      <c r="K37"/>
    </row>
    <row r="38" spans="2:11" x14ac:dyDescent="0.3">
      <c r="B38" s="248"/>
      <c r="C38" s="175"/>
      <c r="D38" s="175" t="s">
        <v>126</v>
      </c>
      <c r="E38" s="175" t="s">
        <v>125</v>
      </c>
      <c r="F38" s="175" t="s">
        <v>1835</v>
      </c>
      <c r="G38" s="175" t="s">
        <v>464</v>
      </c>
      <c r="H38" s="249">
        <v>32</v>
      </c>
      <c r="I38" s="250">
        <v>173</v>
      </c>
      <c r="J38"/>
      <c r="K38"/>
    </row>
    <row r="39" spans="2:11" ht="12.75" customHeight="1" x14ac:dyDescent="0.3">
      <c r="B39" s="248"/>
      <c r="C39" s="175"/>
      <c r="D39" s="175" t="s">
        <v>140</v>
      </c>
      <c r="E39" s="175" t="s">
        <v>139</v>
      </c>
      <c r="F39" s="175" t="s">
        <v>1835</v>
      </c>
      <c r="G39" s="175" t="s">
        <v>464</v>
      </c>
      <c r="H39" s="249">
        <v>16</v>
      </c>
      <c r="I39" s="250">
        <v>69</v>
      </c>
      <c r="J39"/>
      <c r="K39"/>
    </row>
    <row r="40" spans="2:11" x14ac:dyDescent="0.3">
      <c r="B40" s="248"/>
      <c r="C40" s="175"/>
      <c r="D40" s="175" t="s">
        <v>913</v>
      </c>
      <c r="E40" s="175" t="s">
        <v>914</v>
      </c>
      <c r="F40" s="175" t="s">
        <v>1835</v>
      </c>
      <c r="G40" s="175" t="s">
        <v>464</v>
      </c>
      <c r="H40" s="249">
        <v>107</v>
      </c>
      <c r="I40" s="250">
        <v>519</v>
      </c>
      <c r="J40"/>
      <c r="K40"/>
    </row>
    <row r="41" spans="2:11" ht="12.75" customHeight="1" x14ac:dyDescent="0.3">
      <c r="B41" s="248"/>
      <c r="C41" s="175"/>
      <c r="D41" s="175" t="s">
        <v>1156</v>
      </c>
      <c r="E41" s="175" t="s">
        <v>1159</v>
      </c>
      <c r="F41" s="175" t="s">
        <v>1835</v>
      </c>
      <c r="G41" s="175" t="s">
        <v>464</v>
      </c>
      <c r="H41" s="249">
        <v>28</v>
      </c>
      <c r="I41" s="250">
        <v>126</v>
      </c>
      <c r="J41"/>
      <c r="K41"/>
    </row>
    <row r="42" spans="2:11" ht="12.75" customHeight="1" x14ac:dyDescent="0.3">
      <c r="B42" s="248"/>
      <c r="C42" s="175"/>
      <c r="D42" s="175" t="s">
        <v>1155</v>
      </c>
      <c r="E42" s="175" t="s">
        <v>1161</v>
      </c>
      <c r="F42" s="175" t="s">
        <v>1311</v>
      </c>
      <c r="G42" s="175" t="s">
        <v>464</v>
      </c>
      <c r="H42" s="249">
        <v>4</v>
      </c>
      <c r="I42" s="250">
        <v>11</v>
      </c>
      <c r="J42"/>
      <c r="K42"/>
    </row>
    <row r="43" spans="2:11" ht="12.75" customHeight="1" x14ac:dyDescent="0.3">
      <c r="B43" s="248"/>
      <c r="C43" s="175"/>
      <c r="D43" s="175" t="s">
        <v>1154</v>
      </c>
      <c r="E43" s="175" t="s">
        <v>1162</v>
      </c>
      <c r="F43" s="175" t="s">
        <v>934</v>
      </c>
      <c r="G43" s="175" t="s">
        <v>464</v>
      </c>
      <c r="H43" s="249">
        <v>25</v>
      </c>
      <c r="I43" s="250">
        <v>113</v>
      </c>
      <c r="J43"/>
      <c r="K43"/>
    </row>
    <row r="44" spans="2:11" ht="12.75" customHeight="1" x14ac:dyDescent="0.3">
      <c r="B44" s="248"/>
      <c r="C44" s="175"/>
      <c r="D44" s="175" t="s">
        <v>1274</v>
      </c>
      <c r="E44" s="175" t="s">
        <v>1265</v>
      </c>
      <c r="F44" s="175" t="s">
        <v>1835</v>
      </c>
      <c r="G44" s="175" t="s">
        <v>464</v>
      </c>
      <c r="H44" s="249">
        <v>124</v>
      </c>
      <c r="I44" s="250">
        <v>673</v>
      </c>
      <c r="J44"/>
      <c r="K44"/>
    </row>
    <row r="45" spans="2:11" ht="12.75" customHeight="1" x14ac:dyDescent="0.3">
      <c r="B45" s="248"/>
      <c r="C45" s="175"/>
      <c r="D45" s="175" t="s">
        <v>1612</v>
      </c>
      <c r="E45" s="175" t="s">
        <v>1656</v>
      </c>
      <c r="F45" s="175" t="s">
        <v>934</v>
      </c>
      <c r="G45" s="175" t="s">
        <v>464</v>
      </c>
      <c r="H45" s="249">
        <v>47</v>
      </c>
      <c r="I45" s="250">
        <v>218</v>
      </c>
      <c r="J45"/>
      <c r="K45"/>
    </row>
    <row r="46" spans="2:11" ht="12.75" customHeight="1" x14ac:dyDescent="0.3">
      <c r="B46" s="248"/>
      <c r="C46" s="175"/>
      <c r="D46" s="175" t="s">
        <v>1666</v>
      </c>
      <c r="E46" s="175" t="s">
        <v>1658</v>
      </c>
      <c r="F46" s="175" t="s">
        <v>934</v>
      </c>
      <c r="G46" s="175" t="s">
        <v>464</v>
      </c>
      <c r="H46" s="249">
        <v>16</v>
      </c>
      <c r="I46" s="250">
        <v>66</v>
      </c>
      <c r="J46"/>
      <c r="K46"/>
    </row>
    <row r="47" spans="2:11" ht="12.75" customHeight="1" x14ac:dyDescent="0.3">
      <c r="B47" s="248"/>
      <c r="C47" s="175" t="s">
        <v>986</v>
      </c>
      <c r="D47" s="175"/>
      <c r="E47" s="175"/>
      <c r="F47" s="175"/>
      <c r="G47" s="175"/>
      <c r="H47" s="249">
        <v>799</v>
      </c>
      <c r="I47" s="250">
        <v>4038</v>
      </c>
      <c r="J47"/>
      <c r="K47"/>
    </row>
    <row r="48" spans="2:11" ht="12.75" customHeight="1" x14ac:dyDescent="0.3">
      <c r="B48" s="248"/>
      <c r="C48" s="175" t="s">
        <v>151</v>
      </c>
      <c r="D48" s="175" t="s">
        <v>188</v>
      </c>
      <c r="E48" s="175" t="s">
        <v>187</v>
      </c>
      <c r="F48" s="175" t="s">
        <v>933</v>
      </c>
      <c r="G48" s="175" t="s">
        <v>466</v>
      </c>
      <c r="H48" s="249">
        <v>357</v>
      </c>
      <c r="I48" s="250">
        <v>1692</v>
      </c>
      <c r="J48"/>
      <c r="K48"/>
    </row>
    <row r="49" spans="2:11" x14ac:dyDescent="0.3">
      <c r="B49" s="248"/>
      <c r="C49" s="175"/>
      <c r="D49" s="175" t="s">
        <v>198</v>
      </c>
      <c r="E49" s="175" t="s">
        <v>197</v>
      </c>
      <c r="F49" s="175" t="s">
        <v>933</v>
      </c>
      <c r="G49" s="175" t="s">
        <v>466</v>
      </c>
      <c r="H49" s="249">
        <v>522</v>
      </c>
      <c r="I49" s="250">
        <v>2536</v>
      </c>
      <c r="J49"/>
      <c r="K49"/>
    </row>
    <row r="50" spans="2:11" ht="12.75" customHeight="1" x14ac:dyDescent="0.3">
      <c r="B50" s="248"/>
      <c r="C50" s="175"/>
      <c r="D50" s="175" t="s">
        <v>811</v>
      </c>
      <c r="E50" s="175" t="s">
        <v>812</v>
      </c>
      <c r="F50" s="175" t="s">
        <v>1834</v>
      </c>
      <c r="G50" s="175" t="s">
        <v>464</v>
      </c>
      <c r="H50" s="249">
        <v>432</v>
      </c>
      <c r="I50" s="250">
        <v>2528</v>
      </c>
      <c r="J50"/>
      <c r="K50"/>
    </row>
    <row r="51" spans="2:11" ht="12.75" customHeight="1" x14ac:dyDescent="0.3">
      <c r="B51" s="248"/>
      <c r="C51" s="175"/>
      <c r="D51" s="175" t="s">
        <v>160</v>
      </c>
      <c r="E51" s="175" t="s">
        <v>159</v>
      </c>
      <c r="F51" s="175" t="s">
        <v>1900</v>
      </c>
      <c r="G51" s="175" t="s">
        <v>464</v>
      </c>
      <c r="H51" s="249">
        <v>127</v>
      </c>
      <c r="I51" s="250">
        <v>653</v>
      </c>
      <c r="J51"/>
      <c r="K51"/>
    </row>
    <row r="52" spans="2:11" ht="12.75" customHeight="1" x14ac:dyDescent="0.3">
      <c r="B52" s="248"/>
      <c r="C52" s="175"/>
      <c r="D52" s="175" t="s">
        <v>154</v>
      </c>
      <c r="E52" s="175" t="s">
        <v>153</v>
      </c>
      <c r="F52" s="175" t="s">
        <v>933</v>
      </c>
      <c r="G52" s="175" t="s">
        <v>464</v>
      </c>
      <c r="H52" s="249">
        <v>437</v>
      </c>
      <c r="I52" s="250">
        <v>2316</v>
      </c>
      <c r="J52"/>
      <c r="K52"/>
    </row>
    <row r="53" spans="2:11" ht="12.75" customHeight="1" x14ac:dyDescent="0.3">
      <c r="B53" s="248"/>
      <c r="C53" s="175"/>
      <c r="D53" s="175" t="s">
        <v>152</v>
      </c>
      <c r="E53" s="175" t="s">
        <v>150</v>
      </c>
      <c r="F53" s="175" t="s">
        <v>1834</v>
      </c>
      <c r="G53" s="175" t="s">
        <v>464</v>
      </c>
      <c r="H53" s="249">
        <v>190</v>
      </c>
      <c r="I53" s="250">
        <v>853</v>
      </c>
      <c r="J53"/>
      <c r="K53"/>
    </row>
    <row r="54" spans="2:11" ht="12.75" customHeight="1" x14ac:dyDescent="0.3">
      <c r="B54" s="248"/>
      <c r="C54" s="175"/>
      <c r="D54" s="175" t="s">
        <v>845</v>
      </c>
      <c r="E54" s="175" t="s">
        <v>844</v>
      </c>
      <c r="F54" s="175" t="s">
        <v>933</v>
      </c>
      <c r="G54" s="175" t="s">
        <v>464</v>
      </c>
      <c r="H54" s="249">
        <v>156</v>
      </c>
      <c r="I54" s="250">
        <v>694</v>
      </c>
      <c r="J54"/>
      <c r="K54"/>
    </row>
    <row r="55" spans="2:11" ht="12.75" customHeight="1" x14ac:dyDescent="0.3">
      <c r="B55" s="248"/>
      <c r="C55" s="175"/>
      <c r="D55" s="175" t="s">
        <v>909</v>
      </c>
      <c r="E55" s="175" t="s">
        <v>910</v>
      </c>
      <c r="F55" s="175" t="s">
        <v>933</v>
      </c>
      <c r="G55" s="175" t="s">
        <v>464</v>
      </c>
      <c r="H55" s="249">
        <v>138</v>
      </c>
      <c r="I55" s="250">
        <v>732</v>
      </c>
      <c r="J55"/>
      <c r="K55"/>
    </row>
    <row r="56" spans="2:11" ht="12.75" customHeight="1" x14ac:dyDescent="0.3">
      <c r="B56" s="248"/>
      <c r="C56" s="175"/>
      <c r="D56" s="175" t="s">
        <v>936</v>
      </c>
      <c r="E56" s="175" t="s">
        <v>937</v>
      </c>
      <c r="F56" s="175" t="s">
        <v>1900</v>
      </c>
      <c r="G56" s="175" t="s">
        <v>464</v>
      </c>
      <c r="H56" s="249">
        <v>156</v>
      </c>
      <c r="I56" s="250">
        <v>650</v>
      </c>
      <c r="J56"/>
      <c r="K56"/>
    </row>
    <row r="57" spans="2:11" ht="12.75" customHeight="1" x14ac:dyDescent="0.3">
      <c r="B57" s="248"/>
      <c r="C57" s="175"/>
      <c r="D57" s="175" t="s">
        <v>1883</v>
      </c>
      <c r="E57" s="175" t="s">
        <v>155</v>
      </c>
      <c r="F57" s="175" t="s">
        <v>1311</v>
      </c>
      <c r="G57" s="175" t="s">
        <v>464</v>
      </c>
      <c r="H57" s="249">
        <v>175</v>
      </c>
      <c r="I57" s="250">
        <v>834</v>
      </c>
      <c r="J57"/>
      <c r="K57"/>
    </row>
    <row r="58" spans="2:11" ht="12.75" customHeight="1" x14ac:dyDescent="0.3">
      <c r="B58" s="248"/>
      <c r="C58" s="175"/>
      <c r="D58" s="175" t="s">
        <v>1881</v>
      </c>
      <c r="E58" s="175" t="s">
        <v>388</v>
      </c>
      <c r="F58" s="175" t="s">
        <v>1311</v>
      </c>
      <c r="G58" s="175" t="s">
        <v>464</v>
      </c>
      <c r="H58" s="249">
        <v>67</v>
      </c>
      <c r="I58" s="250">
        <v>324</v>
      </c>
      <c r="J58"/>
      <c r="K58"/>
    </row>
    <row r="59" spans="2:11" ht="12.75" customHeight="1" x14ac:dyDescent="0.3">
      <c r="B59" s="248"/>
      <c r="C59" s="175" t="s">
        <v>1577</v>
      </c>
      <c r="D59" s="175"/>
      <c r="E59" s="175"/>
      <c r="F59" s="175"/>
      <c r="G59" s="175"/>
      <c r="H59" s="249">
        <v>2757</v>
      </c>
      <c r="I59" s="250">
        <v>13812</v>
      </c>
      <c r="J59"/>
      <c r="K59"/>
    </row>
    <row r="60" spans="2:11" ht="12.75" customHeight="1" x14ac:dyDescent="0.3">
      <c r="B60" s="248"/>
      <c r="C60" s="175" t="s">
        <v>173</v>
      </c>
      <c r="D60" s="175" t="s">
        <v>174</v>
      </c>
      <c r="E60" s="175" t="s">
        <v>172</v>
      </c>
      <c r="F60" s="175" t="s">
        <v>1835</v>
      </c>
      <c r="G60" s="175" t="s">
        <v>464</v>
      </c>
      <c r="H60" s="249">
        <v>13</v>
      </c>
      <c r="I60" s="250">
        <v>72</v>
      </c>
      <c r="J60"/>
      <c r="K60"/>
    </row>
    <row r="61" spans="2:11" ht="12.75" customHeight="1" x14ac:dyDescent="0.3">
      <c r="B61" s="248"/>
      <c r="C61" s="175"/>
      <c r="D61" s="175" t="s">
        <v>178</v>
      </c>
      <c r="E61" s="175" t="s">
        <v>177</v>
      </c>
      <c r="F61" s="175" t="s">
        <v>1835</v>
      </c>
      <c r="G61" s="175" t="s">
        <v>464</v>
      </c>
      <c r="H61" s="249">
        <v>10</v>
      </c>
      <c r="I61" s="250">
        <v>43</v>
      </c>
      <c r="J61"/>
      <c r="K61"/>
    </row>
    <row r="62" spans="2:11" x14ac:dyDescent="0.3">
      <c r="B62" s="248"/>
      <c r="C62" s="175"/>
      <c r="D62" s="175" t="s">
        <v>1060</v>
      </c>
      <c r="E62" s="175" t="s">
        <v>1054</v>
      </c>
      <c r="F62" s="175" t="s">
        <v>1835</v>
      </c>
      <c r="G62" s="175" t="s">
        <v>464</v>
      </c>
      <c r="H62" s="249">
        <v>27</v>
      </c>
      <c r="I62" s="250">
        <v>135</v>
      </c>
      <c r="J62"/>
      <c r="K62"/>
    </row>
    <row r="63" spans="2:11" ht="12.75" customHeight="1" x14ac:dyDescent="0.3">
      <c r="B63" s="248"/>
      <c r="C63" s="175"/>
      <c r="D63" s="175" t="s">
        <v>1480</v>
      </c>
      <c r="E63" s="175" t="s">
        <v>175</v>
      </c>
      <c r="F63" s="175" t="s">
        <v>1835</v>
      </c>
      <c r="G63" s="175" t="s">
        <v>464</v>
      </c>
      <c r="H63" s="249">
        <v>15</v>
      </c>
      <c r="I63" s="250">
        <v>74</v>
      </c>
      <c r="J63"/>
      <c r="K63"/>
    </row>
    <row r="64" spans="2:11" ht="12.75" customHeight="1" x14ac:dyDescent="0.3">
      <c r="B64" s="248"/>
      <c r="C64" s="175"/>
      <c r="D64" s="175" t="s">
        <v>1626</v>
      </c>
      <c r="E64" s="175" t="s">
        <v>1614</v>
      </c>
      <c r="F64" s="175" t="s">
        <v>934</v>
      </c>
      <c r="G64" s="175" t="s">
        <v>464</v>
      </c>
      <c r="H64" s="249">
        <v>45</v>
      </c>
      <c r="I64" s="250">
        <v>235</v>
      </c>
      <c r="J64"/>
      <c r="K64"/>
    </row>
    <row r="65" spans="2:11" ht="12.75" customHeight="1" x14ac:dyDescent="0.3">
      <c r="B65" s="248"/>
      <c r="C65" s="175"/>
      <c r="D65" s="175" t="s">
        <v>1627</v>
      </c>
      <c r="E65" s="175" t="s">
        <v>1615</v>
      </c>
      <c r="F65" s="175" t="s">
        <v>934</v>
      </c>
      <c r="G65" s="175" t="s">
        <v>464</v>
      </c>
      <c r="H65" s="249">
        <v>76</v>
      </c>
      <c r="I65" s="250">
        <v>381</v>
      </c>
      <c r="J65"/>
      <c r="K65"/>
    </row>
    <row r="66" spans="2:11" ht="12.75" customHeight="1" x14ac:dyDescent="0.3">
      <c r="B66" s="248"/>
      <c r="C66" s="175"/>
      <c r="D66" s="175" t="s">
        <v>1629</v>
      </c>
      <c r="E66" s="175" t="s">
        <v>1617</v>
      </c>
      <c r="F66" s="175" t="s">
        <v>1311</v>
      </c>
      <c r="G66" s="175" t="s">
        <v>464</v>
      </c>
      <c r="H66" s="249">
        <v>6</v>
      </c>
      <c r="I66" s="250">
        <v>32</v>
      </c>
      <c r="J66"/>
      <c r="K66"/>
    </row>
    <row r="67" spans="2:11" ht="12.75" customHeight="1" x14ac:dyDescent="0.3">
      <c r="B67" s="248"/>
      <c r="C67" s="175"/>
      <c r="D67" s="175" t="s">
        <v>1687</v>
      </c>
      <c r="E67" s="175" t="s">
        <v>1616</v>
      </c>
      <c r="F67" s="175" t="s">
        <v>1835</v>
      </c>
      <c r="G67" s="175" t="s">
        <v>464</v>
      </c>
      <c r="H67" s="249">
        <v>112</v>
      </c>
      <c r="I67" s="250">
        <v>487</v>
      </c>
      <c r="J67"/>
      <c r="K67"/>
    </row>
    <row r="68" spans="2:11" ht="12.75" customHeight="1" x14ac:dyDescent="0.3">
      <c r="B68" s="248"/>
      <c r="C68" s="175" t="s">
        <v>1578</v>
      </c>
      <c r="D68" s="175"/>
      <c r="E68" s="175"/>
      <c r="F68" s="175"/>
      <c r="G68" s="175"/>
      <c r="H68" s="249">
        <v>304</v>
      </c>
      <c r="I68" s="250">
        <v>1459</v>
      </c>
      <c r="J68"/>
      <c r="K68"/>
    </row>
    <row r="69" spans="2:11" ht="12.75" customHeight="1" x14ac:dyDescent="0.3">
      <c r="B69" s="248"/>
      <c r="C69" s="175" t="s">
        <v>180</v>
      </c>
      <c r="D69" s="175" t="s">
        <v>286</v>
      </c>
      <c r="E69" s="175" t="s">
        <v>285</v>
      </c>
      <c r="F69" s="175" t="s">
        <v>1835</v>
      </c>
      <c r="G69" s="175" t="s">
        <v>464</v>
      </c>
      <c r="H69" s="249">
        <v>26</v>
      </c>
      <c r="I69" s="250">
        <v>117</v>
      </c>
      <c r="J69"/>
      <c r="K69"/>
    </row>
    <row r="70" spans="2:11" ht="12.75" customHeight="1" x14ac:dyDescent="0.3">
      <c r="B70" s="248"/>
      <c r="C70" s="175"/>
      <c r="D70" s="175" t="s">
        <v>181</v>
      </c>
      <c r="E70" s="175" t="s">
        <v>179</v>
      </c>
      <c r="F70" s="175" t="s">
        <v>934</v>
      </c>
      <c r="G70" s="175" t="s">
        <v>464</v>
      </c>
      <c r="H70" s="249">
        <v>11</v>
      </c>
      <c r="I70" s="250">
        <v>68</v>
      </c>
      <c r="J70"/>
      <c r="K70"/>
    </row>
    <row r="71" spans="2:11" ht="12.75" customHeight="1" x14ac:dyDescent="0.3">
      <c r="B71" s="248"/>
      <c r="C71" s="175"/>
      <c r="D71" s="175" t="s">
        <v>1886</v>
      </c>
      <c r="E71" s="175" t="s">
        <v>984</v>
      </c>
      <c r="F71" s="175" t="s">
        <v>1311</v>
      </c>
      <c r="G71" s="175" t="s">
        <v>464</v>
      </c>
      <c r="H71" s="249">
        <v>27</v>
      </c>
      <c r="I71" s="250">
        <v>126</v>
      </c>
      <c r="J71"/>
      <c r="K71"/>
    </row>
    <row r="72" spans="2:11" ht="12.75" customHeight="1" x14ac:dyDescent="0.3">
      <c r="B72" s="248"/>
      <c r="C72" s="175"/>
      <c r="D72" s="175" t="s">
        <v>1887</v>
      </c>
      <c r="E72" s="175" t="s">
        <v>985</v>
      </c>
      <c r="F72" s="175" t="s">
        <v>1311</v>
      </c>
      <c r="G72" s="175" t="s">
        <v>464</v>
      </c>
      <c r="H72" s="249">
        <v>15</v>
      </c>
      <c r="I72" s="250">
        <v>71</v>
      </c>
      <c r="J72"/>
      <c r="K72"/>
    </row>
    <row r="73" spans="2:11" ht="12.75" customHeight="1" x14ac:dyDescent="0.3">
      <c r="B73" s="248"/>
      <c r="C73" s="175" t="s">
        <v>1579</v>
      </c>
      <c r="D73" s="175"/>
      <c r="E73" s="175"/>
      <c r="F73" s="175"/>
      <c r="G73" s="175"/>
      <c r="H73" s="249">
        <v>79</v>
      </c>
      <c r="I73" s="250">
        <v>382</v>
      </c>
      <c r="J73"/>
      <c r="K73"/>
    </row>
    <row r="74" spans="2:11" ht="12.75" customHeight="1" x14ac:dyDescent="0.3">
      <c r="B74" s="248"/>
      <c r="C74" s="175" t="s">
        <v>185</v>
      </c>
      <c r="D74" s="175" t="s">
        <v>192</v>
      </c>
      <c r="E74" s="175" t="s">
        <v>191</v>
      </c>
      <c r="F74" s="175" t="s">
        <v>934</v>
      </c>
      <c r="G74" s="175" t="s">
        <v>466</v>
      </c>
      <c r="H74" s="249">
        <v>80</v>
      </c>
      <c r="I74" s="250">
        <v>378</v>
      </c>
      <c r="J74"/>
      <c r="K74"/>
    </row>
    <row r="75" spans="2:11" ht="12.75" customHeight="1" x14ac:dyDescent="0.3">
      <c r="B75" s="248"/>
      <c r="C75" s="175"/>
      <c r="D75" s="175" t="s">
        <v>194</v>
      </c>
      <c r="E75" s="175" t="s">
        <v>193</v>
      </c>
      <c r="F75" s="175" t="s">
        <v>934</v>
      </c>
      <c r="G75" s="175" t="s">
        <v>466</v>
      </c>
      <c r="H75" s="249">
        <v>717</v>
      </c>
      <c r="I75" s="250">
        <v>3658</v>
      </c>
      <c r="J75"/>
      <c r="K75"/>
    </row>
    <row r="76" spans="2:11" ht="12.75" customHeight="1" x14ac:dyDescent="0.3">
      <c r="B76" s="248"/>
      <c r="C76" s="175"/>
      <c r="D76" s="175" t="s">
        <v>196</v>
      </c>
      <c r="E76" s="175" t="s">
        <v>195</v>
      </c>
      <c r="F76" s="175" t="s">
        <v>934</v>
      </c>
      <c r="G76" s="175" t="s">
        <v>466</v>
      </c>
      <c r="H76" s="249">
        <v>1527</v>
      </c>
      <c r="I76" s="250">
        <v>8721</v>
      </c>
      <c r="J76"/>
      <c r="K76"/>
    </row>
    <row r="77" spans="2:11" ht="12.75" customHeight="1" x14ac:dyDescent="0.3">
      <c r="B77" s="248"/>
      <c r="C77" s="175"/>
      <c r="D77" s="175" t="s">
        <v>474</v>
      </c>
      <c r="E77" s="175" t="s">
        <v>475</v>
      </c>
      <c r="F77" s="175" t="s">
        <v>1311</v>
      </c>
      <c r="G77" s="175" t="s">
        <v>464</v>
      </c>
      <c r="H77" s="249">
        <v>3</v>
      </c>
      <c r="I77" s="250">
        <v>18</v>
      </c>
      <c r="J77"/>
      <c r="K77"/>
    </row>
    <row r="78" spans="2:11" ht="12.75" customHeight="1" x14ac:dyDescent="0.3">
      <c r="B78" s="248"/>
      <c r="C78" s="175"/>
      <c r="D78" s="175" t="s">
        <v>186</v>
      </c>
      <c r="E78" s="175" t="s">
        <v>184</v>
      </c>
      <c r="F78" s="175" t="s">
        <v>1834</v>
      </c>
      <c r="G78" s="175" t="s">
        <v>464</v>
      </c>
      <c r="H78" s="249">
        <v>38</v>
      </c>
      <c r="I78" s="250">
        <v>244</v>
      </c>
      <c r="J78"/>
      <c r="K78"/>
    </row>
    <row r="79" spans="2:11" ht="12.75" customHeight="1" x14ac:dyDescent="0.3">
      <c r="B79" s="248"/>
      <c r="C79" s="175"/>
      <c r="D79" s="175" t="s">
        <v>223</v>
      </c>
      <c r="E79" s="175" t="s">
        <v>222</v>
      </c>
      <c r="F79" s="175" t="s">
        <v>933</v>
      </c>
      <c r="G79" s="175" t="s">
        <v>464</v>
      </c>
      <c r="H79" s="249">
        <v>129</v>
      </c>
      <c r="I79" s="250">
        <v>646</v>
      </c>
      <c r="J79"/>
      <c r="K79"/>
    </row>
    <row r="80" spans="2:11" ht="12.75" customHeight="1" x14ac:dyDescent="0.3">
      <c r="B80" s="248"/>
      <c r="C80" s="175"/>
      <c r="D80" s="175" t="s">
        <v>190</v>
      </c>
      <c r="E80" s="175" t="s">
        <v>189</v>
      </c>
      <c r="F80" s="175" t="s">
        <v>1834</v>
      </c>
      <c r="G80" s="175" t="s">
        <v>464</v>
      </c>
      <c r="H80" s="249">
        <v>210</v>
      </c>
      <c r="I80" s="250">
        <v>1212</v>
      </c>
      <c r="J80"/>
      <c r="K80"/>
    </row>
    <row r="81" spans="2:11" ht="12.75" customHeight="1" x14ac:dyDescent="0.3">
      <c r="B81" s="248"/>
      <c r="C81" s="175"/>
      <c r="D81" s="175" t="s">
        <v>202</v>
      </c>
      <c r="E81" s="175" t="s">
        <v>201</v>
      </c>
      <c r="F81" s="175" t="s">
        <v>933</v>
      </c>
      <c r="G81" s="175" t="s">
        <v>464</v>
      </c>
      <c r="H81" s="249">
        <v>299</v>
      </c>
      <c r="I81" s="250">
        <v>1373</v>
      </c>
      <c r="J81"/>
      <c r="K81"/>
    </row>
    <row r="82" spans="2:11" ht="12.75" customHeight="1" x14ac:dyDescent="0.3">
      <c r="B82" s="248"/>
      <c r="C82" s="175"/>
      <c r="D82" s="175" t="s">
        <v>209</v>
      </c>
      <c r="E82" s="175" t="s">
        <v>208</v>
      </c>
      <c r="F82" s="175" t="s">
        <v>1834</v>
      </c>
      <c r="G82" s="175" t="s">
        <v>464</v>
      </c>
      <c r="H82" s="249">
        <v>427</v>
      </c>
      <c r="I82" s="250">
        <v>2006</v>
      </c>
      <c r="J82"/>
      <c r="K82"/>
    </row>
    <row r="83" spans="2:11" ht="12.75" customHeight="1" x14ac:dyDescent="0.3">
      <c r="B83" s="248"/>
      <c r="C83" s="175"/>
      <c r="D83" s="175" t="s">
        <v>213</v>
      </c>
      <c r="E83" s="175" t="s">
        <v>212</v>
      </c>
      <c r="F83" s="175" t="s">
        <v>1311</v>
      </c>
      <c r="G83" s="175" t="s">
        <v>464</v>
      </c>
      <c r="H83" s="249">
        <v>26</v>
      </c>
      <c r="I83" s="250">
        <v>137</v>
      </c>
      <c r="J83"/>
      <c r="K83"/>
    </row>
    <row r="84" spans="2:11" ht="12.75" customHeight="1" x14ac:dyDescent="0.3">
      <c r="B84" s="248"/>
      <c r="C84" s="175"/>
      <c r="D84" s="175" t="s">
        <v>215</v>
      </c>
      <c r="E84" s="175" t="s">
        <v>214</v>
      </c>
      <c r="F84" s="175" t="s">
        <v>933</v>
      </c>
      <c r="G84" s="175" t="s">
        <v>466</v>
      </c>
      <c r="H84" s="249">
        <v>354</v>
      </c>
      <c r="I84" s="250">
        <v>1546</v>
      </c>
      <c r="J84"/>
      <c r="K84"/>
    </row>
    <row r="85" spans="2:11" ht="12.75" customHeight="1" x14ac:dyDescent="0.3">
      <c r="B85" s="248"/>
      <c r="C85" s="175"/>
      <c r="D85" s="175" t="s">
        <v>229</v>
      </c>
      <c r="E85" s="175" t="s">
        <v>228</v>
      </c>
      <c r="F85" s="175" t="s">
        <v>1834</v>
      </c>
      <c r="G85" s="175" t="s">
        <v>464</v>
      </c>
      <c r="H85" s="249">
        <v>49</v>
      </c>
      <c r="I85" s="250">
        <v>300</v>
      </c>
      <c r="J85"/>
      <c r="K85"/>
    </row>
    <row r="86" spans="2:11" ht="12.75" customHeight="1" x14ac:dyDescent="0.3">
      <c r="B86" s="248"/>
      <c r="C86" s="175"/>
      <c r="D86" s="175" t="s">
        <v>219</v>
      </c>
      <c r="E86" s="175" t="s">
        <v>218</v>
      </c>
      <c r="F86" s="175" t="s">
        <v>933</v>
      </c>
      <c r="G86" s="175" t="s">
        <v>466</v>
      </c>
      <c r="H86" s="249">
        <v>632</v>
      </c>
      <c r="I86" s="250">
        <v>3550</v>
      </c>
      <c r="J86"/>
      <c r="K86"/>
    </row>
    <row r="87" spans="2:11" ht="12.75" customHeight="1" x14ac:dyDescent="0.3">
      <c r="B87" s="248"/>
      <c r="C87" s="175"/>
      <c r="D87" s="175" t="s">
        <v>225</v>
      </c>
      <c r="E87" s="175" t="s">
        <v>224</v>
      </c>
      <c r="F87" s="175" t="s">
        <v>1834</v>
      </c>
      <c r="G87" s="175" t="s">
        <v>464</v>
      </c>
      <c r="H87" s="249">
        <v>44</v>
      </c>
      <c r="I87" s="250">
        <v>276</v>
      </c>
      <c r="J87"/>
      <c r="K87"/>
    </row>
    <row r="88" spans="2:11" ht="12.75" customHeight="1" x14ac:dyDescent="0.3">
      <c r="B88" s="248"/>
      <c r="C88" s="175"/>
      <c r="D88" s="175" t="s">
        <v>1881</v>
      </c>
      <c r="E88" s="175" t="s">
        <v>389</v>
      </c>
      <c r="F88" s="175" t="s">
        <v>1311</v>
      </c>
      <c r="G88" s="175" t="s">
        <v>464</v>
      </c>
      <c r="H88" s="249">
        <v>223</v>
      </c>
      <c r="I88" s="250">
        <v>1067</v>
      </c>
      <c r="J88"/>
      <c r="K88"/>
    </row>
    <row r="89" spans="2:11" ht="12.75" customHeight="1" x14ac:dyDescent="0.3">
      <c r="B89" s="248"/>
      <c r="C89" s="175" t="s">
        <v>1580</v>
      </c>
      <c r="D89" s="175"/>
      <c r="E89" s="175"/>
      <c r="F89" s="175"/>
      <c r="G89" s="175"/>
      <c r="H89" s="249">
        <v>4758</v>
      </c>
      <c r="I89" s="250">
        <v>25132</v>
      </c>
      <c r="J89"/>
      <c r="K89"/>
    </row>
    <row r="90" spans="2:11" ht="12.75" customHeight="1" x14ac:dyDescent="0.3">
      <c r="B90" s="248"/>
      <c r="C90" s="175" t="s">
        <v>237</v>
      </c>
      <c r="D90" s="302" t="s">
        <v>252</v>
      </c>
      <c r="E90" s="175" t="s">
        <v>251</v>
      </c>
      <c r="F90" s="175" t="s">
        <v>1835</v>
      </c>
      <c r="G90" s="175" t="s">
        <v>464</v>
      </c>
      <c r="H90" s="249">
        <v>199</v>
      </c>
      <c r="I90" s="250">
        <v>1131</v>
      </c>
      <c r="J90"/>
      <c r="K90"/>
    </row>
    <row r="91" spans="2:11" ht="12.75" customHeight="1" x14ac:dyDescent="0.3">
      <c r="B91" s="248"/>
      <c r="C91" s="175"/>
      <c r="D91" s="302" t="s">
        <v>254</v>
      </c>
      <c r="E91" s="175" t="s">
        <v>253</v>
      </c>
      <c r="F91" s="175" t="s">
        <v>934</v>
      </c>
      <c r="G91" s="175" t="s">
        <v>464</v>
      </c>
      <c r="H91" s="249">
        <v>100</v>
      </c>
      <c r="I91" s="250">
        <v>485</v>
      </c>
      <c r="J91"/>
      <c r="K91"/>
    </row>
    <row r="92" spans="2:11" ht="12.75" customHeight="1" x14ac:dyDescent="0.3">
      <c r="B92" s="248"/>
      <c r="C92" s="175"/>
      <c r="D92" s="302" t="s">
        <v>240</v>
      </c>
      <c r="E92" s="175" t="s">
        <v>239</v>
      </c>
      <c r="F92" s="175" t="s">
        <v>1835</v>
      </c>
      <c r="G92" s="175" t="s">
        <v>464</v>
      </c>
      <c r="H92" s="249">
        <v>152</v>
      </c>
      <c r="I92" s="250">
        <v>770</v>
      </c>
      <c r="J92"/>
      <c r="K92"/>
    </row>
    <row r="93" spans="2:11" ht="12.75" customHeight="1" x14ac:dyDescent="0.3">
      <c r="B93" s="248"/>
      <c r="C93" s="175"/>
      <c r="D93" s="302" t="s">
        <v>284</v>
      </c>
      <c r="E93" s="175" t="s">
        <v>283</v>
      </c>
      <c r="F93" s="175" t="s">
        <v>1835</v>
      </c>
      <c r="G93" s="175" t="s">
        <v>464</v>
      </c>
      <c r="H93" s="249">
        <v>138</v>
      </c>
      <c r="I93" s="250">
        <v>709</v>
      </c>
      <c r="J93"/>
      <c r="K93"/>
    </row>
    <row r="94" spans="2:11" ht="12.75" customHeight="1" x14ac:dyDescent="0.3">
      <c r="B94" s="248"/>
      <c r="C94" s="175"/>
      <c r="D94" s="175" t="s">
        <v>258</v>
      </c>
      <c r="E94" s="175" t="s">
        <v>257</v>
      </c>
      <c r="F94" s="175" t="s">
        <v>1835</v>
      </c>
      <c r="G94" s="175" t="s">
        <v>464</v>
      </c>
      <c r="H94" s="249">
        <v>61</v>
      </c>
      <c r="I94" s="250">
        <v>312</v>
      </c>
      <c r="J94"/>
      <c r="K94"/>
    </row>
    <row r="95" spans="2:11" ht="12.75" customHeight="1" x14ac:dyDescent="0.3">
      <c r="B95" s="248"/>
      <c r="C95" s="175"/>
      <c r="D95" s="175" t="s">
        <v>260</v>
      </c>
      <c r="E95" s="175" t="s">
        <v>259</v>
      </c>
      <c r="F95" s="175" t="s">
        <v>1835</v>
      </c>
      <c r="G95" s="175" t="s">
        <v>464</v>
      </c>
      <c r="H95" s="249">
        <v>103</v>
      </c>
      <c r="I95" s="250">
        <v>586</v>
      </c>
      <c r="J95"/>
      <c r="K95"/>
    </row>
    <row r="96" spans="2:11" x14ac:dyDescent="0.3">
      <c r="B96" s="248"/>
      <c r="C96" s="175"/>
      <c r="D96" s="175" t="s">
        <v>262</v>
      </c>
      <c r="E96" s="175" t="s">
        <v>261</v>
      </c>
      <c r="F96" s="175" t="s">
        <v>462</v>
      </c>
      <c r="G96" s="175" t="s">
        <v>464</v>
      </c>
      <c r="H96" s="249">
        <v>22</v>
      </c>
      <c r="I96" s="250">
        <v>92</v>
      </c>
      <c r="J96"/>
      <c r="K96"/>
    </row>
    <row r="97" spans="2:11" ht="12.75" customHeight="1" x14ac:dyDescent="0.3">
      <c r="B97" s="248"/>
      <c r="C97" s="175"/>
      <c r="D97" s="175" t="s">
        <v>264</v>
      </c>
      <c r="E97" s="175" t="s">
        <v>263</v>
      </c>
      <c r="F97" s="175" t="s">
        <v>462</v>
      </c>
      <c r="G97" s="175" t="s">
        <v>464</v>
      </c>
      <c r="H97" s="249">
        <v>21</v>
      </c>
      <c r="I97" s="250">
        <v>123</v>
      </c>
      <c r="J97"/>
      <c r="K97"/>
    </row>
    <row r="98" spans="2:11" ht="12.75" customHeight="1" x14ac:dyDescent="0.3">
      <c r="B98" s="248"/>
      <c r="C98" s="175"/>
      <c r="D98" s="175" t="s">
        <v>270</v>
      </c>
      <c r="E98" s="175" t="s">
        <v>269</v>
      </c>
      <c r="F98" s="175" t="s">
        <v>934</v>
      </c>
      <c r="G98" s="175" t="s">
        <v>464</v>
      </c>
      <c r="H98" s="249">
        <v>60</v>
      </c>
      <c r="I98" s="250">
        <v>316</v>
      </c>
      <c r="J98"/>
      <c r="K98"/>
    </row>
    <row r="99" spans="2:11" ht="12.75" customHeight="1" x14ac:dyDescent="0.3">
      <c r="B99" s="248"/>
      <c r="C99" s="175"/>
      <c r="D99" s="175" t="s">
        <v>268</v>
      </c>
      <c r="E99" s="175" t="s">
        <v>267</v>
      </c>
      <c r="F99" s="175" t="s">
        <v>1835</v>
      </c>
      <c r="G99" s="175" t="s">
        <v>464</v>
      </c>
      <c r="H99" s="249">
        <v>67</v>
      </c>
      <c r="I99" s="250">
        <v>291</v>
      </c>
      <c r="J99"/>
      <c r="K99"/>
    </row>
    <row r="100" spans="2:11" ht="12.75" customHeight="1" x14ac:dyDescent="0.3">
      <c r="B100" s="248"/>
      <c r="C100" s="175"/>
      <c r="D100" s="175" t="s">
        <v>272</v>
      </c>
      <c r="E100" s="175" t="s">
        <v>271</v>
      </c>
      <c r="F100" s="175" t="s">
        <v>934</v>
      </c>
      <c r="G100" s="175" t="s">
        <v>464</v>
      </c>
      <c r="H100" s="249">
        <v>149</v>
      </c>
      <c r="I100" s="250">
        <v>885</v>
      </c>
      <c r="J100"/>
      <c r="K100"/>
    </row>
    <row r="101" spans="2:11" ht="12.75" customHeight="1" x14ac:dyDescent="0.3">
      <c r="B101" s="248"/>
      <c r="C101" s="175"/>
      <c r="D101" s="175" t="s">
        <v>276</v>
      </c>
      <c r="E101" s="175" t="s">
        <v>275</v>
      </c>
      <c r="F101" s="175" t="s">
        <v>1835</v>
      </c>
      <c r="G101" s="175" t="s">
        <v>464</v>
      </c>
      <c r="H101" s="249">
        <v>124</v>
      </c>
      <c r="I101" s="250">
        <v>609</v>
      </c>
      <c r="J101"/>
      <c r="K101"/>
    </row>
    <row r="102" spans="2:11" ht="12.75" customHeight="1" x14ac:dyDescent="0.3">
      <c r="B102" s="248"/>
      <c r="C102" s="175"/>
      <c r="D102" s="175" t="s">
        <v>278</v>
      </c>
      <c r="E102" s="175" t="s">
        <v>277</v>
      </c>
      <c r="F102" s="175" t="s">
        <v>462</v>
      </c>
      <c r="G102" s="175" t="s">
        <v>464</v>
      </c>
      <c r="H102" s="249">
        <v>24</v>
      </c>
      <c r="I102" s="250">
        <v>111</v>
      </c>
      <c r="J102"/>
      <c r="K102"/>
    </row>
    <row r="103" spans="2:11" ht="12.75" customHeight="1" x14ac:dyDescent="0.3">
      <c r="B103" s="248"/>
      <c r="C103" s="175"/>
      <c r="D103" s="175" t="s">
        <v>280</v>
      </c>
      <c r="E103" s="175" t="s">
        <v>279</v>
      </c>
      <c r="F103" s="175" t="s">
        <v>1835</v>
      </c>
      <c r="G103" s="175" t="s">
        <v>464</v>
      </c>
      <c r="H103" s="249">
        <v>95</v>
      </c>
      <c r="I103" s="250">
        <v>549</v>
      </c>
      <c r="J103"/>
      <c r="K103"/>
    </row>
    <row r="104" spans="2:11" ht="12.75" customHeight="1" x14ac:dyDescent="0.3">
      <c r="B104" s="248"/>
      <c r="C104" s="175"/>
      <c r="D104" s="175" t="s">
        <v>238</v>
      </c>
      <c r="E104" s="175" t="s">
        <v>236</v>
      </c>
      <c r="F104" s="175" t="s">
        <v>1835</v>
      </c>
      <c r="G104" s="175" t="s">
        <v>464</v>
      </c>
      <c r="H104" s="249">
        <v>78</v>
      </c>
      <c r="I104" s="250">
        <v>424</v>
      </c>
      <c r="J104"/>
      <c r="K104"/>
    </row>
    <row r="105" spans="2:11" ht="12.75" customHeight="1" x14ac:dyDescent="0.3">
      <c r="B105" s="248"/>
      <c r="C105" s="175"/>
      <c r="D105" s="175" t="s">
        <v>248</v>
      </c>
      <c r="E105" s="175" t="s">
        <v>247</v>
      </c>
      <c r="F105" s="175" t="s">
        <v>462</v>
      </c>
      <c r="G105" s="175" t="s">
        <v>464</v>
      </c>
      <c r="H105" s="249">
        <v>17</v>
      </c>
      <c r="I105" s="250">
        <v>83</v>
      </c>
      <c r="J105"/>
      <c r="K105"/>
    </row>
    <row r="106" spans="2:11" ht="12.75" customHeight="1" x14ac:dyDescent="0.3">
      <c r="B106" s="248"/>
      <c r="C106" s="175"/>
      <c r="D106" s="175" t="s">
        <v>250</v>
      </c>
      <c r="E106" s="175" t="s">
        <v>249</v>
      </c>
      <c r="F106" s="175" t="s">
        <v>1835</v>
      </c>
      <c r="G106" s="175" t="s">
        <v>464</v>
      </c>
      <c r="H106" s="249">
        <v>33</v>
      </c>
      <c r="I106" s="250">
        <v>184</v>
      </c>
      <c r="J106"/>
      <c r="K106"/>
    </row>
    <row r="107" spans="2:11" ht="12.75" customHeight="1" x14ac:dyDescent="0.3">
      <c r="B107" s="248"/>
      <c r="C107" s="175"/>
      <c r="D107" s="175" t="s">
        <v>274</v>
      </c>
      <c r="E107" s="175" t="s">
        <v>273</v>
      </c>
      <c r="F107" s="175" t="s">
        <v>1835</v>
      </c>
      <c r="G107" s="175" t="s">
        <v>464</v>
      </c>
      <c r="H107" s="249">
        <v>46</v>
      </c>
      <c r="I107" s="250">
        <v>242</v>
      </c>
      <c r="J107"/>
      <c r="K107"/>
    </row>
    <row r="108" spans="2:11" ht="12.75" customHeight="1" x14ac:dyDescent="0.3">
      <c r="B108" s="248"/>
      <c r="C108" s="175"/>
      <c r="D108" s="175" t="s">
        <v>1029</v>
      </c>
      <c r="E108" s="175" t="s">
        <v>241</v>
      </c>
      <c r="F108" s="175" t="s">
        <v>462</v>
      </c>
      <c r="G108" s="175" t="s">
        <v>464</v>
      </c>
      <c r="H108" s="249">
        <v>54</v>
      </c>
      <c r="I108" s="250">
        <v>250</v>
      </c>
      <c r="J108"/>
      <c r="K108"/>
    </row>
    <row r="109" spans="2:11" ht="12.75" customHeight="1" x14ac:dyDescent="0.3">
      <c r="B109" s="248"/>
      <c r="C109" s="175"/>
      <c r="D109" s="175" t="s">
        <v>1503</v>
      </c>
      <c r="E109" s="175" t="s">
        <v>244</v>
      </c>
      <c r="F109" s="175" t="s">
        <v>1835</v>
      </c>
      <c r="G109" s="175" t="s">
        <v>464</v>
      </c>
      <c r="H109" s="249">
        <v>44</v>
      </c>
      <c r="I109" s="250">
        <v>197</v>
      </c>
      <c r="J109"/>
      <c r="K109"/>
    </row>
    <row r="110" spans="2:11" ht="12.75" customHeight="1" x14ac:dyDescent="0.3">
      <c r="B110" s="248"/>
      <c r="C110" s="175"/>
      <c r="D110" s="175" t="s">
        <v>1506</v>
      </c>
      <c r="E110" s="175" t="s">
        <v>1536</v>
      </c>
      <c r="F110" s="175" t="s">
        <v>934</v>
      </c>
      <c r="G110" s="175" t="s">
        <v>464</v>
      </c>
      <c r="H110" s="249">
        <v>14</v>
      </c>
      <c r="I110" s="250">
        <v>40</v>
      </c>
      <c r="J110"/>
      <c r="K110"/>
    </row>
    <row r="111" spans="2:11" ht="12.75" customHeight="1" x14ac:dyDescent="0.3">
      <c r="B111" s="248"/>
      <c r="C111" s="175"/>
      <c r="D111" s="175" t="s">
        <v>1660</v>
      </c>
      <c r="E111" s="175" t="s">
        <v>1655</v>
      </c>
      <c r="F111" s="175" t="s">
        <v>1311</v>
      </c>
      <c r="G111" s="175" t="s">
        <v>464</v>
      </c>
      <c r="H111" s="249">
        <v>8</v>
      </c>
      <c r="I111" s="250">
        <v>32</v>
      </c>
      <c r="J111"/>
      <c r="K111"/>
    </row>
    <row r="112" spans="2:11" ht="12.75" customHeight="1" x14ac:dyDescent="0.3">
      <c r="B112" s="248"/>
      <c r="C112" s="175"/>
      <c r="D112" s="175" t="s">
        <v>1683</v>
      </c>
      <c r="E112" s="175" t="s">
        <v>1682</v>
      </c>
      <c r="F112" s="175" t="s">
        <v>934</v>
      </c>
      <c r="G112" s="175" t="s">
        <v>464</v>
      </c>
      <c r="H112" s="249">
        <v>255</v>
      </c>
      <c r="I112" s="250">
        <v>1373</v>
      </c>
      <c r="J112"/>
      <c r="K112"/>
    </row>
    <row r="113" spans="2:11" ht="12.75" customHeight="1" x14ac:dyDescent="0.3">
      <c r="B113" s="248"/>
      <c r="C113" s="175"/>
      <c r="D113" s="175" t="s">
        <v>1688</v>
      </c>
      <c r="E113" s="175" t="s">
        <v>1618</v>
      </c>
      <c r="F113" s="175" t="s">
        <v>1835</v>
      </c>
      <c r="G113" s="175" t="s">
        <v>464</v>
      </c>
      <c r="H113" s="249">
        <v>205</v>
      </c>
      <c r="I113" s="250">
        <v>960</v>
      </c>
      <c r="J113"/>
      <c r="K113"/>
    </row>
    <row r="114" spans="2:11" ht="12.75" customHeight="1" x14ac:dyDescent="0.3">
      <c r="B114" s="248"/>
      <c r="C114" s="175"/>
      <c r="D114" s="175" t="s">
        <v>1712</v>
      </c>
      <c r="E114" s="175" t="s">
        <v>1653</v>
      </c>
      <c r="F114" s="175" t="s">
        <v>1835</v>
      </c>
      <c r="G114" s="175" t="s">
        <v>464</v>
      </c>
      <c r="H114" s="249">
        <v>140</v>
      </c>
      <c r="I114" s="250">
        <v>620</v>
      </c>
      <c r="J114"/>
      <c r="K114"/>
    </row>
    <row r="115" spans="2:11" ht="12.75" customHeight="1" x14ac:dyDescent="0.3">
      <c r="B115" s="248"/>
      <c r="C115" s="175" t="s">
        <v>987</v>
      </c>
      <c r="D115" s="175"/>
      <c r="E115" s="175"/>
      <c r="F115" s="175"/>
      <c r="G115" s="175"/>
      <c r="H115" s="249">
        <v>2209</v>
      </c>
      <c r="I115" s="250">
        <v>11374</v>
      </c>
      <c r="J115"/>
      <c r="K115"/>
    </row>
    <row r="116" spans="2:11" ht="12.75" customHeight="1" x14ac:dyDescent="0.3">
      <c r="B116" s="248"/>
      <c r="C116" s="175" t="s">
        <v>299</v>
      </c>
      <c r="D116" s="175" t="s">
        <v>300</v>
      </c>
      <c r="E116" s="175" t="s">
        <v>298</v>
      </c>
      <c r="F116" s="175" t="s">
        <v>1311</v>
      </c>
      <c r="G116" s="175" t="s">
        <v>464</v>
      </c>
      <c r="H116" s="249">
        <v>17</v>
      </c>
      <c r="I116" s="250">
        <v>92</v>
      </c>
      <c r="J116"/>
      <c r="K116"/>
    </row>
    <row r="117" spans="2:11" ht="12.75" customHeight="1" x14ac:dyDescent="0.3">
      <c r="B117" s="248"/>
      <c r="C117" s="175"/>
      <c r="D117" s="175" t="s">
        <v>1044</v>
      </c>
      <c r="E117" s="175" t="s">
        <v>1043</v>
      </c>
      <c r="F117" s="175" t="s">
        <v>1835</v>
      </c>
      <c r="G117" s="175" t="s">
        <v>464</v>
      </c>
      <c r="H117" s="249">
        <v>61</v>
      </c>
      <c r="I117" s="250">
        <v>281</v>
      </c>
      <c r="J117"/>
      <c r="K117"/>
    </row>
    <row r="118" spans="2:11" ht="12.75" customHeight="1" x14ac:dyDescent="0.3">
      <c r="B118" s="248"/>
      <c r="C118" s="175"/>
      <c r="D118" s="175" t="s">
        <v>1885</v>
      </c>
      <c r="E118" s="175" t="s">
        <v>891</v>
      </c>
      <c r="F118" s="175" t="s">
        <v>1311</v>
      </c>
      <c r="G118" s="175" t="s">
        <v>464</v>
      </c>
      <c r="H118" s="249">
        <v>10</v>
      </c>
      <c r="I118" s="250">
        <v>56</v>
      </c>
      <c r="J118"/>
      <c r="K118"/>
    </row>
    <row r="119" spans="2:11" ht="12.75" customHeight="1" x14ac:dyDescent="0.3">
      <c r="B119" s="248"/>
      <c r="C119" s="175" t="s">
        <v>1581</v>
      </c>
      <c r="D119" s="175"/>
      <c r="E119" s="175"/>
      <c r="F119" s="175"/>
      <c r="G119" s="175"/>
      <c r="H119" s="249">
        <v>88</v>
      </c>
      <c r="I119" s="250">
        <v>429</v>
      </c>
      <c r="J119"/>
      <c r="K119"/>
    </row>
    <row r="120" spans="2:11" ht="12.75" customHeight="1" x14ac:dyDescent="0.3">
      <c r="B120" s="248"/>
      <c r="C120" s="175" t="s">
        <v>301</v>
      </c>
      <c r="D120" s="175" t="s">
        <v>305</v>
      </c>
      <c r="E120" s="175" t="s">
        <v>304</v>
      </c>
      <c r="F120" s="175" t="s">
        <v>1834</v>
      </c>
      <c r="G120" s="175" t="s">
        <v>464</v>
      </c>
      <c r="H120" s="249">
        <v>47</v>
      </c>
      <c r="I120" s="250">
        <v>276</v>
      </c>
      <c r="J120"/>
      <c r="K120"/>
    </row>
    <row r="121" spans="2:11" ht="12.75" customHeight="1" x14ac:dyDescent="0.3">
      <c r="B121" s="248"/>
      <c r="C121" s="175"/>
      <c r="D121" s="175" t="s">
        <v>307</v>
      </c>
      <c r="E121" s="175" t="s">
        <v>306</v>
      </c>
      <c r="F121" s="175" t="s">
        <v>933</v>
      </c>
      <c r="G121" s="175" t="s">
        <v>464</v>
      </c>
      <c r="H121" s="249">
        <v>47</v>
      </c>
      <c r="I121" s="250">
        <v>194</v>
      </c>
      <c r="J121"/>
      <c r="K121"/>
    </row>
    <row r="122" spans="2:11" ht="12.75" customHeight="1" x14ac:dyDescent="0.3">
      <c r="B122" s="248"/>
      <c r="C122" s="175"/>
      <c r="D122" s="175" t="s">
        <v>2102</v>
      </c>
      <c r="E122" s="175" t="s">
        <v>2098</v>
      </c>
      <c r="F122" s="175" t="s">
        <v>1311</v>
      </c>
      <c r="G122" s="175" t="s">
        <v>466</v>
      </c>
      <c r="H122" s="249">
        <v>361</v>
      </c>
      <c r="I122" s="250">
        <v>1397</v>
      </c>
      <c r="J122"/>
      <c r="K122"/>
    </row>
    <row r="123" spans="2:11" ht="12.75" customHeight="1" x14ac:dyDescent="0.3">
      <c r="B123" s="248"/>
      <c r="C123" s="175" t="s">
        <v>1582</v>
      </c>
      <c r="D123" s="175"/>
      <c r="E123" s="175"/>
      <c r="F123" s="175"/>
      <c r="G123" s="175"/>
      <c r="H123" s="249">
        <v>455</v>
      </c>
      <c r="I123" s="250">
        <v>1867</v>
      </c>
      <c r="J123"/>
      <c r="K123"/>
    </row>
    <row r="124" spans="2:11" ht="12.75" customHeight="1" x14ac:dyDescent="0.3">
      <c r="B124" s="248"/>
      <c r="C124" s="175" t="s">
        <v>746</v>
      </c>
      <c r="D124" s="175" t="s">
        <v>746</v>
      </c>
      <c r="E124" s="175" t="s">
        <v>750</v>
      </c>
      <c r="F124" s="175" t="s">
        <v>1311</v>
      </c>
      <c r="G124" s="175" t="s">
        <v>464</v>
      </c>
      <c r="H124" s="249">
        <v>5</v>
      </c>
      <c r="I124" s="250">
        <v>32</v>
      </c>
      <c r="J124"/>
      <c r="K124"/>
    </row>
    <row r="125" spans="2:11" ht="12.75" customHeight="1" x14ac:dyDescent="0.3">
      <c r="B125" s="248"/>
      <c r="C125" s="175"/>
      <c r="D125" s="175" t="s">
        <v>1064</v>
      </c>
      <c r="E125" s="175" t="s">
        <v>1065</v>
      </c>
      <c r="F125" s="175" t="s">
        <v>1835</v>
      </c>
      <c r="G125" s="175" t="s">
        <v>466</v>
      </c>
      <c r="H125" s="249">
        <v>111</v>
      </c>
      <c r="I125" s="250">
        <v>564</v>
      </c>
      <c r="J125"/>
      <c r="K125"/>
    </row>
    <row r="126" spans="2:11" ht="12.75" customHeight="1" x14ac:dyDescent="0.3">
      <c r="B126" s="248"/>
      <c r="C126" s="175"/>
      <c r="D126" s="175" t="s">
        <v>1066</v>
      </c>
      <c r="E126" s="175" t="s">
        <v>1067</v>
      </c>
      <c r="F126" s="175" t="s">
        <v>1835</v>
      </c>
      <c r="G126" s="175" t="s">
        <v>466</v>
      </c>
      <c r="H126" s="249">
        <v>67</v>
      </c>
      <c r="I126" s="250">
        <v>311</v>
      </c>
      <c r="J126"/>
      <c r="K126"/>
    </row>
    <row r="127" spans="2:11" ht="12.75" customHeight="1" x14ac:dyDescent="0.3">
      <c r="B127" s="248"/>
      <c r="C127" s="175"/>
      <c r="D127" s="175" t="s">
        <v>1911</v>
      </c>
      <c r="E127" s="175" t="s">
        <v>1695</v>
      </c>
      <c r="F127" s="175" t="s">
        <v>1311</v>
      </c>
      <c r="G127" s="175" t="s">
        <v>464</v>
      </c>
      <c r="H127" s="249">
        <v>29</v>
      </c>
      <c r="I127" s="250">
        <v>140</v>
      </c>
      <c r="J127"/>
      <c r="K127"/>
    </row>
    <row r="128" spans="2:11" ht="12.75" customHeight="1" x14ac:dyDescent="0.3">
      <c r="B128" s="248"/>
      <c r="C128" s="175" t="s">
        <v>1698</v>
      </c>
      <c r="D128" s="175"/>
      <c r="E128" s="175"/>
      <c r="F128" s="175"/>
      <c r="G128" s="175"/>
      <c r="H128" s="249">
        <v>212</v>
      </c>
      <c r="I128" s="250">
        <v>1047</v>
      </c>
      <c r="J128"/>
      <c r="K128"/>
    </row>
    <row r="129" spans="2:11" ht="12.75" customHeight="1" x14ac:dyDescent="0.3">
      <c r="B129" s="248"/>
      <c r="C129" s="175" t="s">
        <v>309</v>
      </c>
      <c r="D129" s="175" t="s">
        <v>333</v>
      </c>
      <c r="E129" s="175" t="s">
        <v>332</v>
      </c>
      <c r="F129" s="175" t="s">
        <v>934</v>
      </c>
      <c r="G129" s="175" t="s">
        <v>466</v>
      </c>
      <c r="H129" s="249">
        <v>117</v>
      </c>
      <c r="I129" s="250">
        <v>421</v>
      </c>
      <c r="J129"/>
      <c r="K129"/>
    </row>
    <row r="130" spans="2:11" ht="12.75" customHeight="1" x14ac:dyDescent="0.3">
      <c r="B130" s="248"/>
      <c r="C130" s="175"/>
      <c r="D130" s="175" t="s">
        <v>312</v>
      </c>
      <c r="E130" s="175" t="s">
        <v>311</v>
      </c>
      <c r="F130" s="175" t="s">
        <v>462</v>
      </c>
      <c r="G130" s="175" t="s">
        <v>464</v>
      </c>
      <c r="H130" s="249">
        <v>92</v>
      </c>
      <c r="I130" s="250">
        <v>448</v>
      </c>
      <c r="J130"/>
      <c r="K130"/>
    </row>
    <row r="131" spans="2:11" ht="12.75" customHeight="1" x14ac:dyDescent="0.3">
      <c r="B131" s="248"/>
      <c r="C131" s="175"/>
      <c r="D131" s="175" t="s">
        <v>335</v>
      </c>
      <c r="E131" s="175" t="s">
        <v>334</v>
      </c>
      <c r="F131" s="175" t="s">
        <v>1835</v>
      </c>
      <c r="G131" s="175" t="s">
        <v>466</v>
      </c>
      <c r="H131" s="249">
        <v>136</v>
      </c>
      <c r="I131" s="250">
        <v>985</v>
      </c>
      <c r="J131"/>
      <c r="K131"/>
    </row>
    <row r="132" spans="2:11" ht="12.75" customHeight="1" x14ac:dyDescent="0.3">
      <c r="B132" s="248"/>
      <c r="C132" s="175"/>
      <c r="D132" s="175" t="s">
        <v>751</v>
      </c>
      <c r="E132" s="175" t="s">
        <v>752</v>
      </c>
      <c r="F132" s="175" t="s">
        <v>1311</v>
      </c>
      <c r="G132" s="175" t="s">
        <v>466</v>
      </c>
      <c r="H132" s="249"/>
      <c r="I132" s="250">
        <v>872</v>
      </c>
      <c r="J132"/>
      <c r="K132"/>
    </row>
    <row r="133" spans="2:11" ht="12.75" customHeight="1" x14ac:dyDescent="0.3">
      <c r="B133" s="248"/>
      <c r="C133" s="175"/>
      <c r="D133" s="302" t="s">
        <v>319</v>
      </c>
      <c r="E133" s="175" t="s">
        <v>318</v>
      </c>
      <c r="F133" s="175" t="s">
        <v>1835</v>
      </c>
      <c r="G133" s="175" t="s">
        <v>464</v>
      </c>
      <c r="H133" s="249">
        <v>32</v>
      </c>
      <c r="I133" s="250">
        <v>196</v>
      </c>
      <c r="J133"/>
      <c r="K133"/>
    </row>
    <row r="134" spans="2:11" ht="12.75" customHeight="1" x14ac:dyDescent="0.3">
      <c r="B134" s="248"/>
      <c r="C134" s="175"/>
      <c r="D134" s="302" t="s">
        <v>321</v>
      </c>
      <c r="E134" s="175" t="s">
        <v>320</v>
      </c>
      <c r="F134" s="175" t="s">
        <v>934</v>
      </c>
      <c r="G134" s="175" t="s">
        <v>466</v>
      </c>
      <c r="H134" s="249">
        <v>407</v>
      </c>
      <c r="I134" s="250">
        <v>1731</v>
      </c>
      <c r="J134"/>
      <c r="K134"/>
    </row>
    <row r="135" spans="2:11" ht="12.75" customHeight="1" x14ac:dyDescent="0.3">
      <c r="B135" s="248"/>
      <c r="C135" s="175"/>
      <c r="D135" s="302" t="s">
        <v>327</v>
      </c>
      <c r="E135" s="175" t="s">
        <v>326</v>
      </c>
      <c r="F135" s="175" t="s">
        <v>462</v>
      </c>
      <c r="G135" s="175" t="s">
        <v>464</v>
      </c>
      <c r="H135" s="249">
        <v>346</v>
      </c>
      <c r="I135" s="250">
        <v>2059</v>
      </c>
      <c r="J135"/>
      <c r="K135"/>
    </row>
    <row r="136" spans="2:11" ht="12.75" customHeight="1" x14ac:dyDescent="0.3">
      <c r="B136" s="248"/>
      <c r="C136" s="175"/>
      <c r="D136" s="302" t="s">
        <v>329</v>
      </c>
      <c r="E136" s="175" t="s">
        <v>328</v>
      </c>
      <c r="F136" s="175" t="s">
        <v>934</v>
      </c>
      <c r="G136" s="175" t="s">
        <v>464</v>
      </c>
      <c r="H136" s="249">
        <v>327</v>
      </c>
      <c r="I136" s="250">
        <v>1785</v>
      </c>
      <c r="J136"/>
      <c r="K136"/>
    </row>
    <row r="137" spans="2:11" x14ac:dyDescent="0.3">
      <c r="B137" s="248"/>
      <c r="C137" s="175"/>
      <c r="D137" s="302" t="s">
        <v>323</v>
      </c>
      <c r="E137" s="175" t="s">
        <v>322</v>
      </c>
      <c r="F137" s="175" t="s">
        <v>1835</v>
      </c>
      <c r="G137" s="175" t="s">
        <v>464</v>
      </c>
      <c r="H137" s="249">
        <v>515</v>
      </c>
      <c r="I137" s="250">
        <v>2775</v>
      </c>
      <c r="J137"/>
      <c r="K137"/>
    </row>
    <row r="138" spans="2:11" ht="12.75" customHeight="1" x14ac:dyDescent="0.3">
      <c r="B138" s="248"/>
      <c r="C138" s="175"/>
      <c r="D138" s="302" t="s">
        <v>325</v>
      </c>
      <c r="E138" s="175" t="s">
        <v>324</v>
      </c>
      <c r="F138" s="175" t="s">
        <v>1835</v>
      </c>
      <c r="G138" s="175" t="s">
        <v>464</v>
      </c>
      <c r="H138" s="249">
        <v>55</v>
      </c>
      <c r="I138" s="250">
        <v>250</v>
      </c>
      <c r="J138"/>
      <c r="K138"/>
    </row>
    <row r="139" spans="2:11" ht="12.75" customHeight="1" x14ac:dyDescent="0.3">
      <c r="B139" s="248"/>
      <c r="C139" s="175"/>
      <c r="D139" s="302" t="s">
        <v>342</v>
      </c>
      <c r="E139" s="175" t="s">
        <v>341</v>
      </c>
      <c r="F139" s="175" t="s">
        <v>462</v>
      </c>
      <c r="G139" s="175" t="s">
        <v>464</v>
      </c>
      <c r="H139" s="249">
        <v>19</v>
      </c>
      <c r="I139" s="250">
        <v>82</v>
      </c>
      <c r="J139"/>
      <c r="K139"/>
    </row>
    <row r="140" spans="2:11" ht="12.75" customHeight="1" x14ac:dyDescent="0.3">
      <c r="B140" s="248"/>
      <c r="C140" s="175"/>
      <c r="D140" s="302" t="s">
        <v>353</v>
      </c>
      <c r="E140" s="175" t="s">
        <v>352</v>
      </c>
      <c r="F140" s="175" t="s">
        <v>934</v>
      </c>
      <c r="G140" s="175" t="s">
        <v>466</v>
      </c>
      <c r="H140" s="249">
        <v>79</v>
      </c>
      <c r="I140" s="250">
        <v>527</v>
      </c>
      <c r="J140"/>
      <c r="K140"/>
    </row>
    <row r="141" spans="2:11" ht="12.75" customHeight="1" x14ac:dyDescent="0.3">
      <c r="B141" s="248"/>
      <c r="C141" s="175"/>
      <c r="D141" s="302" t="s">
        <v>317</v>
      </c>
      <c r="E141" s="175" t="s">
        <v>316</v>
      </c>
      <c r="F141" s="175" t="s">
        <v>462</v>
      </c>
      <c r="G141" s="175" t="s">
        <v>464</v>
      </c>
      <c r="H141" s="249">
        <v>115</v>
      </c>
      <c r="I141" s="250">
        <v>493</v>
      </c>
      <c r="J141"/>
      <c r="K141"/>
    </row>
    <row r="142" spans="2:11" ht="12.75" customHeight="1" x14ac:dyDescent="0.3">
      <c r="B142" s="248"/>
      <c r="C142" s="175"/>
      <c r="D142" s="302" t="s">
        <v>340</v>
      </c>
      <c r="E142" s="175" t="s">
        <v>339</v>
      </c>
      <c r="F142" s="175" t="s">
        <v>1835</v>
      </c>
      <c r="G142" s="175" t="s">
        <v>464</v>
      </c>
      <c r="H142" s="249">
        <v>67</v>
      </c>
      <c r="I142" s="250">
        <v>341</v>
      </c>
      <c r="J142"/>
      <c r="K142"/>
    </row>
    <row r="143" spans="2:11" ht="12.75" customHeight="1" x14ac:dyDescent="0.3">
      <c r="B143" s="248"/>
      <c r="C143" s="175"/>
      <c r="D143" s="302" t="s">
        <v>337</v>
      </c>
      <c r="E143" s="175" t="s">
        <v>336</v>
      </c>
      <c r="F143" s="175" t="s">
        <v>462</v>
      </c>
      <c r="G143" s="175" t="s">
        <v>464</v>
      </c>
      <c r="H143" s="249">
        <v>36</v>
      </c>
      <c r="I143" s="250">
        <v>189</v>
      </c>
      <c r="J143"/>
      <c r="K143"/>
    </row>
    <row r="144" spans="2:11" x14ac:dyDescent="0.3">
      <c r="B144" s="248"/>
      <c r="C144" s="175"/>
      <c r="D144" s="302" t="s">
        <v>345</v>
      </c>
      <c r="E144" s="175" t="s">
        <v>344</v>
      </c>
      <c r="F144" s="175" t="s">
        <v>1835</v>
      </c>
      <c r="G144" s="175" t="s">
        <v>464</v>
      </c>
      <c r="H144" s="249">
        <v>183</v>
      </c>
      <c r="I144" s="250">
        <v>1041</v>
      </c>
      <c r="J144"/>
      <c r="K144"/>
    </row>
    <row r="145" spans="2:11" ht="12.75" customHeight="1" x14ac:dyDescent="0.3">
      <c r="B145" s="248"/>
      <c r="C145" s="175"/>
      <c r="D145" s="302" t="s">
        <v>347</v>
      </c>
      <c r="E145" s="175" t="s">
        <v>346</v>
      </c>
      <c r="F145" s="175" t="s">
        <v>462</v>
      </c>
      <c r="G145" s="175" t="s">
        <v>464</v>
      </c>
      <c r="H145" s="249">
        <v>46</v>
      </c>
      <c r="I145" s="250">
        <v>190</v>
      </c>
      <c r="J145"/>
      <c r="K145"/>
    </row>
    <row r="146" spans="2:11" ht="12.75" customHeight="1" x14ac:dyDescent="0.3">
      <c r="B146" s="248"/>
      <c r="C146" s="175"/>
      <c r="D146" s="302" t="s">
        <v>315</v>
      </c>
      <c r="E146" s="175" t="s">
        <v>314</v>
      </c>
      <c r="F146" s="175" t="s">
        <v>462</v>
      </c>
      <c r="G146" s="175" t="s">
        <v>464</v>
      </c>
      <c r="H146" s="249">
        <v>67</v>
      </c>
      <c r="I146" s="250">
        <v>283</v>
      </c>
      <c r="J146"/>
      <c r="K146"/>
    </row>
    <row r="147" spans="2:11" ht="12.75" customHeight="1" x14ac:dyDescent="0.3">
      <c r="B147" s="248"/>
      <c r="C147" s="175"/>
      <c r="D147" s="175" t="s">
        <v>351</v>
      </c>
      <c r="E147" s="175" t="s">
        <v>350</v>
      </c>
      <c r="F147" s="175" t="s">
        <v>934</v>
      </c>
      <c r="G147" s="175" t="s">
        <v>466</v>
      </c>
      <c r="H147" s="249">
        <v>1403</v>
      </c>
      <c r="I147" s="250">
        <v>7165</v>
      </c>
      <c r="J147"/>
      <c r="K147"/>
    </row>
    <row r="148" spans="2:11" ht="12.75" customHeight="1" x14ac:dyDescent="0.3">
      <c r="B148" s="248"/>
      <c r="C148" s="175"/>
      <c r="D148" s="175" t="s">
        <v>1028</v>
      </c>
      <c r="E148" s="175" t="s">
        <v>343</v>
      </c>
      <c r="F148" s="175" t="s">
        <v>1835</v>
      </c>
      <c r="G148" s="175" t="s">
        <v>466</v>
      </c>
      <c r="H148" s="249">
        <v>185</v>
      </c>
      <c r="I148" s="250">
        <v>943</v>
      </c>
      <c r="J148"/>
      <c r="K148"/>
    </row>
    <row r="149" spans="2:11" ht="12.75" customHeight="1" x14ac:dyDescent="0.3">
      <c r="B149" s="248"/>
      <c r="C149" s="175"/>
      <c r="D149" s="175" t="s">
        <v>1250</v>
      </c>
      <c r="E149" s="175" t="s">
        <v>1247</v>
      </c>
      <c r="F149" s="175" t="s">
        <v>1311</v>
      </c>
      <c r="G149" s="175" t="s">
        <v>464</v>
      </c>
      <c r="H149" s="249">
        <v>62</v>
      </c>
      <c r="I149" s="250">
        <v>410</v>
      </c>
      <c r="J149"/>
      <c r="K149"/>
    </row>
    <row r="150" spans="2:11" ht="12.75" customHeight="1" x14ac:dyDescent="0.3">
      <c r="B150" s="248"/>
      <c r="C150" s="175"/>
      <c r="D150" s="175" t="s">
        <v>1261</v>
      </c>
      <c r="E150" s="175" t="s">
        <v>1259</v>
      </c>
      <c r="F150" s="175" t="s">
        <v>1835</v>
      </c>
      <c r="G150" s="175" t="s">
        <v>466</v>
      </c>
      <c r="H150" s="249">
        <v>398</v>
      </c>
      <c r="I150" s="250">
        <v>1834</v>
      </c>
      <c r="J150"/>
      <c r="K150"/>
    </row>
    <row r="151" spans="2:11" ht="12.75" customHeight="1" x14ac:dyDescent="0.3">
      <c r="B151" s="248"/>
      <c r="C151" s="175"/>
      <c r="D151" s="175" t="s">
        <v>1255</v>
      </c>
      <c r="E151" s="175" t="s">
        <v>1538</v>
      </c>
      <c r="F151" s="175" t="s">
        <v>1311</v>
      </c>
      <c r="G151" s="175" t="s">
        <v>464</v>
      </c>
      <c r="H151" s="249">
        <v>85</v>
      </c>
      <c r="I151" s="250">
        <v>455</v>
      </c>
      <c r="J151"/>
      <c r="K151"/>
    </row>
    <row r="152" spans="2:11" ht="12.75" customHeight="1" x14ac:dyDescent="0.3">
      <c r="B152" s="248"/>
      <c r="C152" s="175"/>
      <c r="D152" s="175" t="s">
        <v>1697</v>
      </c>
      <c r="E152" s="175" t="s">
        <v>1657</v>
      </c>
      <c r="F152" s="175" t="s">
        <v>1835</v>
      </c>
      <c r="G152" s="175" t="s">
        <v>464</v>
      </c>
      <c r="H152" s="249">
        <v>79</v>
      </c>
      <c r="I152" s="250">
        <v>350</v>
      </c>
      <c r="J152"/>
      <c r="K152"/>
    </row>
    <row r="153" spans="2:11" ht="12.75" customHeight="1" x14ac:dyDescent="0.3">
      <c r="B153" s="248"/>
      <c r="C153" s="175" t="s">
        <v>952</v>
      </c>
      <c r="D153" s="175"/>
      <c r="E153" s="175"/>
      <c r="F153" s="175"/>
      <c r="G153" s="175"/>
      <c r="H153" s="249">
        <v>4851</v>
      </c>
      <c r="I153" s="250">
        <v>25825</v>
      </c>
      <c r="J153"/>
      <c r="K153"/>
    </row>
    <row r="154" spans="2:11" x14ac:dyDescent="0.3">
      <c r="B154" s="248"/>
      <c r="C154" s="175" t="s">
        <v>1134</v>
      </c>
      <c r="D154" s="175" t="s">
        <v>1387</v>
      </c>
      <c r="E154" s="175" t="s">
        <v>1400</v>
      </c>
      <c r="F154" s="175" t="s">
        <v>934</v>
      </c>
      <c r="G154" s="175" t="s">
        <v>464</v>
      </c>
      <c r="H154" s="249">
        <v>34</v>
      </c>
      <c r="I154" s="250">
        <v>147</v>
      </c>
      <c r="J154"/>
      <c r="K154"/>
    </row>
    <row r="155" spans="2:11" ht="12.75" customHeight="1" x14ac:dyDescent="0.3">
      <c r="B155" s="248"/>
      <c r="C155" s="175"/>
      <c r="D155" s="175" t="s">
        <v>1686</v>
      </c>
      <c r="E155" s="175" t="s">
        <v>1399</v>
      </c>
      <c r="F155" s="175" t="s">
        <v>1835</v>
      </c>
      <c r="G155" s="175" t="s">
        <v>464</v>
      </c>
      <c r="H155" s="249">
        <v>97</v>
      </c>
      <c r="I155" s="250">
        <v>365</v>
      </c>
      <c r="J155"/>
      <c r="K155"/>
    </row>
    <row r="156" spans="2:11" ht="12.75" customHeight="1" x14ac:dyDescent="0.3">
      <c r="B156" s="248"/>
      <c r="C156" s="175"/>
      <c r="D156" s="175" t="s">
        <v>1713</v>
      </c>
      <c r="E156" s="175" t="s">
        <v>1397</v>
      </c>
      <c r="F156" s="175" t="s">
        <v>934</v>
      </c>
      <c r="G156" s="175" t="s">
        <v>464</v>
      </c>
      <c r="H156" s="249">
        <v>145</v>
      </c>
      <c r="I156" s="250">
        <v>644</v>
      </c>
      <c r="J156"/>
      <c r="K156"/>
    </row>
    <row r="157" spans="2:11" x14ac:dyDescent="0.3">
      <c r="B157" s="248"/>
      <c r="C157" s="175" t="s">
        <v>1699</v>
      </c>
      <c r="D157" s="175"/>
      <c r="E157" s="175"/>
      <c r="F157" s="175"/>
      <c r="G157" s="175"/>
      <c r="H157" s="249">
        <v>276</v>
      </c>
      <c r="I157" s="250">
        <v>1156</v>
      </c>
      <c r="J157"/>
      <c r="K157"/>
    </row>
    <row r="158" spans="2:11" ht="12.75" customHeight="1" x14ac:dyDescent="0.3">
      <c r="B158" s="248" t="s">
        <v>779</v>
      </c>
      <c r="C158" s="175"/>
      <c r="D158" s="175"/>
      <c r="E158" s="175"/>
      <c r="F158" s="175"/>
      <c r="G158" s="175"/>
      <c r="H158" s="249">
        <v>18801</v>
      </c>
      <c r="I158" s="250">
        <v>97514</v>
      </c>
      <c r="J158"/>
      <c r="K158"/>
    </row>
    <row r="159" spans="2:11" ht="12.75" customHeight="1" x14ac:dyDescent="0.3">
      <c r="B159" s="248" t="s">
        <v>506</v>
      </c>
      <c r="C159" s="175" t="s">
        <v>719</v>
      </c>
      <c r="D159" s="175" t="s">
        <v>1058</v>
      </c>
      <c r="E159" s="175" t="s">
        <v>1042</v>
      </c>
      <c r="F159" s="175" t="s">
        <v>1900</v>
      </c>
      <c r="G159" s="175" t="s">
        <v>464</v>
      </c>
      <c r="H159" s="249">
        <v>35</v>
      </c>
      <c r="I159" s="250">
        <v>183</v>
      </c>
      <c r="J159"/>
      <c r="K159"/>
    </row>
    <row r="160" spans="2:11" ht="12.75" customHeight="1" x14ac:dyDescent="0.3">
      <c r="B160" s="248"/>
      <c r="C160" s="175" t="s">
        <v>1583</v>
      </c>
      <c r="D160" s="175"/>
      <c r="E160" s="175"/>
      <c r="F160" s="175"/>
      <c r="G160" s="175"/>
      <c r="H160" s="249">
        <v>35</v>
      </c>
      <c r="I160" s="250">
        <v>183</v>
      </c>
      <c r="J160"/>
      <c r="K160"/>
    </row>
    <row r="161" spans="2:11" ht="12.75" customHeight="1" x14ac:dyDescent="0.3">
      <c r="B161" s="248"/>
      <c r="C161" s="175" t="s">
        <v>146</v>
      </c>
      <c r="D161" s="175" t="s">
        <v>367</v>
      </c>
      <c r="E161" s="175" t="s">
        <v>381</v>
      </c>
      <c r="F161" s="175" t="s">
        <v>1900</v>
      </c>
      <c r="G161" s="175" t="s">
        <v>464</v>
      </c>
      <c r="H161" s="249">
        <v>53</v>
      </c>
      <c r="I161" s="250">
        <v>261</v>
      </c>
      <c r="J161"/>
      <c r="K161"/>
    </row>
    <row r="162" spans="2:11" x14ac:dyDescent="0.3">
      <c r="B162" s="248"/>
      <c r="C162" s="175"/>
      <c r="D162" s="175" t="s">
        <v>368</v>
      </c>
      <c r="E162" s="175" t="s">
        <v>382</v>
      </c>
      <c r="F162" s="175" t="s">
        <v>1046</v>
      </c>
      <c r="G162" s="175" t="s">
        <v>464</v>
      </c>
      <c r="H162" s="249">
        <v>28</v>
      </c>
      <c r="I162" s="250">
        <v>135</v>
      </c>
      <c r="J162"/>
      <c r="K162"/>
    </row>
    <row r="163" spans="2:11" ht="12.75" customHeight="1" x14ac:dyDescent="0.3">
      <c r="B163" s="248"/>
      <c r="C163" s="175"/>
      <c r="D163" s="175" t="s">
        <v>369</v>
      </c>
      <c r="E163" s="175" t="s">
        <v>147</v>
      </c>
      <c r="F163" s="175" t="s">
        <v>1900</v>
      </c>
      <c r="G163" s="175" t="s">
        <v>464</v>
      </c>
      <c r="H163" s="249">
        <v>38</v>
      </c>
      <c r="I163" s="250">
        <v>208</v>
      </c>
      <c r="J163"/>
      <c r="K163"/>
    </row>
    <row r="164" spans="2:11" ht="12.75" customHeight="1" x14ac:dyDescent="0.3">
      <c r="B164" s="248"/>
      <c r="C164" s="175"/>
      <c r="D164" s="175" t="s">
        <v>149</v>
      </c>
      <c r="E164" s="175" t="s">
        <v>148</v>
      </c>
      <c r="F164" s="175" t="s">
        <v>1900</v>
      </c>
      <c r="G164" s="175" t="s">
        <v>464</v>
      </c>
      <c r="H164" s="249">
        <v>56</v>
      </c>
      <c r="I164" s="250">
        <v>263</v>
      </c>
      <c r="J164"/>
      <c r="K164"/>
    </row>
    <row r="165" spans="2:11" ht="12.75" customHeight="1" x14ac:dyDescent="0.3">
      <c r="B165" s="248"/>
      <c r="C165" s="175"/>
      <c r="D165" s="175" t="s">
        <v>371</v>
      </c>
      <c r="E165" s="175" t="s">
        <v>385</v>
      </c>
      <c r="F165" s="175" t="s">
        <v>1900</v>
      </c>
      <c r="G165" s="175" t="s">
        <v>464</v>
      </c>
      <c r="H165" s="249">
        <v>205</v>
      </c>
      <c r="I165" s="250">
        <v>1053</v>
      </c>
      <c r="J165"/>
      <c r="K165"/>
    </row>
    <row r="166" spans="2:11" ht="12.75" customHeight="1" x14ac:dyDescent="0.3">
      <c r="B166" s="248"/>
      <c r="C166" s="175"/>
      <c r="D166" s="175" t="s">
        <v>941</v>
      </c>
      <c r="E166" s="175" t="s">
        <v>940</v>
      </c>
      <c r="F166" s="175" t="s">
        <v>1046</v>
      </c>
      <c r="G166" s="175" t="s">
        <v>464</v>
      </c>
      <c r="H166" s="249">
        <v>19</v>
      </c>
      <c r="I166" s="250">
        <v>89</v>
      </c>
      <c r="J166"/>
      <c r="K166"/>
    </row>
    <row r="167" spans="2:11" ht="12.75" customHeight="1" x14ac:dyDescent="0.3">
      <c r="B167" s="248"/>
      <c r="C167" s="175"/>
      <c r="D167" s="175" t="s">
        <v>1080</v>
      </c>
      <c r="E167" s="175" t="s">
        <v>1081</v>
      </c>
      <c r="F167" s="175" t="s">
        <v>1046</v>
      </c>
      <c r="G167" s="175" t="s">
        <v>464</v>
      </c>
      <c r="H167" s="249">
        <v>105</v>
      </c>
      <c r="I167" s="250">
        <v>642</v>
      </c>
      <c r="J167"/>
      <c r="K167"/>
    </row>
    <row r="168" spans="2:11" ht="12.75" customHeight="1" x14ac:dyDescent="0.3">
      <c r="B168" s="248"/>
      <c r="C168" s="175"/>
      <c r="D168" s="175" t="s">
        <v>1144</v>
      </c>
      <c r="E168" s="175" t="s">
        <v>1126</v>
      </c>
      <c r="F168" s="175" t="s">
        <v>1311</v>
      </c>
      <c r="G168" s="175" t="s">
        <v>464</v>
      </c>
      <c r="H168" s="249">
        <v>30</v>
      </c>
      <c r="I168" s="250">
        <v>170</v>
      </c>
      <c r="J168"/>
      <c r="K168"/>
    </row>
    <row r="169" spans="2:11" ht="12.75" customHeight="1" x14ac:dyDescent="0.3">
      <c r="B169" s="248"/>
      <c r="C169" s="175"/>
      <c r="D169" s="175" t="s">
        <v>1230</v>
      </c>
      <c r="E169" s="175" t="s">
        <v>1229</v>
      </c>
      <c r="F169" s="175" t="s">
        <v>1900</v>
      </c>
      <c r="G169" s="175" t="s">
        <v>464</v>
      </c>
      <c r="H169" s="249">
        <v>37</v>
      </c>
      <c r="I169" s="250">
        <v>150</v>
      </c>
      <c r="J169"/>
      <c r="K169"/>
    </row>
    <row r="170" spans="2:11" ht="12.75" customHeight="1" x14ac:dyDescent="0.3">
      <c r="B170" s="248"/>
      <c r="C170" s="175"/>
      <c r="D170" s="175" t="s">
        <v>1237</v>
      </c>
      <c r="E170" s="175" t="s">
        <v>1238</v>
      </c>
      <c r="F170" s="175" t="s">
        <v>1311</v>
      </c>
      <c r="G170" s="175" t="s">
        <v>464</v>
      </c>
      <c r="H170" s="249">
        <v>24</v>
      </c>
      <c r="I170" s="250">
        <v>84</v>
      </c>
      <c r="J170"/>
      <c r="K170"/>
    </row>
    <row r="171" spans="2:11" ht="12.75" customHeight="1" x14ac:dyDescent="0.3">
      <c r="B171" s="248"/>
      <c r="C171" s="175"/>
      <c r="D171" s="175" t="s">
        <v>1523</v>
      </c>
      <c r="E171" s="175" t="s">
        <v>1539</v>
      </c>
      <c r="F171" s="175" t="s">
        <v>1046</v>
      </c>
      <c r="G171" s="175" t="s">
        <v>464</v>
      </c>
      <c r="H171" s="249">
        <v>36</v>
      </c>
      <c r="I171" s="250">
        <v>192</v>
      </c>
      <c r="J171"/>
      <c r="K171"/>
    </row>
    <row r="172" spans="2:11" ht="12.75" customHeight="1" x14ac:dyDescent="0.3">
      <c r="B172" s="248"/>
      <c r="C172" s="175"/>
      <c r="D172" s="175" t="s">
        <v>1555</v>
      </c>
      <c r="E172" s="175" t="s">
        <v>1124</v>
      </c>
      <c r="F172" s="175" t="s">
        <v>1046</v>
      </c>
      <c r="G172" s="175" t="s">
        <v>464</v>
      </c>
      <c r="H172" s="249">
        <v>36</v>
      </c>
      <c r="I172" s="250">
        <v>120</v>
      </c>
      <c r="J172"/>
      <c r="K172"/>
    </row>
    <row r="173" spans="2:11" ht="12.75" customHeight="1" x14ac:dyDescent="0.3">
      <c r="B173" s="248"/>
      <c r="C173" s="175"/>
      <c r="D173" s="175" t="s">
        <v>1589</v>
      </c>
      <c r="E173" s="175" t="s">
        <v>383</v>
      </c>
      <c r="F173" s="175" t="s">
        <v>1046</v>
      </c>
      <c r="G173" s="175" t="s">
        <v>464</v>
      </c>
      <c r="H173" s="249">
        <v>76</v>
      </c>
      <c r="I173" s="250">
        <v>344</v>
      </c>
      <c r="J173"/>
      <c r="K173"/>
    </row>
    <row r="174" spans="2:11" ht="12.75" customHeight="1" x14ac:dyDescent="0.3">
      <c r="B174" s="248"/>
      <c r="C174" s="175"/>
      <c r="D174" s="175" t="s">
        <v>1590</v>
      </c>
      <c r="E174" s="175" t="s">
        <v>1119</v>
      </c>
      <c r="F174" s="175" t="s">
        <v>1046</v>
      </c>
      <c r="G174" s="175" t="s">
        <v>464</v>
      </c>
      <c r="H174" s="249">
        <v>66</v>
      </c>
      <c r="I174" s="250">
        <v>346</v>
      </c>
      <c r="J174"/>
      <c r="K174"/>
    </row>
    <row r="175" spans="2:11" ht="12.75" customHeight="1" x14ac:dyDescent="0.3">
      <c r="B175" s="248"/>
      <c r="C175" s="175"/>
      <c r="D175" s="175" t="s">
        <v>1727</v>
      </c>
      <c r="E175" s="175" t="s">
        <v>839</v>
      </c>
      <c r="F175" s="175" t="s">
        <v>1311</v>
      </c>
      <c r="G175" s="175" t="s">
        <v>464</v>
      </c>
      <c r="H175" s="249">
        <v>86</v>
      </c>
      <c r="I175" s="250">
        <v>525</v>
      </c>
      <c r="J175"/>
      <c r="K175"/>
    </row>
    <row r="176" spans="2:11" ht="12.75" customHeight="1" x14ac:dyDescent="0.3">
      <c r="B176" s="248"/>
      <c r="C176" s="175"/>
      <c r="D176" s="175" t="s">
        <v>1724</v>
      </c>
      <c r="E176" s="175" t="s">
        <v>1721</v>
      </c>
      <c r="F176" s="175" t="s">
        <v>1046</v>
      </c>
      <c r="G176" s="175" t="s">
        <v>464</v>
      </c>
      <c r="H176" s="249">
        <v>32</v>
      </c>
      <c r="I176" s="250">
        <v>150</v>
      </c>
      <c r="J176"/>
      <c r="K176"/>
    </row>
    <row r="177" spans="2:11" ht="12.75" customHeight="1" x14ac:dyDescent="0.3">
      <c r="B177" s="248"/>
      <c r="C177" s="175" t="s">
        <v>1584</v>
      </c>
      <c r="D177" s="175"/>
      <c r="E177" s="175"/>
      <c r="F177" s="175"/>
      <c r="G177" s="175"/>
      <c r="H177" s="249">
        <v>927</v>
      </c>
      <c r="I177" s="250">
        <v>4732</v>
      </c>
      <c r="J177"/>
      <c r="K177"/>
    </row>
    <row r="178" spans="2:11" ht="12.75" customHeight="1" x14ac:dyDescent="0.3">
      <c r="B178" s="248"/>
      <c r="C178" s="175" t="s">
        <v>166</v>
      </c>
      <c r="D178" s="175" t="s">
        <v>167</v>
      </c>
      <c r="E178" s="175" t="s">
        <v>165</v>
      </c>
      <c r="F178" s="175" t="s">
        <v>1900</v>
      </c>
      <c r="G178" s="175" t="s">
        <v>464</v>
      </c>
      <c r="H178" s="249">
        <v>29</v>
      </c>
      <c r="I178" s="250">
        <v>158</v>
      </c>
      <c r="J178"/>
      <c r="K178"/>
    </row>
    <row r="179" spans="2:11" ht="12.75" customHeight="1" x14ac:dyDescent="0.3">
      <c r="B179" s="248"/>
      <c r="C179" s="175"/>
      <c r="D179" s="175" t="s">
        <v>760</v>
      </c>
      <c r="E179" s="175" t="s">
        <v>761</v>
      </c>
      <c r="F179" s="175" t="s">
        <v>1046</v>
      </c>
      <c r="G179" s="175" t="s">
        <v>464</v>
      </c>
      <c r="H179" s="249">
        <v>30</v>
      </c>
      <c r="I179" s="250">
        <v>155</v>
      </c>
      <c r="J179"/>
      <c r="K179"/>
    </row>
    <row r="180" spans="2:11" ht="12.75" customHeight="1" x14ac:dyDescent="0.3">
      <c r="B180" s="248"/>
      <c r="C180" s="175" t="s">
        <v>1700</v>
      </c>
      <c r="D180" s="175"/>
      <c r="E180" s="175"/>
      <c r="F180" s="175"/>
      <c r="G180" s="175"/>
      <c r="H180" s="249">
        <v>59</v>
      </c>
      <c r="I180" s="250">
        <v>313</v>
      </c>
      <c r="J180"/>
      <c r="K180"/>
    </row>
    <row r="181" spans="2:11" ht="12.75" customHeight="1" x14ac:dyDescent="0.3">
      <c r="B181" s="248"/>
      <c r="C181" s="175" t="s">
        <v>230</v>
      </c>
      <c r="D181" s="175" t="s">
        <v>901</v>
      </c>
      <c r="E181" s="175" t="s">
        <v>902</v>
      </c>
      <c r="F181" s="175" t="s">
        <v>1311</v>
      </c>
      <c r="G181" s="175" t="s">
        <v>464</v>
      </c>
      <c r="H181" s="249">
        <v>40</v>
      </c>
      <c r="I181" s="250">
        <v>180</v>
      </c>
      <c r="J181"/>
      <c r="K181"/>
    </row>
    <row r="182" spans="2:11" ht="12.75" customHeight="1" x14ac:dyDescent="0.3">
      <c r="B182" s="248"/>
      <c r="C182" s="175"/>
      <c r="D182" s="175" t="s">
        <v>911</v>
      </c>
      <c r="E182" s="175" t="s">
        <v>912</v>
      </c>
      <c r="F182" s="175" t="s">
        <v>1046</v>
      </c>
      <c r="G182" s="175" t="s">
        <v>464</v>
      </c>
      <c r="H182" s="249">
        <v>17</v>
      </c>
      <c r="I182" s="250">
        <v>80</v>
      </c>
      <c r="J182"/>
      <c r="K182"/>
    </row>
    <row r="183" spans="2:11" ht="12.75" customHeight="1" x14ac:dyDescent="0.3">
      <c r="B183" s="248"/>
      <c r="C183" s="175"/>
      <c r="D183" s="175" t="s">
        <v>716</v>
      </c>
      <c r="E183" s="175" t="s">
        <v>1241</v>
      </c>
      <c r="F183" s="175" t="s">
        <v>1900</v>
      </c>
      <c r="G183" s="175" t="s">
        <v>464</v>
      </c>
      <c r="H183" s="249">
        <v>152</v>
      </c>
      <c r="I183" s="250">
        <v>788</v>
      </c>
      <c r="J183"/>
      <c r="K183"/>
    </row>
    <row r="184" spans="2:11" ht="12.75" customHeight="1" x14ac:dyDescent="0.3">
      <c r="B184" s="248"/>
      <c r="C184" s="175" t="s">
        <v>1585</v>
      </c>
      <c r="D184" s="175"/>
      <c r="E184" s="175"/>
      <c r="F184" s="175"/>
      <c r="G184" s="175"/>
      <c r="H184" s="249">
        <v>209</v>
      </c>
      <c r="I184" s="250">
        <v>1048</v>
      </c>
      <c r="J184"/>
      <c r="K184"/>
    </row>
    <row r="185" spans="2:11" ht="12.75" customHeight="1" x14ac:dyDescent="0.3">
      <c r="B185" s="248"/>
      <c r="C185" s="175" t="s">
        <v>288</v>
      </c>
      <c r="D185" s="175" t="s">
        <v>291</v>
      </c>
      <c r="E185" s="175" t="s">
        <v>290</v>
      </c>
      <c r="F185" s="175" t="s">
        <v>1900</v>
      </c>
      <c r="G185" s="175" t="s">
        <v>464</v>
      </c>
      <c r="H185" s="249">
        <v>76</v>
      </c>
      <c r="I185" s="250">
        <v>385</v>
      </c>
      <c r="J185"/>
      <c r="K185"/>
    </row>
    <row r="186" spans="2:11" ht="12.75" customHeight="1" x14ac:dyDescent="0.3">
      <c r="B186" s="248"/>
      <c r="C186" s="175"/>
      <c r="D186" s="175" t="s">
        <v>289</v>
      </c>
      <c r="E186" s="175" t="s">
        <v>287</v>
      </c>
      <c r="F186" s="175" t="s">
        <v>1900</v>
      </c>
      <c r="G186" s="175" t="s">
        <v>464</v>
      </c>
      <c r="H186" s="249">
        <v>64</v>
      </c>
      <c r="I186" s="250">
        <v>349</v>
      </c>
      <c r="J186"/>
      <c r="K186"/>
    </row>
    <row r="187" spans="2:11" ht="12.75" customHeight="1" x14ac:dyDescent="0.3">
      <c r="B187" s="248"/>
      <c r="C187" s="175"/>
      <c r="D187" s="175" t="s">
        <v>372</v>
      </c>
      <c r="E187" s="175" t="s">
        <v>294</v>
      </c>
      <c r="F187" s="175" t="s">
        <v>1046</v>
      </c>
      <c r="G187" s="175" t="s">
        <v>464</v>
      </c>
      <c r="H187" s="249">
        <v>43</v>
      </c>
      <c r="I187" s="250">
        <v>218</v>
      </c>
      <c r="J187"/>
      <c r="K187"/>
    </row>
    <row r="188" spans="2:11" ht="12.75" customHeight="1" x14ac:dyDescent="0.3">
      <c r="B188" s="248"/>
      <c r="C188" s="175"/>
      <c r="D188" s="175" t="s">
        <v>903</v>
      </c>
      <c r="E188" s="175" t="s">
        <v>904</v>
      </c>
      <c r="F188" s="175" t="s">
        <v>1900</v>
      </c>
      <c r="G188" s="175" t="s">
        <v>464</v>
      </c>
      <c r="H188" s="249">
        <v>36</v>
      </c>
      <c r="I188" s="250">
        <v>193</v>
      </c>
      <c r="J188"/>
      <c r="K188"/>
    </row>
    <row r="189" spans="2:11" ht="12.75" customHeight="1" x14ac:dyDescent="0.3">
      <c r="B189" s="248"/>
      <c r="C189" s="175"/>
      <c r="D189" s="175" t="s">
        <v>915</v>
      </c>
      <c r="E189" s="175" t="s">
        <v>908</v>
      </c>
      <c r="F189" s="175" t="s">
        <v>1900</v>
      </c>
      <c r="G189" s="175" t="s">
        <v>464</v>
      </c>
      <c r="H189" s="249">
        <v>114</v>
      </c>
      <c r="I189" s="250">
        <v>545</v>
      </c>
      <c r="J189"/>
      <c r="K189"/>
    </row>
    <row r="190" spans="2:11" ht="12.75" customHeight="1" x14ac:dyDescent="0.3">
      <c r="B190" s="248"/>
      <c r="C190" s="175"/>
      <c r="D190" s="175" t="s">
        <v>1128</v>
      </c>
      <c r="E190" s="175" t="s">
        <v>1123</v>
      </c>
      <c r="F190" s="175" t="s">
        <v>1311</v>
      </c>
      <c r="G190" s="175" t="s">
        <v>464</v>
      </c>
      <c r="H190" s="249">
        <v>62</v>
      </c>
      <c r="I190" s="250">
        <v>328</v>
      </c>
      <c r="J190"/>
      <c r="K190"/>
    </row>
    <row r="191" spans="2:11" ht="12.75" customHeight="1" x14ac:dyDescent="0.3">
      <c r="B191" s="248"/>
      <c r="C191" s="175" t="s">
        <v>1586</v>
      </c>
      <c r="D191" s="175"/>
      <c r="E191" s="175"/>
      <c r="F191" s="175"/>
      <c r="G191" s="175"/>
      <c r="H191" s="249">
        <v>395</v>
      </c>
      <c r="I191" s="250">
        <v>2018</v>
      </c>
      <c r="J191"/>
      <c r="K191"/>
    </row>
    <row r="192" spans="2:11" ht="12.75" customHeight="1" x14ac:dyDescent="0.3">
      <c r="B192" s="248"/>
      <c r="C192" s="175" t="s">
        <v>297</v>
      </c>
      <c r="D192" s="175" t="s">
        <v>759</v>
      </c>
      <c r="E192" s="175" t="s">
        <v>296</v>
      </c>
      <c r="F192" s="175" t="s">
        <v>1900</v>
      </c>
      <c r="G192" s="175" t="s">
        <v>464</v>
      </c>
      <c r="H192" s="249">
        <v>38</v>
      </c>
      <c r="I192" s="250">
        <v>159</v>
      </c>
      <c r="J192"/>
      <c r="K192"/>
    </row>
    <row r="193" spans="2:11" ht="12.75" customHeight="1" x14ac:dyDescent="0.3">
      <c r="B193" s="248"/>
      <c r="C193" s="175"/>
      <c r="D193" s="175" t="s">
        <v>1135</v>
      </c>
      <c r="E193" s="175" t="s">
        <v>1120</v>
      </c>
      <c r="F193" s="175" t="s">
        <v>1311</v>
      </c>
      <c r="G193" s="175" t="s">
        <v>464</v>
      </c>
      <c r="H193" s="249">
        <v>6</v>
      </c>
      <c r="I193" s="250">
        <v>27</v>
      </c>
      <c r="J193"/>
      <c r="K193"/>
    </row>
    <row r="194" spans="2:11" x14ac:dyDescent="0.3">
      <c r="B194" s="248"/>
      <c r="C194" s="175"/>
      <c r="D194" s="175" t="s">
        <v>1189</v>
      </c>
      <c r="E194" s="175" t="s">
        <v>1171</v>
      </c>
      <c r="F194" s="175" t="s">
        <v>1046</v>
      </c>
      <c r="G194" s="175" t="s">
        <v>464</v>
      </c>
      <c r="H194" s="249">
        <v>28</v>
      </c>
      <c r="I194" s="250">
        <v>144</v>
      </c>
      <c r="J194"/>
      <c r="K194"/>
    </row>
    <row r="195" spans="2:11" x14ac:dyDescent="0.3">
      <c r="B195" s="248"/>
      <c r="C195" s="175"/>
      <c r="D195" s="175" t="s">
        <v>1273</v>
      </c>
      <c r="E195" s="175" t="s">
        <v>1272</v>
      </c>
      <c r="F195" s="175" t="s">
        <v>1046</v>
      </c>
      <c r="G195" s="175" t="s">
        <v>464</v>
      </c>
      <c r="H195" s="249">
        <v>61</v>
      </c>
      <c r="I195" s="250">
        <v>279</v>
      </c>
      <c r="J195"/>
      <c r="K195"/>
    </row>
    <row r="196" spans="2:11" x14ac:dyDescent="0.3">
      <c r="B196" s="248"/>
      <c r="C196" s="175" t="s">
        <v>1587</v>
      </c>
      <c r="D196" s="175"/>
      <c r="E196" s="175"/>
      <c r="F196" s="175"/>
      <c r="G196" s="175"/>
      <c r="H196" s="249">
        <v>133</v>
      </c>
      <c r="I196" s="250">
        <v>609</v>
      </c>
      <c r="J196"/>
      <c r="K196"/>
    </row>
    <row r="197" spans="2:11" x14ac:dyDescent="0.3">
      <c r="B197" s="248"/>
      <c r="C197" s="175" t="s">
        <v>1198</v>
      </c>
      <c r="D197" s="175" t="s">
        <v>1195</v>
      </c>
      <c r="E197" s="175" t="s">
        <v>1183</v>
      </c>
      <c r="F197" s="175" t="s">
        <v>1311</v>
      </c>
      <c r="G197" s="175" t="s">
        <v>464</v>
      </c>
      <c r="H197" s="249">
        <v>37</v>
      </c>
      <c r="I197" s="250">
        <v>120</v>
      </c>
      <c r="J197"/>
      <c r="K197"/>
    </row>
    <row r="198" spans="2:11" x14ac:dyDescent="0.3">
      <c r="B198" s="248"/>
      <c r="C198" s="175" t="s">
        <v>1701</v>
      </c>
      <c r="D198" s="175"/>
      <c r="E198" s="175"/>
      <c r="F198" s="175"/>
      <c r="G198" s="175"/>
      <c r="H198" s="249">
        <v>37</v>
      </c>
      <c r="I198" s="250">
        <v>120</v>
      </c>
      <c r="J198"/>
      <c r="K198"/>
    </row>
    <row r="199" spans="2:11" x14ac:dyDescent="0.3">
      <c r="B199" s="248" t="s">
        <v>1588</v>
      </c>
      <c r="C199" s="175"/>
      <c r="D199" s="175"/>
      <c r="E199" s="175"/>
      <c r="F199" s="175"/>
      <c r="G199" s="175"/>
      <c r="H199" s="249">
        <v>1795</v>
      </c>
      <c r="I199" s="250">
        <v>9023</v>
      </c>
      <c r="J199"/>
      <c r="K199"/>
    </row>
    <row r="200" spans="2:11" x14ac:dyDescent="0.3">
      <c r="B200" s="251" t="s">
        <v>411</v>
      </c>
      <c r="C200" s="252"/>
      <c r="D200" s="252"/>
      <c r="E200" s="252"/>
      <c r="F200" s="252"/>
      <c r="G200" s="252"/>
      <c r="H200" s="253">
        <v>20596</v>
      </c>
      <c r="I200" s="254">
        <v>106537</v>
      </c>
      <c r="J200"/>
      <c r="K200"/>
    </row>
    <row r="201" spans="2:11" x14ac:dyDescent="0.3">
      <c r="B201"/>
      <c r="C201"/>
      <c r="D201"/>
      <c r="E201"/>
      <c r="F201"/>
      <c r="G201"/>
      <c r="H201"/>
      <c r="I201"/>
      <c r="J201"/>
      <c r="K201"/>
    </row>
    <row r="202" spans="2:11" x14ac:dyDescent="0.3">
      <c r="B202"/>
      <c r="C202"/>
      <c r="D202"/>
      <c r="E202"/>
      <c r="F202"/>
      <c r="G202"/>
      <c r="H202"/>
      <c r="I202"/>
      <c r="J202"/>
      <c r="K202"/>
    </row>
    <row r="203" spans="2:11" x14ac:dyDescent="0.3">
      <c r="B203"/>
      <c r="C203"/>
      <c r="D203"/>
      <c r="E203"/>
      <c r="F203"/>
      <c r="G203"/>
      <c r="H203"/>
      <c r="I203"/>
      <c r="J203"/>
      <c r="K203"/>
    </row>
    <row r="204" spans="2:11" x14ac:dyDescent="0.3">
      <c r="B204"/>
      <c r="C204"/>
      <c r="D204"/>
      <c r="E204"/>
      <c r="F204"/>
      <c r="G204"/>
      <c r="H204"/>
      <c r="I204"/>
      <c r="J204"/>
      <c r="K204"/>
    </row>
    <row r="205" spans="2:11" x14ac:dyDescent="0.3">
      <c r="B205"/>
      <c r="C205"/>
      <c r="D205"/>
      <c r="E205"/>
      <c r="F205"/>
      <c r="G205"/>
      <c r="H205"/>
      <c r="I205"/>
      <c r="J205"/>
      <c r="K205"/>
    </row>
    <row r="206" spans="2:11" x14ac:dyDescent="0.3">
      <c r="B206"/>
      <c r="C206"/>
      <c r="D206"/>
      <c r="E206"/>
      <c r="F206"/>
      <c r="G206"/>
      <c r="H206"/>
      <c r="I206"/>
      <c r="J206"/>
      <c r="K206"/>
    </row>
    <row r="207" spans="2:11" x14ac:dyDescent="0.3">
      <c r="B207"/>
      <c r="C207"/>
      <c r="D207"/>
      <c r="E207"/>
      <c r="F207"/>
      <c r="G207"/>
      <c r="H207"/>
      <c r="I207"/>
      <c r="J207"/>
      <c r="K207"/>
    </row>
    <row r="208" spans="2:11" x14ac:dyDescent="0.3">
      <c r="B208"/>
      <c r="C208"/>
      <c r="D208"/>
      <c r="E208"/>
      <c r="F208"/>
      <c r="G208"/>
      <c r="H208"/>
      <c r="I208"/>
      <c r="J208"/>
      <c r="K208"/>
    </row>
    <row r="209" spans="2:11" x14ac:dyDescent="0.3">
      <c r="B209"/>
      <c r="C209"/>
      <c r="D209"/>
      <c r="E209"/>
      <c r="F209"/>
      <c r="G209"/>
      <c r="H209"/>
      <c r="I209"/>
      <c r="J209"/>
      <c r="K209"/>
    </row>
    <row r="210" spans="2:11" x14ac:dyDescent="0.3">
      <c r="B210"/>
      <c r="C210"/>
      <c r="D210"/>
      <c r="E210"/>
      <c r="F210"/>
      <c r="G210"/>
      <c r="H210"/>
      <c r="I210"/>
      <c r="J210"/>
      <c r="K210"/>
    </row>
    <row r="211" spans="2:11" x14ac:dyDescent="0.3">
      <c r="B211"/>
      <c r="C211"/>
      <c r="D211"/>
      <c r="E211"/>
      <c r="F211"/>
      <c r="G211"/>
      <c r="H211"/>
      <c r="I211"/>
      <c r="J211"/>
      <c r="K211"/>
    </row>
    <row r="212" spans="2:11" x14ac:dyDescent="0.3">
      <c r="B212"/>
      <c r="C212"/>
      <c r="D212"/>
      <c r="E212"/>
      <c r="F212"/>
      <c r="G212"/>
      <c r="H212"/>
      <c r="I212"/>
      <c r="J212"/>
      <c r="K212"/>
    </row>
    <row r="213" spans="2:11" x14ac:dyDescent="0.3">
      <c r="B213"/>
      <c r="C213"/>
      <c r="D213"/>
      <c r="E213"/>
      <c r="F213"/>
      <c r="G213"/>
      <c r="H213"/>
      <c r="I213"/>
      <c r="J213"/>
      <c r="K213"/>
    </row>
    <row r="214" spans="2:11" x14ac:dyDescent="0.3">
      <c r="B214"/>
      <c r="C214"/>
      <c r="D214"/>
      <c r="E214"/>
      <c r="F214"/>
      <c r="G214"/>
      <c r="H214"/>
      <c r="I214"/>
      <c r="J214"/>
      <c r="K214"/>
    </row>
    <row r="215" spans="2:11" x14ac:dyDescent="0.3">
      <c r="B215"/>
      <c r="C215"/>
      <c r="D215"/>
      <c r="E215"/>
      <c r="F215"/>
      <c r="G215"/>
      <c r="H215"/>
      <c r="I215"/>
      <c r="J215"/>
      <c r="K215"/>
    </row>
    <row r="216" spans="2:11" x14ac:dyDescent="0.3">
      <c r="B216"/>
      <c r="C216"/>
      <c r="D216"/>
      <c r="E216"/>
      <c r="F216"/>
      <c r="G216"/>
      <c r="H216"/>
      <c r="I216"/>
      <c r="J216"/>
      <c r="K216"/>
    </row>
    <row r="217" spans="2:11" x14ac:dyDescent="0.3">
      <c r="B217"/>
      <c r="C217"/>
      <c r="D217"/>
      <c r="E217"/>
      <c r="F217"/>
      <c r="G217"/>
      <c r="H217"/>
      <c r="I217"/>
      <c r="J217"/>
      <c r="K217"/>
    </row>
    <row r="218" spans="2:11" x14ac:dyDescent="0.3">
      <c r="B218"/>
      <c r="C218"/>
      <c r="D218"/>
      <c r="E218"/>
      <c r="F218"/>
      <c r="G218"/>
      <c r="H218"/>
      <c r="I218"/>
      <c r="J218"/>
      <c r="K218"/>
    </row>
    <row r="219" spans="2:11" x14ac:dyDescent="0.3">
      <c r="B219"/>
      <c r="C219"/>
      <c r="D219"/>
      <c r="E219"/>
      <c r="F219"/>
      <c r="G219"/>
      <c r="H219"/>
      <c r="I219"/>
      <c r="J219"/>
      <c r="K219"/>
    </row>
    <row r="220" spans="2:11" x14ac:dyDescent="0.3">
      <c r="B220"/>
      <c r="C220"/>
      <c r="D220"/>
      <c r="E220"/>
      <c r="F220"/>
      <c r="G220"/>
      <c r="H220"/>
      <c r="I220"/>
      <c r="J220"/>
      <c r="K220"/>
    </row>
    <row r="221" spans="2:11" x14ac:dyDescent="0.3">
      <c r="B221"/>
      <c r="C221"/>
      <c r="D221"/>
      <c r="E221"/>
      <c r="F221"/>
      <c r="G221"/>
      <c r="H221"/>
      <c r="I221"/>
      <c r="J221"/>
      <c r="K221"/>
    </row>
    <row r="222" spans="2:11" x14ac:dyDescent="0.3">
      <c r="B222"/>
      <c r="C222"/>
      <c r="D222"/>
      <c r="E222"/>
      <c r="F222"/>
      <c r="G222"/>
      <c r="H222"/>
      <c r="I222"/>
      <c r="J222"/>
      <c r="K222"/>
    </row>
    <row r="223" spans="2:11" x14ac:dyDescent="0.3">
      <c r="B223"/>
      <c r="C223"/>
      <c r="D223"/>
      <c r="E223"/>
      <c r="F223"/>
      <c r="G223"/>
      <c r="H223"/>
      <c r="I223"/>
      <c r="J223"/>
      <c r="K223"/>
    </row>
    <row r="224" spans="2:11" x14ac:dyDescent="0.3">
      <c r="B224"/>
      <c r="C224"/>
      <c r="D224"/>
      <c r="E224"/>
      <c r="F224"/>
      <c r="G224"/>
      <c r="H224"/>
      <c r="I224"/>
      <c r="J224"/>
      <c r="K224"/>
    </row>
    <row r="225" spans="2:11" x14ac:dyDescent="0.3">
      <c r="B225"/>
      <c r="C225"/>
      <c r="D225"/>
      <c r="E225"/>
      <c r="F225"/>
      <c r="G225"/>
      <c r="H225"/>
      <c r="I225"/>
      <c r="J225"/>
      <c r="K225"/>
    </row>
    <row r="226" spans="2:11" x14ac:dyDescent="0.3">
      <c r="H226" s="179"/>
      <c r="I226" s="179"/>
    </row>
    <row r="227" spans="2:11" x14ac:dyDescent="0.3">
      <c r="H227" s="179"/>
      <c r="I227" s="179"/>
    </row>
    <row r="228" spans="2:11" x14ac:dyDescent="0.3">
      <c r="H228" s="179"/>
      <c r="I228" s="179"/>
    </row>
    <row r="229" spans="2:11" x14ac:dyDescent="0.3">
      <c r="H229" s="179"/>
      <c r="I229" s="179"/>
    </row>
    <row r="230" spans="2:11" x14ac:dyDescent="0.3">
      <c r="H230" s="179"/>
      <c r="I230" s="179"/>
    </row>
    <row r="231" spans="2:11" x14ac:dyDescent="0.3">
      <c r="H231" s="179"/>
      <c r="I231" s="179"/>
    </row>
    <row r="232" spans="2:11" x14ac:dyDescent="0.3">
      <c r="H232" s="179"/>
      <c r="I232" s="179"/>
    </row>
    <row r="233" spans="2:11" x14ac:dyDescent="0.3">
      <c r="H233" s="179"/>
      <c r="I233" s="179"/>
    </row>
    <row r="234" spans="2:11" x14ac:dyDescent="0.3">
      <c r="H234" s="179"/>
      <c r="I234" s="179"/>
    </row>
    <row r="235" spans="2:11" x14ac:dyDescent="0.3">
      <c r="H235" s="179"/>
      <c r="I235" s="179"/>
    </row>
    <row r="236" spans="2:11" x14ac:dyDescent="0.3">
      <c r="H236" s="179"/>
      <c r="I236" s="179"/>
    </row>
    <row r="237" spans="2:11" x14ac:dyDescent="0.3">
      <c r="H237" s="179"/>
      <c r="I237" s="179"/>
    </row>
    <row r="238" spans="2:11" x14ac:dyDescent="0.3">
      <c r="H238" s="179"/>
      <c r="I238" s="179"/>
    </row>
    <row r="239" spans="2:11" x14ac:dyDescent="0.3">
      <c r="H239" s="179"/>
      <c r="I239" s="179"/>
    </row>
    <row r="240" spans="2:11" x14ac:dyDescent="0.3">
      <c r="H240" s="179"/>
      <c r="I240" s="179"/>
    </row>
    <row r="241" spans="8:9" x14ac:dyDescent="0.3">
      <c r="H241" s="179"/>
      <c r="I241" s="179"/>
    </row>
    <row r="242" spans="8:9" x14ac:dyDescent="0.3">
      <c r="H242" s="179"/>
      <c r="I242" s="179"/>
    </row>
    <row r="243" spans="8:9" x14ac:dyDescent="0.3">
      <c r="H243" s="179"/>
      <c r="I243" s="179"/>
    </row>
    <row r="244" spans="8:9" x14ac:dyDescent="0.3">
      <c r="H244" s="179"/>
      <c r="I244" s="179"/>
    </row>
    <row r="245" spans="8:9" x14ac:dyDescent="0.3">
      <c r="H245" s="179"/>
      <c r="I245" s="179"/>
    </row>
    <row r="246" spans="8:9" x14ac:dyDescent="0.3">
      <c r="H246" s="179"/>
      <c r="I246" s="179"/>
    </row>
    <row r="247" spans="8:9" x14ac:dyDescent="0.3">
      <c r="H247" s="179"/>
      <c r="I247" s="179"/>
    </row>
    <row r="248" spans="8:9" x14ac:dyDescent="0.3">
      <c r="H248" s="179"/>
      <c r="I248" s="179"/>
    </row>
    <row r="249" spans="8:9" x14ac:dyDescent="0.3">
      <c r="H249" s="179"/>
      <c r="I249" s="179"/>
    </row>
    <row r="250" spans="8:9" x14ac:dyDescent="0.3">
      <c r="H250" s="179"/>
      <c r="I250" s="179"/>
    </row>
    <row r="251" spans="8:9" x14ac:dyDescent="0.3">
      <c r="H251" s="179"/>
      <c r="I251" s="179"/>
    </row>
    <row r="252" spans="8:9" x14ac:dyDescent="0.3">
      <c r="H252" s="179"/>
      <c r="I252" s="179"/>
    </row>
    <row r="253" spans="8:9" x14ac:dyDescent="0.3">
      <c r="H253" s="179"/>
      <c r="I253" s="179"/>
    </row>
    <row r="254" spans="8:9" x14ac:dyDescent="0.3">
      <c r="H254" s="179"/>
      <c r="I254" s="179"/>
    </row>
    <row r="255" spans="8:9" x14ac:dyDescent="0.3">
      <c r="H255" s="179"/>
      <c r="I255" s="179"/>
    </row>
    <row r="256" spans="8:9" x14ac:dyDescent="0.3">
      <c r="H256" s="179"/>
      <c r="I256" s="179"/>
    </row>
    <row r="257" spans="8:9" x14ac:dyDescent="0.3">
      <c r="H257" s="179"/>
      <c r="I257" s="179"/>
    </row>
    <row r="258" spans="8:9" x14ac:dyDescent="0.3">
      <c r="H258" s="179"/>
      <c r="I258" s="179"/>
    </row>
    <row r="259" spans="8:9" x14ac:dyDescent="0.3">
      <c r="H259" s="179"/>
      <c r="I259" s="179"/>
    </row>
    <row r="260" spans="8:9" x14ac:dyDescent="0.3">
      <c r="H260" s="179"/>
      <c r="I260" s="179"/>
    </row>
    <row r="261" spans="8:9" x14ac:dyDescent="0.3">
      <c r="H261" s="179"/>
      <c r="I261" s="179"/>
    </row>
    <row r="262" spans="8:9" x14ac:dyDescent="0.3">
      <c r="H262" s="179"/>
      <c r="I262" s="179"/>
    </row>
    <row r="263" spans="8:9" x14ac:dyDescent="0.3">
      <c r="H263" s="179"/>
      <c r="I263" s="179"/>
    </row>
    <row r="264" spans="8:9" x14ac:dyDescent="0.3">
      <c r="H264" s="179"/>
      <c r="I264" s="179"/>
    </row>
    <row r="265" spans="8:9" x14ac:dyDescent="0.3">
      <c r="H265" s="179"/>
      <c r="I265" s="179"/>
    </row>
    <row r="266" spans="8:9" x14ac:dyDescent="0.3">
      <c r="H266" s="179"/>
      <c r="I266" s="179"/>
    </row>
    <row r="267" spans="8:9" x14ac:dyDescent="0.3">
      <c r="H267" s="179"/>
      <c r="I267" s="179"/>
    </row>
    <row r="268" spans="8:9" x14ac:dyDescent="0.3">
      <c r="H268" s="179"/>
      <c r="I268" s="179"/>
    </row>
    <row r="269" spans="8:9" x14ac:dyDescent="0.3">
      <c r="H269" s="179"/>
      <c r="I269" s="179"/>
    </row>
    <row r="270" spans="8:9" x14ac:dyDescent="0.3">
      <c r="H270" s="179"/>
      <c r="I270" s="179"/>
    </row>
    <row r="271" spans="8:9" x14ac:dyDescent="0.3">
      <c r="H271" s="179"/>
      <c r="I271" s="179"/>
    </row>
    <row r="272" spans="8:9" x14ac:dyDescent="0.3">
      <c r="H272" s="179"/>
      <c r="I272" s="179"/>
    </row>
    <row r="273" spans="8:9" x14ac:dyDescent="0.3">
      <c r="H273" s="179"/>
      <c r="I273" s="179"/>
    </row>
    <row r="274" spans="8:9" x14ac:dyDescent="0.3">
      <c r="H274" s="179"/>
      <c r="I274" s="179"/>
    </row>
    <row r="275" spans="8:9" x14ac:dyDescent="0.3">
      <c r="H275" s="179"/>
      <c r="I275" s="179"/>
    </row>
    <row r="276" spans="8:9" x14ac:dyDescent="0.3">
      <c r="H276" s="179"/>
      <c r="I276" s="179"/>
    </row>
    <row r="277" spans="8:9" x14ac:dyDescent="0.3">
      <c r="H277" s="179"/>
      <c r="I277" s="179"/>
    </row>
    <row r="278" spans="8:9" x14ac:dyDescent="0.3">
      <c r="H278" s="179"/>
      <c r="I278" s="179"/>
    </row>
    <row r="279" spans="8:9" x14ac:dyDescent="0.3">
      <c r="H279" s="179"/>
      <c r="I279" s="179"/>
    </row>
    <row r="280" spans="8:9" x14ac:dyDescent="0.3">
      <c r="H280" s="179"/>
      <c r="I280" s="179"/>
    </row>
    <row r="281" spans="8:9" x14ac:dyDescent="0.3">
      <c r="H281" s="179"/>
      <c r="I281" s="179"/>
    </row>
    <row r="282" spans="8:9" x14ac:dyDescent="0.3">
      <c r="H282" s="179"/>
      <c r="I282" s="179"/>
    </row>
    <row r="283" spans="8:9" x14ac:dyDescent="0.3">
      <c r="H283" s="179"/>
      <c r="I283" s="179"/>
    </row>
    <row r="284" spans="8:9" x14ac:dyDescent="0.3">
      <c r="H284" s="179"/>
      <c r="I284" s="179"/>
    </row>
    <row r="285" spans="8:9" x14ac:dyDescent="0.3">
      <c r="H285" s="179"/>
      <c r="I285" s="179"/>
    </row>
    <row r="286" spans="8:9" x14ac:dyDescent="0.3">
      <c r="H286" s="179"/>
      <c r="I286" s="179"/>
    </row>
    <row r="287" spans="8:9" x14ac:dyDescent="0.3">
      <c r="H287" s="179"/>
      <c r="I287" s="179"/>
    </row>
    <row r="288" spans="8:9" x14ac:dyDescent="0.3">
      <c r="H288" s="179"/>
      <c r="I288" s="179"/>
    </row>
    <row r="289" spans="8:9" x14ac:dyDescent="0.3">
      <c r="H289" s="179"/>
      <c r="I289" s="179"/>
    </row>
    <row r="290" spans="8:9" x14ac:dyDescent="0.3">
      <c r="H290" s="179"/>
      <c r="I290" s="179"/>
    </row>
    <row r="291" spans="8:9" x14ac:dyDescent="0.3">
      <c r="H291" s="179"/>
      <c r="I291" s="179"/>
    </row>
    <row r="292" spans="8:9" x14ac:dyDescent="0.3">
      <c r="H292" s="179"/>
      <c r="I292" s="179"/>
    </row>
    <row r="293" spans="8:9" x14ac:dyDescent="0.3">
      <c r="H293" s="179"/>
      <c r="I293" s="179"/>
    </row>
    <row r="294" spans="8:9" x14ac:dyDescent="0.3">
      <c r="H294" s="179"/>
      <c r="I294" s="179"/>
    </row>
    <row r="295" spans="8:9" x14ac:dyDescent="0.3">
      <c r="H295" s="179"/>
      <c r="I295" s="179"/>
    </row>
    <row r="296" spans="8:9" x14ac:dyDescent="0.3">
      <c r="H296" s="179"/>
      <c r="I296" s="179"/>
    </row>
    <row r="297" spans="8:9" x14ac:dyDescent="0.3">
      <c r="H297" s="179"/>
      <c r="I297" s="179"/>
    </row>
    <row r="298" spans="8:9" x14ac:dyDescent="0.3">
      <c r="H298" s="179"/>
      <c r="I298" s="179"/>
    </row>
    <row r="299" spans="8:9" x14ac:dyDescent="0.3">
      <c r="H299" s="179"/>
      <c r="I299" s="179"/>
    </row>
    <row r="300" spans="8:9" x14ac:dyDescent="0.3">
      <c r="H300" s="179"/>
      <c r="I300" s="179"/>
    </row>
    <row r="301" spans="8:9" x14ac:dyDescent="0.3">
      <c r="H301" s="179"/>
      <c r="I301" s="179"/>
    </row>
    <row r="302" spans="8:9" x14ac:dyDescent="0.3">
      <c r="H302" s="179"/>
      <c r="I302" s="179"/>
    </row>
    <row r="303" spans="8:9" x14ac:dyDescent="0.3">
      <c r="H303" s="179"/>
      <c r="I303" s="179"/>
    </row>
    <row r="304" spans="8:9" x14ac:dyDescent="0.3">
      <c r="H304" s="179"/>
      <c r="I304" s="179"/>
    </row>
    <row r="305" spans="8:9" x14ac:dyDescent="0.3">
      <c r="H305" s="179"/>
      <c r="I305" s="179"/>
    </row>
    <row r="306" spans="8:9" x14ac:dyDescent="0.3">
      <c r="H306" s="179"/>
      <c r="I306" s="179"/>
    </row>
    <row r="307" spans="8:9" x14ac:dyDescent="0.3">
      <c r="H307" s="179"/>
      <c r="I307" s="179"/>
    </row>
    <row r="308" spans="8:9" x14ac:dyDescent="0.3">
      <c r="H308" s="179"/>
      <c r="I308" s="179"/>
    </row>
    <row r="309" spans="8:9" x14ac:dyDescent="0.3">
      <c r="H309" s="179"/>
      <c r="I309" s="179"/>
    </row>
    <row r="310" spans="8:9" x14ac:dyDescent="0.3">
      <c r="H310" s="179"/>
      <c r="I310" s="179"/>
    </row>
    <row r="311" spans="8:9" x14ac:dyDescent="0.3">
      <c r="H311" s="179"/>
      <c r="I311" s="179"/>
    </row>
    <row r="312" spans="8:9" x14ac:dyDescent="0.3">
      <c r="H312" s="179"/>
      <c r="I312" s="179"/>
    </row>
    <row r="313" spans="8:9" x14ac:dyDescent="0.3">
      <c r="H313" s="179"/>
      <c r="I313" s="179"/>
    </row>
    <row r="314" spans="8:9" x14ac:dyDescent="0.3">
      <c r="H314" s="179"/>
      <c r="I314" s="179"/>
    </row>
    <row r="315" spans="8:9" x14ac:dyDescent="0.3">
      <c r="H315" s="179"/>
      <c r="I315" s="179"/>
    </row>
    <row r="316" spans="8:9" x14ac:dyDescent="0.3">
      <c r="H316" s="179"/>
      <c r="I316" s="179"/>
    </row>
    <row r="317" spans="8:9" x14ac:dyDescent="0.3">
      <c r="H317" s="179"/>
      <c r="I317" s="179"/>
    </row>
    <row r="318" spans="8:9" x14ac:dyDescent="0.3">
      <c r="H318" s="179"/>
      <c r="I318" s="179"/>
    </row>
    <row r="319" spans="8:9" x14ac:dyDescent="0.3">
      <c r="H319" s="179"/>
      <c r="I319" s="179"/>
    </row>
    <row r="320" spans="8:9" x14ac:dyDescent="0.3">
      <c r="H320" s="179"/>
      <c r="I320" s="179"/>
    </row>
    <row r="321" spans="8:9" x14ac:dyDescent="0.3">
      <c r="H321" s="179"/>
      <c r="I321" s="179"/>
    </row>
    <row r="322" spans="8:9" x14ac:dyDescent="0.3">
      <c r="H322" s="179"/>
      <c r="I322" s="179"/>
    </row>
    <row r="323" spans="8:9" x14ac:dyDescent="0.3">
      <c r="H323" s="179"/>
      <c r="I323" s="179"/>
    </row>
    <row r="324" spans="8:9" x14ac:dyDescent="0.3">
      <c r="H324" s="179"/>
      <c r="I324" s="179"/>
    </row>
    <row r="325" spans="8:9" x14ac:dyDescent="0.3">
      <c r="H325" s="179"/>
      <c r="I325" s="179"/>
    </row>
    <row r="326" spans="8:9" x14ac:dyDescent="0.3">
      <c r="H326" s="179"/>
      <c r="I326" s="179"/>
    </row>
    <row r="327" spans="8:9" x14ac:dyDescent="0.3">
      <c r="H327" s="179"/>
      <c r="I327" s="179"/>
    </row>
    <row r="328" spans="8:9" x14ac:dyDescent="0.3">
      <c r="H328" s="179"/>
      <c r="I328" s="179"/>
    </row>
    <row r="329" spans="8:9" x14ac:dyDescent="0.3">
      <c r="H329" s="179"/>
      <c r="I329" s="179"/>
    </row>
    <row r="330" spans="8:9" x14ac:dyDescent="0.3">
      <c r="H330" s="179"/>
      <c r="I330" s="179"/>
    </row>
    <row r="331" spans="8:9" x14ac:dyDescent="0.3">
      <c r="H331" s="179"/>
      <c r="I331" s="179"/>
    </row>
    <row r="332" spans="8:9" x14ac:dyDescent="0.3">
      <c r="H332" s="179"/>
      <c r="I332" s="179"/>
    </row>
    <row r="333" spans="8:9" x14ac:dyDescent="0.3">
      <c r="H333" s="179"/>
      <c r="I333" s="179"/>
    </row>
    <row r="334" spans="8:9" x14ac:dyDescent="0.3">
      <c r="H334" s="179"/>
      <c r="I334" s="179"/>
    </row>
    <row r="335" spans="8:9" x14ac:dyDescent="0.3">
      <c r="H335" s="179"/>
      <c r="I335" s="179"/>
    </row>
    <row r="336" spans="8:9" x14ac:dyDescent="0.3">
      <c r="H336" s="179"/>
      <c r="I336" s="179"/>
    </row>
    <row r="337" spans="8:9" x14ac:dyDescent="0.3">
      <c r="H337" s="179"/>
      <c r="I337" s="179"/>
    </row>
    <row r="338" spans="8:9" x14ac:dyDescent="0.3">
      <c r="H338" s="179"/>
      <c r="I338" s="179"/>
    </row>
    <row r="339" spans="8:9" x14ac:dyDescent="0.3">
      <c r="H339" s="179"/>
      <c r="I339" s="179"/>
    </row>
    <row r="340" spans="8:9" x14ac:dyDescent="0.3">
      <c r="H340" s="179"/>
      <c r="I340" s="179"/>
    </row>
    <row r="341" spans="8:9" x14ac:dyDescent="0.3">
      <c r="H341" s="179"/>
      <c r="I341" s="179"/>
    </row>
    <row r="342" spans="8:9" x14ac:dyDescent="0.3">
      <c r="H342" s="179"/>
      <c r="I342" s="179"/>
    </row>
    <row r="343" spans="8:9" x14ac:dyDescent="0.3">
      <c r="H343" s="179"/>
      <c r="I343" s="179"/>
    </row>
    <row r="344" spans="8:9" x14ac:dyDescent="0.3">
      <c r="H344" s="179"/>
      <c r="I344" s="179"/>
    </row>
    <row r="345" spans="8:9" x14ac:dyDescent="0.3">
      <c r="H345" s="179"/>
      <c r="I345" s="179"/>
    </row>
    <row r="346" spans="8:9" x14ac:dyDescent="0.3">
      <c r="H346" s="179"/>
      <c r="I346" s="179"/>
    </row>
    <row r="347" spans="8:9" x14ac:dyDescent="0.3">
      <c r="H347" s="179"/>
      <c r="I347" s="179"/>
    </row>
    <row r="348" spans="8:9" x14ac:dyDescent="0.3">
      <c r="H348" s="179"/>
      <c r="I348" s="179"/>
    </row>
    <row r="349" spans="8:9" x14ac:dyDescent="0.3">
      <c r="H349" s="179"/>
      <c r="I349" s="179"/>
    </row>
    <row r="350" spans="8:9" x14ac:dyDescent="0.3">
      <c r="H350" s="179"/>
      <c r="I350" s="179"/>
    </row>
    <row r="351" spans="8:9" x14ac:dyDescent="0.3">
      <c r="H351" s="179"/>
      <c r="I351" s="179"/>
    </row>
    <row r="352" spans="8:9" x14ac:dyDescent="0.3">
      <c r="H352" s="179"/>
      <c r="I352" s="179"/>
    </row>
    <row r="353" spans="8:9" x14ac:dyDescent="0.3">
      <c r="H353" s="179"/>
      <c r="I353" s="179"/>
    </row>
    <row r="354" spans="8:9" x14ac:dyDescent="0.3">
      <c r="H354" s="179"/>
      <c r="I354" s="179"/>
    </row>
    <row r="355" spans="8:9" x14ac:dyDescent="0.3">
      <c r="H355" s="179"/>
      <c r="I355" s="179"/>
    </row>
    <row r="356" spans="8:9" x14ac:dyDescent="0.3">
      <c r="H356" s="179"/>
      <c r="I356" s="179"/>
    </row>
    <row r="357" spans="8:9" x14ac:dyDescent="0.3">
      <c r="H357" s="179"/>
      <c r="I357" s="179"/>
    </row>
    <row r="358" spans="8:9" x14ac:dyDescent="0.3">
      <c r="H358" s="179"/>
      <c r="I358" s="179"/>
    </row>
    <row r="359" spans="8:9" x14ac:dyDescent="0.3">
      <c r="H359" s="179"/>
      <c r="I359" s="179"/>
    </row>
  </sheetData>
  <mergeCells count="1">
    <mergeCell ref="B4:C4"/>
  </mergeCells>
  <printOptions horizontalCentered="1"/>
  <pageMargins left="0.25" right="0.25" top="0.3" bottom="0.2" header="0.25" footer="0.2"/>
  <pageSetup paperSize="9" scale="90" fitToHeight="0"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L11"/>
  <sheetViews>
    <sheetView workbookViewId="0">
      <selection activeCell="C20" sqref="C20"/>
    </sheetView>
  </sheetViews>
  <sheetFormatPr defaultColWidth="9.109375" defaultRowHeight="14.4" x14ac:dyDescent="0.3"/>
  <cols>
    <col min="1" max="1" width="19.109375" style="179" bestFit="1" customWidth="1"/>
    <col min="2" max="2" width="12.109375" style="179" bestFit="1" customWidth="1"/>
    <col min="3" max="3" width="25.33203125" style="179" customWidth="1"/>
    <col min="4" max="4" width="16.109375" style="179" bestFit="1" customWidth="1"/>
    <col min="5" max="5" width="25.5546875" style="179" bestFit="1" customWidth="1"/>
    <col min="6" max="6" width="15.5546875" style="179" customWidth="1"/>
    <col min="7" max="7" width="10" style="179" customWidth="1"/>
    <col min="8" max="8" width="9.33203125" style="179" customWidth="1"/>
    <col min="9" max="9" width="16.44140625" style="179" customWidth="1"/>
    <col min="10" max="16384" width="9.109375" style="179"/>
  </cols>
  <sheetData>
    <row r="1" spans="1:12" ht="19.5" customHeight="1" x14ac:dyDescent="0.3">
      <c r="A1" s="389"/>
      <c r="B1" s="389"/>
      <c r="C1" s="389"/>
      <c r="D1" s="389"/>
      <c r="E1" s="389"/>
      <c r="F1" s="389"/>
      <c r="G1" s="389"/>
      <c r="H1" s="389"/>
      <c r="I1" s="389"/>
      <c r="J1" s="303"/>
      <c r="K1" s="303"/>
      <c r="L1" s="303"/>
    </row>
    <row r="2" spans="1:12" ht="19.5" customHeight="1" x14ac:dyDescent="0.3">
      <c r="A2" s="240" t="s">
        <v>1707</v>
      </c>
      <c r="B2" s="389"/>
      <c r="C2" s="240"/>
      <c r="D2" s="240"/>
      <c r="E2" s="240"/>
      <c r="F2" s="240"/>
      <c r="G2" s="240"/>
      <c r="H2" s="240"/>
      <c r="I2" s="240"/>
      <c r="J2" s="41"/>
      <c r="K2" s="41"/>
      <c r="L2" s="41"/>
    </row>
    <row r="3" spans="1:12" ht="19.5" customHeight="1" x14ac:dyDescent="0.3">
      <c r="A3" s="680">
        <f>Report_Date</f>
        <v>43585</v>
      </c>
      <c r="B3" s="677"/>
      <c r="C3" s="677"/>
      <c r="D3" s="240"/>
      <c r="E3" s="240"/>
      <c r="F3" s="240"/>
      <c r="G3" s="240"/>
      <c r="H3" s="240"/>
      <c r="I3" s="240"/>
      <c r="J3" s="242"/>
      <c r="K3" s="242"/>
      <c r="L3" s="242"/>
    </row>
    <row r="5" spans="1:12" x14ac:dyDescent="0.3">
      <c r="A5" s="676" t="s">
        <v>458</v>
      </c>
      <c r="B5" s="179" t="s">
        <v>1691</v>
      </c>
    </row>
    <row r="6" spans="1:12" x14ac:dyDescent="0.3">
      <c r="A6" s="676" t="s">
        <v>1034</v>
      </c>
      <c r="B6" s="179" t="s">
        <v>537</v>
      </c>
    </row>
    <row r="8" spans="1:12" s="45" customFormat="1" x14ac:dyDescent="0.3">
      <c r="A8" s="679" t="s">
        <v>392</v>
      </c>
      <c r="B8" s="679" t="s">
        <v>0</v>
      </c>
      <c r="C8" s="679" t="s">
        <v>507</v>
      </c>
      <c r="D8" s="679" t="s">
        <v>833</v>
      </c>
      <c r="E8" s="679" t="s">
        <v>398</v>
      </c>
      <c r="F8" s="679" t="s">
        <v>457</v>
      </c>
      <c r="G8" s="45" t="s">
        <v>1401</v>
      </c>
      <c r="H8" s="45" t="s">
        <v>788</v>
      </c>
      <c r="I8"/>
    </row>
    <row r="9" spans="1:12" x14ac:dyDescent="0.3">
      <c r="A9" s="179" t="s">
        <v>378</v>
      </c>
      <c r="B9" s="179" t="s">
        <v>151</v>
      </c>
      <c r="C9" s="179" t="s">
        <v>1717</v>
      </c>
      <c r="D9" s="179" t="s">
        <v>787</v>
      </c>
      <c r="E9" s="179" t="s">
        <v>1693</v>
      </c>
      <c r="F9" s="179" t="s">
        <v>464</v>
      </c>
      <c r="G9" s="678">
        <v>86</v>
      </c>
      <c r="H9" s="678">
        <v>450</v>
      </c>
      <c r="I9"/>
    </row>
    <row r="10" spans="1:12" x14ac:dyDescent="0.3">
      <c r="A10" s="179" t="s">
        <v>378</v>
      </c>
      <c r="B10" s="179" t="s">
        <v>309</v>
      </c>
      <c r="C10" s="179" t="s">
        <v>1694</v>
      </c>
      <c r="D10" s="179" t="s">
        <v>1695</v>
      </c>
      <c r="E10" s="179" t="s">
        <v>1693</v>
      </c>
      <c r="F10" s="179" t="s">
        <v>464</v>
      </c>
      <c r="G10" s="678">
        <v>95</v>
      </c>
      <c r="H10" s="678">
        <v>499</v>
      </c>
      <c r="I10"/>
    </row>
    <row r="11" spans="1:12" x14ac:dyDescent="0.3">
      <c r="A11" s="179" t="s">
        <v>411</v>
      </c>
      <c r="G11" s="678">
        <v>181</v>
      </c>
      <c r="H11" s="678">
        <v>949</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3" tint="0.59999389629810485"/>
    <pageSetUpPr fitToPage="1"/>
  </sheetPr>
  <dimension ref="A1:AJ190"/>
  <sheetViews>
    <sheetView showGridLines="0" showZeros="0" zoomScale="99" zoomScaleNormal="99" zoomScaleSheetLayoutView="85" workbookViewId="0">
      <pane xSplit="6" ySplit="4" topLeftCell="T153" activePane="bottomRight" state="frozen"/>
      <selection pane="topRight" activeCell="G1" sqref="G1"/>
      <selection pane="bottomLeft" activeCell="A5" sqref="A5"/>
      <selection pane="bottomRight" activeCell="AB184" sqref="AB184"/>
    </sheetView>
  </sheetViews>
  <sheetFormatPr defaultColWidth="9.109375" defaultRowHeight="11.25" customHeight="1" x14ac:dyDescent="0.25"/>
  <cols>
    <col min="1" max="1" width="9.109375" style="345"/>
    <col min="2" max="2" width="10.5546875" style="345" customWidth="1"/>
    <col min="3" max="3" width="9.44140625" style="345" customWidth="1"/>
    <col min="4" max="4" width="29.33203125" style="345" customWidth="1"/>
    <col min="5" max="5" width="15.88671875" style="345" customWidth="1"/>
    <col min="6" max="6" width="7.88671875" style="346" customWidth="1"/>
    <col min="7" max="7" width="8.5546875" style="345" customWidth="1"/>
    <col min="8" max="17" width="7.109375" style="347" customWidth="1"/>
    <col min="18" max="18" width="19.6640625" style="347" customWidth="1"/>
    <col min="19" max="19" width="5.88671875" style="347" customWidth="1"/>
    <col min="20" max="28" width="6.6640625" style="347" customWidth="1"/>
    <col min="29" max="29" width="8.109375" style="347" customWidth="1"/>
    <col min="30" max="30" width="8.33203125" style="347" customWidth="1"/>
    <col min="31" max="31" width="6.88671875" style="347" customWidth="1"/>
    <col min="32" max="32" width="8.5546875" style="347" customWidth="1"/>
    <col min="33" max="33" width="7.44140625" style="347" customWidth="1"/>
    <col min="34" max="34" width="10.6640625" style="347" customWidth="1"/>
    <col min="35" max="35" width="13.33203125" style="347" customWidth="1"/>
    <col min="36" max="36" width="30.6640625" style="345" customWidth="1"/>
    <col min="37" max="265" width="9.109375" style="345"/>
    <col min="266" max="266" width="9.44140625" style="345" customWidth="1"/>
    <col min="267" max="267" width="31.44140625" style="345" customWidth="1"/>
    <col min="268" max="273" width="0" style="345" hidden="1" customWidth="1"/>
    <col min="274" max="274" width="8.6640625" style="345" customWidth="1"/>
    <col min="275" max="275" width="8.109375" style="345" customWidth="1"/>
    <col min="276" max="276" width="14.44140625" style="345" customWidth="1"/>
    <col min="277" max="277" width="13.33203125" style="345" customWidth="1"/>
    <col min="278" max="278" width="9.6640625" style="345" customWidth="1"/>
    <col min="279" max="279" width="13.5546875" style="345" customWidth="1"/>
    <col min="280" max="280" width="10.5546875" style="345" customWidth="1"/>
    <col min="281" max="281" width="11.33203125" style="345" customWidth="1"/>
    <col min="282" max="282" width="8.6640625" style="345" customWidth="1"/>
    <col min="283" max="283" width="9" style="345" customWidth="1"/>
    <col min="284" max="284" width="6.6640625" style="345" customWidth="1"/>
    <col min="285" max="285" width="11.44140625" style="345" customWidth="1"/>
    <col min="286" max="286" width="12.33203125" style="345" customWidth="1"/>
    <col min="287" max="287" width="11.33203125" style="345" customWidth="1"/>
    <col min="288" max="288" width="12.44140625" style="345" customWidth="1"/>
    <col min="289" max="289" width="13" style="345" customWidth="1"/>
    <col min="290" max="290" width="9.5546875" style="345" customWidth="1"/>
    <col min="291" max="291" width="11.44140625" style="345" customWidth="1"/>
    <col min="292" max="521" width="9.109375" style="345"/>
    <col min="522" max="522" width="9.44140625" style="345" customWidth="1"/>
    <col min="523" max="523" width="31.44140625" style="345" customWidth="1"/>
    <col min="524" max="529" width="0" style="345" hidden="1" customWidth="1"/>
    <col min="530" max="530" width="8.6640625" style="345" customWidth="1"/>
    <col min="531" max="531" width="8.109375" style="345" customWidth="1"/>
    <col min="532" max="532" width="14.44140625" style="345" customWidth="1"/>
    <col min="533" max="533" width="13.33203125" style="345" customWidth="1"/>
    <col min="534" max="534" width="9.6640625" style="345" customWidth="1"/>
    <col min="535" max="535" width="13.5546875" style="345" customWidth="1"/>
    <col min="536" max="536" width="10.5546875" style="345" customWidth="1"/>
    <col min="537" max="537" width="11.33203125" style="345" customWidth="1"/>
    <col min="538" max="538" width="8.6640625" style="345" customWidth="1"/>
    <col min="539" max="539" width="9" style="345" customWidth="1"/>
    <col min="540" max="540" width="6.6640625" style="345" customWidth="1"/>
    <col min="541" max="541" width="11.44140625" style="345" customWidth="1"/>
    <col min="542" max="542" width="12.33203125" style="345" customWidth="1"/>
    <col min="543" max="543" width="11.33203125" style="345" customWidth="1"/>
    <col min="544" max="544" width="12.44140625" style="345" customWidth="1"/>
    <col min="545" max="545" width="13" style="345" customWidth="1"/>
    <col min="546" max="546" width="9.5546875" style="345" customWidth="1"/>
    <col min="547" max="547" width="11.44140625" style="345" customWidth="1"/>
    <col min="548" max="777" width="9.109375" style="345"/>
    <col min="778" max="778" width="9.44140625" style="345" customWidth="1"/>
    <col min="779" max="779" width="31.44140625" style="345" customWidth="1"/>
    <col min="780" max="785" width="0" style="345" hidden="1" customWidth="1"/>
    <col min="786" max="786" width="8.6640625" style="345" customWidth="1"/>
    <col min="787" max="787" width="8.109375" style="345" customWidth="1"/>
    <col min="788" max="788" width="14.44140625" style="345" customWidth="1"/>
    <col min="789" max="789" width="13.33203125" style="345" customWidth="1"/>
    <col min="790" max="790" width="9.6640625" style="345" customWidth="1"/>
    <col min="791" max="791" width="13.5546875" style="345" customWidth="1"/>
    <col min="792" max="792" width="10.5546875" style="345" customWidth="1"/>
    <col min="793" max="793" width="11.33203125" style="345" customWidth="1"/>
    <col min="794" max="794" width="8.6640625" style="345" customWidth="1"/>
    <col min="795" max="795" width="9" style="345" customWidth="1"/>
    <col min="796" max="796" width="6.6640625" style="345" customWidth="1"/>
    <col min="797" max="797" width="11.44140625" style="345" customWidth="1"/>
    <col min="798" max="798" width="12.33203125" style="345" customWidth="1"/>
    <col min="799" max="799" width="11.33203125" style="345" customWidth="1"/>
    <col min="800" max="800" width="12.44140625" style="345" customWidth="1"/>
    <col min="801" max="801" width="13" style="345" customWidth="1"/>
    <col min="802" max="802" width="9.5546875" style="345" customWidth="1"/>
    <col min="803" max="803" width="11.44140625" style="345" customWidth="1"/>
    <col min="804" max="1033" width="9.109375" style="345"/>
    <col min="1034" max="1034" width="9.44140625" style="345" customWidth="1"/>
    <col min="1035" max="1035" width="31.44140625" style="345" customWidth="1"/>
    <col min="1036" max="1041" width="0" style="345" hidden="1" customWidth="1"/>
    <col min="1042" max="1042" width="8.6640625" style="345" customWidth="1"/>
    <col min="1043" max="1043" width="8.109375" style="345" customWidth="1"/>
    <col min="1044" max="1044" width="14.44140625" style="345" customWidth="1"/>
    <col min="1045" max="1045" width="13.33203125" style="345" customWidth="1"/>
    <col min="1046" max="1046" width="9.6640625" style="345" customWidth="1"/>
    <col min="1047" max="1047" width="13.5546875" style="345" customWidth="1"/>
    <col min="1048" max="1048" width="10.5546875" style="345" customWidth="1"/>
    <col min="1049" max="1049" width="11.33203125" style="345" customWidth="1"/>
    <col min="1050" max="1050" width="8.6640625" style="345" customWidth="1"/>
    <col min="1051" max="1051" width="9" style="345" customWidth="1"/>
    <col min="1052" max="1052" width="6.6640625" style="345" customWidth="1"/>
    <col min="1053" max="1053" width="11.44140625" style="345" customWidth="1"/>
    <col min="1054" max="1054" width="12.33203125" style="345" customWidth="1"/>
    <col min="1055" max="1055" width="11.33203125" style="345" customWidth="1"/>
    <col min="1056" max="1056" width="12.44140625" style="345" customWidth="1"/>
    <col min="1057" max="1057" width="13" style="345" customWidth="1"/>
    <col min="1058" max="1058" width="9.5546875" style="345" customWidth="1"/>
    <col min="1059" max="1059" width="11.44140625" style="345" customWidth="1"/>
    <col min="1060" max="1289" width="9.109375" style="345"/>
    <col min="1290" max="1290" width="9.44140625" style="345" customWidth="1"/>
    <col min="1291" max="1291" width="31.44140625" style="345" customWidth="1"/>
    <col min="1292" max="1297" width="0" style="345" hidden="1" customWidth="1"/>
    <col min="1298" max="1298" width="8.6640625" style="345" customWidth="1"/>
    <col min="1299" max="1299" width="8.109375" style="345" customWidth="1"/>
    <col min="1300" max="1300" width="14.44140625" style="345" customWidth="1"/>
    <col min="1301" max="1301" width="13.33203125" style="345" customWidth="1"/>
    <col min="1302" max="1302" width="9.6640625" style="345" customWidth="1"/>
    <col min="1303" max="1303" width="13.5546875" style="345" customWidth="1"/>
    <col min="1304" max="1304" width="10.5546875" style="345" customWidth="1"/>
    <col min="1305" max="1305" width="11.33203125" style="345" customWidth="1"/>
    <col min="1306" max="1306" width="8.6640625" style="345" customWidth="1"/>
    <col min="1307" max="1307" width="9" style="345" customWidth="1"/>
    <col min="1308" max="1308" width="6.6640625" style="345" customWidth="1"/>
    <col min="1309" max="1309" width="11.44140625" style="345" customWidth="1"/>
    <col min="1310" max="1310" width="12.33203125" style="345" customWidth="1"/>
    <col min="1311" max="1311" width="11.33203125" style="345" customWidth="1"/>
    <col min="1312" max="1312" width="12.44140625" style="345" customWidth="1"/>
    <col min="1313" max="1313" width="13" style="345" customWidth="1"/>
    <col min="1314" max="1314" width="9.5546875" style="345" customWidth="1"/>
    <col min="1315" max="1315" width="11.44140625" style="345" customWidth="1"/>
    <col min="1316" max="1545" width="9.109375" style="345"/>
    <col min="1546" max="1546" width="9.44140625" style="345" customWidth="1"/>
    <col min="1547" max="1547" width="31.44140625" style="345" customWidth="1"/>
    <col min="1548" max="1553" width="0" style="345" hidden="1" customWidth="1"/>
    <col min="1554" max="1554" width="8.6640625" style="345" customWidth="1"/>
    <col min="1555" max="1555" width="8.109375" style="345" customWidth="1"/>
    <col min="1556" max="1556" width="14.44140625" style="345" customWidth="1"/>
    <col min="1557" max="1557" width="13.33203125" style="345" customWidth="1"/>
    <col min="1558" max="1558" width="9.6640625" style="345" customWidth="1"/>
    <col min="1559" max="1559" width="13.5546875" style="345" customWidth="1"/>
    <col min="1560" max="1560" width="10.5546875" style="345" customWidth="1"/>
    <col min="1561" max="1561" width="11.33203125" style="345" customWidth="1"/>
    <col min="1562" max="1562" width="8.6640625" style="345" customWidth="1"/>
    <col min="1563" max="1563" width="9" style="345" customWidth="1"/>
    <col min="1564" max="1564" width="6.6640625" style="345" customWidth="1"/>
    <col min="1565" max="1565" width="11.44140625" style="345" customWidth="1"/>
    <col min="1566" max="1566" width="12.33203125" style="345" customWidth="1"/>
    <col min="1567" max="1567" width="11.33203125" style="345" customWidth="1"/>
    <col min="1568" max="1568" width="12.44140625" style="345" customWidth="1"/>
    <col min="1569" max="1569" width="13" style="345" customWidth="1"/>
    <col min="1570" max="1570" width="9.5546875" style="345" customWidth="1"/>
    <col min="1571" max="1571" width="11.44140625" style="345" customWidth="1"/>
    <col min="1572" max="1801" width="9.109375" style="345"/>
    <col min="1802" max="1802" width="9.44140625" style="345" customWidth="1"/>
    <col min="1803" max="1803" width="31.44140625" style="345" customWidth="1"/>
    <col min="1804" max="1809" width="0" style="345" hidden="1" customWidth="1"/>
    <col min="1810" max="1810" width="8.6640625" style="345" customWidth="1"/>
    <col min="1811" max="1811" width="8.109375" style="345" customWidth="1"/>
    <col min="1812" max="1812" width="14.44140625" style="345" customWidth="1"/>
    <col min="1813" max="1813" width="13.33203125" style="345" customWidth="1"/>
    <col min="1814" max="1814" width="9.6640625" style="345" customWidth="1"/>
    <col min="1815" max="1815" width="13.5546875" style="345" customWidth="1"/>
    <col min="1816" max="1816" width="10.5546875" style="345" customWidth="1"/>
    <col min="1817" max="1817" width="11.33203125" style="345" customWidth="1"/>
    <col min="1818" max="1818" width="8.6640625" style="345" customWidth="1"/>
    <col min="1819" max="1819" width="9" style="345" customWidth="1"/>
    <col min="1820" max="1820" width="6.6640625" style="345" customWidth="1"/>
    <col min="1821" max="1821" width="11.44140625" style="345" customWidth="1"/>
    <col min="1822" max="1822" width="12.33203125" style="345" customWidth="1"/>
    <col min="1823" max="1823" width="11.33203125" style="345" customWidth="1"/>
    <col min="1824" max="1824" width="12.44140625" style="345" customWidth="1"/>
    <col min="1825" max="1825" width="13" style="345" customWidth="1"/>
    <col min="1826" max="1826" width="9.5546875" style="345" customWidth="1"/>
    <col min="1827" max="1827" width="11.44140625" style="345" customWidth="1"/>
    <col min="1828" max="2057" width="9.109375" style="345"/>
    <col min="2058" max="2058" width="9.44140625" style="345" customWidth="1"/>
    <col min="2059" max="2059" width="31.44140625" style="345" customWidth="1"/>
    <col min="2060" max="2065" width="0" style="345" hidden="1" customWidth="1"/>
    <col min="2066" max="2066" width="8.6640625" style="345" customWidth="1"/>
    <col min="2067" max="2067" width="8.109375" style="345" customWidth="1"/>
    <col min="2068" max="2068" width="14.44140625" style="345" customWidth="1"/>
    <col min="2069" max="2069" width="13.33203125" style="345" customWidth="1"/>
    <col min="2070" max="2070" width="9.6640625" style="345" customWidth="1"/>
    <col min="2071" max="2071" width="13.5546875" style="345" customWidth="1"/>
    <col min="2072" max="2072" width="10.5546875" style="345" customWidth="1"/>
    <col min="2073" max="2073" width="11.33203125" style="345" customWidth="1"/>
    <col min="2074" max="2074" width="8.6640625" style="345" customWidth="1"/>
    <col min="2075" max="2075" width="9" style="345" customWidth="1"/>
    <col min="2076" max="2076" width="6.6640625" style="345" customWidth="1"/>
    <col min="2077" max="2077" width="11.44140625" style="345" customWidth="1"/>
    <col min="2078" max="2078" width="12.33203125" style="345" customWidth="1"/>
    <col min="2079" max="2079" width="11.33203125" style="345" customWidth="1"/>
    <col min="2080" max="2080" width="12.44140625" style="345" customWidth="1"/>
    <col min="2081" max="2081" width="13" style="345" customWidth="1"/>
    <col min="2082" max="2082" width="9.5546875" style="345" customWidth="1"/>
    <col min="2083" max="2083" width="11.44140625" style="345" customWidth="1"/>
    <col min="2084" max="2313" width="9.109375" style="345"/>
    <col min="2314" max="2314" width="9.44140625" style="345" customWidth="1"/>
    <col min="2315" max="2315" width="31.44140625" style="345" customWidth="1"/>
    <col min="2316" max="2321" width="0" style="345" hidden="1" customWidth="1"/>
    <col min="2322" max="2322" width="8.6640625" style="345" customWidth="1"/>
    <col min="2323" max="2323" width="8.109375" style="345" customWidth="1"/>
    <col min="2324" max="2324" width="14.44140625" style="345" customWidth="1"/>
    <col min="2325" max="2325" width="13.33203125" style="345" customWidth="1"/>
    <col min="2326" max="2326" width="9.6640625" style="345" customWidth="1"/>
    <col min="2327" max="2327" width="13.5546875" style="345" customWidth="1"/>
    <col min="2328" max="2328" width="10.5546875" style="345" customWidth="1"/>
    <col min="2329" max="2329" width="11.33203125" style="345" customWidth="1"/>
    <col min="2330" max="2330" width="8.6640625" style="345" customWidth="1"/>
    <col min="2331" max="2331" width="9" style="345" customWidth="1"/>
    <col min="2332" max="2332" width="6.6640625" style="345" customWidth="1"/>
    <col min="2333" max="2333" width="11.44140625" style="345" customWidth="1"/>
    <col min="2334" max="2334" width="12.33203125" style="345" customWidth="1"/>
    <col min="2335" max="2335" width="11.33203125" style="345" customWidth="1"/>
    <col min="2336" max="2336" width="12.44140625" style="345" customWidth="1"/>
    <col min="2337" max="2337" width="13" style="345" customWidth="1"/>
    <col min="2338" max="2338" width="9.5546875" style="345" customWidth="1"/>
    <col min="2339" max="2339" width="11.44140625" style="345" customWidth="1"/>
    <col min="2340" max="2569" width="9.109375" style="345"/>
    <col min="2570" max="2570" width="9.44140625" style="345" customWidth="1"/>
    <col min="2571" max="2571" width="31.44140625" style="345" customWidth="1"/>
    <col min="2572" max="2577" width="0" style="345" hidden="1" customWidth="1"/>
    <col min="2578" max="2578" width="8.6640625" style="345" customWidth="1"/>
    <col min="2579" max="2579" width="8.109375" style="345" customWidth="1"/>
    <col min="2580" max="2580" width="14.44140625" style="345" customWidth="1"/>
    <col min="2581" max="2581" width="13.33203125" style="345" customWidth="1"/>
    <col min="2582" max="2582" width="9.6640625" style="345" customWidth="1"/>
    <col min="2583" max="2583" width="13.5546875" style="345" customWidth="1"/>
    <col min="2584" max="2584" width="10.5546875" style="345" customWidth="1"/>
    <col min="2585" max="2585" width="11.33203125" style="345" customWidth="1"/>
    <col min="2586" max="2586" width="8.6640625" style="345" customWidth="1"/>
    <col min="2587" max="2587" width="9" style="345" customWidth="1"/>
    <col min="2588" max="2588" width="6.6640625" style="345" customWidth="1"/>
    <col min="2589" max="2589" width="11.44140625" style="345" customWidth="1"/>
    <col min="2590" max="2590" width="12.33203125" style="345" customWidth="1"/>
    <col min="2591" max="2591" width="11.33203125" style="345" customWidth="1"/>
    <col min="2592" max="2592" width="12.44140625" style="345" customWidth="1"/>
    <col min="2593" max="2593" width="13" style="345" customWidth="1"/>
    <col min="2594" max="2594" width="9.5546875" style="345" customWidth="1"/>
    <col min="2595" max="2595" width="11.44140625" style="345" customWidth="1"/>
    <col min="2596" max="2825" width="9.109375" style="345"/>
    <col min="2826" max="2826" width="9.44140625" style="345" customWidth="1"/>
    <col min="2827" max="2827" width="31.44140625" style="345" customWidth="1"/>
    <col min="2828" max="2833" width="0" style="345" hidden="1" customWidth="1"/>
    <col min="2834" max="2834" width="8.6640625" style="345" customWidth="1"/>
    <col min="2835" max="2835" width="8.109375" style="345" customWidth="1"/>
    <col min="2836" max="2836" width="14.44140625" style="345" customWidth="1"/>
    <col min="2837" max="2837" width="13.33203125" style="345" customWidth="1"/>
    <col min="2838" max="2838" width="9.6640625" style="345" customWidth="1"/>
    <col min="2839" max="2839" width="13.5546875" style="345" customWidth="1"/>
    <col min="2840" max="2840" width="10.5546875" style="345" customWidth="1"/>
    <col min="2841" max="2841" width="11.33203125" style="345" customWidth="1"/>
    <col min="2842" max="2842" width="8.6640625" style="345" customWidth="1"/>
    <col min="2843" max="2843" width="9" style="345" customWidth="1"/>
    <col min="2844" max="2844" width="6.6640625" style="345" customWidth="1"/>
    <col min="2845" max="2845" width="11.44140625" style="345" customWidth="1"/>
    <col min="2846" max="2846" width="12.33203125" style="345" customWidth="1"/>
    <col min="2847" max="2847" width="11.33203125" style="345" customWidth="1"/>
    <col min="2848" max="2848" width="12.44140625" style="345" customWidth="1"/>
    <col min="2849" max="2849" width="13" style="345" customWidth="1"/>
    <col min="2850" max="2850" width="9.5546875" style="345" customWidth="1"/>
    <col min="2851" max="2851" width="11.44140625" style="345" customWidth="1"/>
    <col min="2852" max="3081" width="9.109375" style="345"/>
    <col min="3082" max="3082" width="9.44140625" style="345" customWidth="1"/>
    <col min="3083" max="3083" width="31.44140625" style="345" customWidth="1"/>
    <col min="3084" max="3089" width="0" style="345" hidden="1" customWidth="1"/>
    <col min="3090" max="3090" width="8.6640625" style="345" customWidth="1"/>
    <col min="3091" max="3091" width="8.109375" style="345" customWidth="1"/>
    <col min="3092" max="3092" width="14.44140625" style="345" customWidth="1"/>
    <col min="3093" max="3093" width="13.33203125" style="345" customWidth="1"/>
    <col min="3094" max="3094" width="9.6640625" style="345" customWidth="1"/>
    <col min="3095" max="3095" width="13.5546875" style="345" customWidth="1"/>
    <col min="3096" max="3096" width="10.5546875" style="345" customWidth="1"/>
    <col min="3097" max="3097" width="11.33203125" style="345" customWidth="1"/>
    <col min="3098" max="3098" width="8.6640625" style="345" customWidth="1"/>
    <col min="3099" max="3099" width="9" style="345" customWidth="1"/>
    <col min="3100" max="3100" width="6.6640625" style="345" customWidth="1"/>
    <col min="3101" max="3101" width="11.44140625" style="345" customWidth="1"/>
    <col min="3102" max="3102" width="12.33203125" style="345" customWidth="1"/>
    <col min="3103" max="3103" width="11.33203125" style="345" customWidth="1"/>
    <col min="3104" max="3104" width="12.44140625" style="345" customWidth="1"/>
    <col min="3105" max="3105" width="13" style="345" customWidth="1"/>
    <col min="3106" max="3106" width="9.5546875" style="345" customWidth="1"/>
    <col min="3107" max="3107" width="11.44140625" style="345" customWidth="1"/>
    <col min="3108" max="3337" width="9.109375" style="345"/>
    <col min="3338" max="3338" width="9.44140625" style="345" customWidth="1"/>
    <col min="3339" max="3339" width="31.44140625" style="345" customWidth="1"/>
    <col min="3340" max="3345" width="0" style="345" hidden="1" customWidth="1"/>
    <col min="3346" max="3346" width="8.6640625" style="345" customWidth="1"/>
    <col min="3347" max="3347" width="8.109375" style="345" customWidth="1"/>
    <col min="3348" max="3348" width="14.44140625" style="345" customWidth="1"/>
    <col min="3349" max="3349" width="13.33203125" style="345" customWidth="1"/>
    <col min="3350" max="3350" width="9.6640625" style="345" customWidth="1"/>
    <col min="3351" max="3351" width="13.5546875" style="345" customWidth="1"/>
    <col min="3352" max="3352" width="10.5546875" style="345" customWidth="1"/>
    <col min="3353" max="3353" width="11.33203125" style="345" customWidth="1"/>
    <col min="3354" max="3354" width="8.6640625" style="345" customWidth="1"/>
    <col min="3355" max="3355" width="9" style="345" customWidth="1"/>
    <col min="3356" max="3356" width="6.6640625" style="345" customWidth="1"/>
    <col min="3357" max="3357" width="11.44140625" style="345" customWidth="1"/>
    <col min="3358" max="3358" width="12.33203125" style="345" customWidth="1"/>
    <col min="3359" max="3359" width="11.33203125" style="345" customWidth="1"/>
    <col min="3360" max="3360" width="12.44140625" style="345" customWidth="1"/>
    <col min="3361" max="3361" width="13" style="345" customWidth="1"/>
    <col min="3362" max="3362" width="9.5546875" style="345" customWidth="1"/>
    <col min="3363" max="3363" width="11.44140625" style="345" customWidth="1"/>
    <col min="3364" max="3593" width="9.109375" style="345"/>
    <col min="3594" max="3594" width="9.44140625" style="345" customWidth="1"/>
    <col min="3595" max="3595" width="31.44140625" style="345" customWidth="1"/>
    <col min="3596" max="3601" width="0" style="345" hidden="1" customWidth="1"/>
    <col min="3602" max="3602" width="8.6640625" style="345" customWidth="1"/>
    <col min="3603" max="3603" width="8.109375" style="345" customWidth="1"/>
    <col min="3604" max="3604" width="14.44140625" style="345" customWidth="1"/>
    <col min="3605" max="3605" width="13.33203125" style="345" customWidth="1"/>
    <col min="3606" max="3606" width="9.6640625" style="345" customWidth="1"/>
    <col min="3607" max="3607" width="13.5546875" style="345" customWidth="1"/>
    <col min="3608" max="3608" width="10.5546875" style="345" customWidth="1"/>
    <col min="3609" max="3609" width="11.33203125" style="345" customWidth="1"/>
    <col min="3610" max="3610" width="8.6640625" style="345" customWidth="1"/>
    <col min="3611" max="3611" width="9" style="345" customWidth="1"/>
    <col min="3612" max="3612" width="6.6640625" style="345" customWidth="1"/>
    <col min="3613" max="3613" width="11.44140625" style="345" customWidth="1"/>
    <col min="3614" max="3614" width="12.33203125" style="345" customWidth="1"/>
    <col min="3615" max="3615" width="11.33203125" style="345" customWidth="1"/>
    <col min="3616" max="3616" width="12.44140625" style="345" customWidth="1"/>
    <col min="3617" max="3617" width="13" style="345" customWidth="1"/>
    <col min="3618" max="3618" width="9.5546875" style="345" customWidth="1"/>
    <col min="3619" max="3619" width="11.44140625" style="345" customWidth="1"/>
    <col min="3620" max="3849" width="9.109375" style="345"/>
    <col min="3850" max="3850" width="9.44140625" style="345" customWidth="1"/>
    <col min="3851" max="3851" width="31.44140625" style="345" customWidth="1"/>
    <col min="3852" max="3857" width="0" style="345" hidden="1" customWidth="1"/>
    <col min="3858" max="3858" width="8.6640625" style="345" customWidth="1"/>
    <col min="3859" max="3859" width="8.109375" style="345" customWidth="1"/>
    <col min="3860" max="3860" width="14.44140625" style="345" customWidth="1"/>
    <col min="3861" max="3861" width="13.33203125" style="345" customWidth="1"/>
    <col min="3862" max="3862" width="9.6640625" style="345" customWidth="1"/>
    <col min="3863" max="3863" width="13.5546875" style="345" customWidth="1"/>
    <col min="3864" max="3864" width="10.5546875" style="345" customWidth="1"/>
    <col min="3865" max="3865" width="11.33203125" style="345" customWidth="1"/>
    <col min="3866" max="3866" width="8.6640625" style="345" customWidth="1"/>
    <col min="3867" max="3867" width="9" style="345" customWidth="1"/>
    <col min="3868" max="3868" width="6.6640625" style="345" customWidth="1"/>
    <col min="3869" max="3869" width="11.44140625" style="345" customWidth="1"/>
    <col min="3870" max="3870" width="12.33203125" style="345" customWidth="1"/>
    <col min="3871" max="3871" width="11.33203125" style="345" customWidth="1"/>
    <col min="3872" max="3872" width="12.44140625" style="345" customWidth="1"/>
    <col min="3873" max="3873" width="13" style="345" customWidth="1"/>
    <col min="3874" max="3874" width="9.5546875" style="345" customWidth="1"/>
    <col min="3875" max="3875" width="11.44140625" style="345" customWidth="1"/>
    <col min="3876" max="4105" width="9.109375" style="345"/>
    <col min="4106" max="4106" width="9.44140625" style="345" customWidth="1"/>
    <col min="4107" max="4107" width="31.44140625" style="345" customWidth="1"/>
    <col min="4108" max="4113" width="0" style="345" hidden="1" customWidth="1"/>
    <col min="4114" max="4114" width="8.6640625" style="345" customWidth="1"/>
    <col min="4115" max="4115" width="8.109375" style="345" customWidth="1"/>
    <col min="4116" max="4116" width="14.44140625" style="345" customWidth="1"/>
    <col min="4117" max="4117" width="13.33203125" style="345" customWidth="1"/>
    <col min="4118" max="4118" width="9.6640625" style="345" customWidth="1"/>
    <col min="4119" max="4119" width="13.5546875" style="345" customWidth="1"/>
    <col min="4120" max="4120" width="10.5546875" style="345" customWidth="1"/>
    <col min="4121" max="4121" width="11.33203125" style="345" customWidth="1"/>
    <col min="4122" max="4122" width="8.6640625" style="345" customWidth="1"/>
    <col min="4123" max="4123" width="9" style="345" customWidth="1"/>
    <col min="4124" max="4124" width="6.6640625" style="345" customWidth="1"/>
    <col min="4125" max="4125" width="11.44140625" style="345" customWidth="1"/>
    <col min="4126" max="4126" width="12.33203125" style="345" customWidth="1"/>
    <col min="4127" max="4127" width="11.33203125" style="345" customWidth="1"/>
    <col min="4128" max="4128" width="12.44140625" style="345" customWidth="1"/>
    <col min="4129" max="4129" width="13" style="345" customWidth="1"/>
    <col min="4130" max="4130" width="9.5546875" style="345" customWidth="1"/>
    <col min="4131" max="4131" width="11.44140625" style="345" customWidth="1"/>
    <col min="4132" max="4361" width="9.109375" style="345"/>
    <col min="4362" max="4362" width="9.44140625" style="345" customWidth="1"/>
    <col min="4363" max="4363" width="31.44140625" style="345" customWidth="1"/>
    <col min="4364" max="4369" width="0" style="345" hidden="1" customWidth="1"/>
    <col min="4370" max="4370" width="8.6640625" style="345" customWidth="1"/>
    <col min="4371" max="4371" width="8.109375" style="345" customWidth="1"/>
    <col min="4372" max="4372" width="14.44140625" style="345" customWidth="1"/>
    <col min="4373" max="4373" width="13.33203125" style="345" customWidth="1"/>
    <col min="4374" max="4374" width="9.6640625" style="345" customWidth="1"/>
    <col min="4375" max="4375" width="13.5546875" style="345" customWidth="1"/>
    <col min="4376" max="4376" width="10.5546875" style="345" customWidth="1"/>
    <col min="4377" max="4377" width="11.33203125" style="345" customWidth="1"/>
    <col min="4378" max="4378" width="8.6640625" style="345" customWidth="1"/>
    <col min="4379" max="4379" width="9" style="345" customWidth="1"/>
    <col min="4380" max="4380" width="6.6640625" style="345" customWidth="1"/>
    <col min="4381" max="4381" width="11.44140625" style="345" customWidth="1"/>
    <col min="4382" max="4382" width="12.33203125" style="345" customWidth="1"/>
    <col min="4383" max="4383" width="11.33203125" style="345" customWidth="1"/>
    <col min="4384" max="4384" width="12.44140625" style="345" customWidth="1"/>
    <col min="4385" max="4385" width="13" style="345" customWidth="1"/>
    <col min="4386" max="4386" width="9.5546875" style="345" customWidth="1"/>
    <col min="4387" max="4387" width="11.44140625" style="345" customWidth="1"/>
    <col min="4388" max="4617" width="9.109375" style="345"/>
    <col min="4618" max="4618" width="9.44140625" style="345" customWidth="1"/>
    <col min="4619" max="4619" width="31.44140625" style="345" customWidth="1"/>
    <col min="4620" max="4625" width="0" style="345" hidden="1" customWidth="1"/>
    <col min="4626" max="4626" width="8.6640625" style="345" customWidth="1"/>
    <col min="4627" max="4627" width="8.109375" style="345" customWidth="1"/>
    <col min="4628" max="4628" width="14.44140625" style="345" customWidth="1"/>
    <col min="4629" max="4629" width="13.33203125" style="345" customWidth="1"/>
    <col min="4630" max="4630" width="9.6640625" style="345" customWidth="1"/>
    <col min="4631" max="4631" width="13.5546875" style="345" customWidth="1"/>
    <col min="4632" max="4632" width="10.5546875" style="345" customWidth="1"/>
    <col min="4633" max="4633" width="11.33203125" style="345" customWidth="1"/>
    <col min="4634" max="4634" width="8.6640625" style="345" customWidth="1"/>
    <col min="4635" max="4635" width="9" style="345" customWidth="1"/>
    <col min="4636" max="4636" width="6.6640625" style="345" customWidth="1"/>
    <col min="4637" max="4637" width="11.44140625" style="345" customWidth="1"/>
    <col min="4638" max="4638" width="12.33203125" style="345" customWidth="1"/>
    <col min="4639" max="4639" width="11.33203125" style="345" customWidth="1"/>
    <col min="4640" max="4640" width="12.44140625" style="345" customWidth="1"/>
    <col min="4641" max="4641" width="13" style="345" customWidth="1"/>
    <col min="4642" max="4642" width="9.5546875" style="345" customWidth="1"/>
    <col min="4643" max="4643" width="11.44140625" style="345" customWidth="1"/>
    <col min="4644" max="4873" width="9.109375" style="345"/>
    <col min="4874" max="4874" width="9.44140625" style="345" customWidth="1"/>
    <col min="4875" max="4875" width="31.44140625" style="345" customWidth="1"/>
    <col min="4876" max="4881" width="0" style="345" hidden="1" customWidth="1"/>
    <col min="4882" max="4882" width="8.6640625" style="345" customWidth="1"/>
    <col min="4883" max="4883" width="8.109375" style="345" customWidth="1"/>
    <col min="4884" max="4884" width="14.44140625" style="345" customWidth="1"/>
    <col min="4885" max="4885" width="13.33203125" style="345" customWidth="1"/>
    <col min="4886" max="4886" width="9.6640625" style="345" customWidth="1"/>
    <col min="4887" max="4887" width="13.5546875" style="345" customWidth="1"/>
    <col min="4888" max="4888" width="10.5546875" style="345" customWidth="1"/>
    <col min="4889" max="4889" width="11.33203125" style="345" customWidth="1"/>
    <col min="4890" max="4890" width="8.6640625" style="345" customWidth="1"/>
    <col min="4891" max="4891" width="9" style="345" customWidth="1"/>
    <col min="4892" max="4892" width="6.6640625" style="345" customWidth="1"/>
    <col min="4893" max="4893" width="11.44140625" style="345" customWidth="1"/>
    <col min="4894" max="4894" width="12.33203125" style="345" customWidth="1"/>
    <col min="4895" max="4895" width="11.33203125" style="345" customWidth="1"/>
    <col min="4896" max="4896" width="12.44140625" style="345" customWidth="1"/>
    <col min="4897" max="4897" width="13" style="345" customWidth="1"/>
    <col min="4898" max="4898" width="9.5546875" style="345" customWidth="1"/>
    <col min="4899" max="4899" width="11.44140625" style="345" customWidth="1"/>
    <col min="4900" max="5129" width="9.109375" style="345"/>
    <col min="5130" max="5130" width="9.44140625" style="345" customWidth="1"/>
    <col min="5131" max="5131" width="31.44140625" style="345" customWidth="1"/>
    <col min="5132" max="5137" width="0" style="345" hidden="1" customWidth="1"/>
    <col min="5138" max="5138" width="8.6640625" style="345" customWidth="1"/>
    <col min="5139" max="5139" width="8.109375" style="345" customWidth="1"/>
    <col min="5140" max="5140" width="14.44140625" style="345" customWidth="1"/>
    <col min="5141" max="5141" width="13.33203125" style="345" customWidth="1"/>
    <col min="5142" max="5142" width="9.6640625" style="345" customWidth="1"/>
    <col min="5143" max="5143" width="13.5546875" style="345" customWidth="1"/>
    <col min="5144" max="5144" width="10.5546875" style="345" customWidth="1"/>
    <col min="5145" max="5145" width="11.33203125" style="345" customWidth="1"/>
    <col min="5146" max="5146" width="8.6640625" style="345" customWidth="1"/>
    <col min="5147" max="5147" width="9" style="345" customWidth="1"/>
    <col min="5148" max="5148" width="6.6640625" style="345" customWidth="1"/>
    <col min="5149" max="5149" width="11.44140625" style="345" customWidth="1"/>
    <col min="5150" max="5150" width="12.33203125" style="345" customWidth="1"/>
    <col min="5151" max="5151" width="11.33203125" style="345" customWidth="1"/>
    <col min="5152" max="5152" width="12.44140625" style="345" customWidth="1"/>
    <col min="5153" max="5153" width="13" style="345" customWidth="1"/>
    <col min="5154" max="5154" width="9.5546875" style="345" customWidth="1"/>
    <col min="5155" max="5155" width="11.44140625" style="345" customWidth="1"/>
    <col min="5156" max="5385" width="9.109375" style="345"/>
    <col min="5386" max="5386" width="9.44140625" style="345" customWidth="1"/>
    <col min="5387" max="5387" width="31.44140625" style="345" customWidth="1"/>
    <col min="5388" max="5393" width="0" style="345" hidden="1" customWidth="1"/>
    <col min="5394" max="5394" width="8.6640625" style="345" customWidth="1"/>
    <col min="5395" max="5395" width="8.109375" style="345" customWidth="1"/>
    <col min="5396" max="5396" width="14.44140625" style="345" customWidth="1"/>
    <col min="5397" max="5397" width="13.33203125" style="345" customWidth="1"/>
    <col min="5398" max="5398" width="9.6640625" style="345" customWidth="1"/>
    <col min="5399" max="5399" width="13.5546875" style="345" customWidth="1"/>
    <col min="5400" max="5400" width="10.5546875" style="345" customWidth="1"/>
    <col min="5401" max="5401" width="11.33203125" style="345" customWidth="1"/>
    <col min="5402" max="5402" width="8.6640625" style="345" customWidth="1"/>
    <col min="5403" max="5403" width="9" style="345" customWidth="1"/>
    <col min="5404" max="5404" width="6.6640625" style="345" customWidth="1"/>
    <col min="5405" max="5405" width="11.44140625" style="345" customWidth="1"/>
    <col min="5406" max="5406" width="12.33203125" style="345" customWidth="1"/>
    <col min="5407" max="5407" width="11.33203125" style="345" customWidth="1"/>
    <col min="5408" max="5408" width="12.44140625" style="345" customWidth="1"/>
    <col min="5409" max="5409" width="13" style="345" customWidth="1"/>
    <col min="5410" max="5410" width="9.5546875" style="345" customWidth="1"/>
    <col min="5411" max="5411" width="11.44140625" style="345" customWidth="1"/>
    <col min="5412" max="5641" width="9.109375" style="345"/>
    <col min="5642" max="5642" width="9.44140625" style="345" customWidth="1"/>
    <col min="5643" max="5643" width="31.44140625" style="345" customWidth="1"/>
    <col min="5644" max="5649" width="0" style="345" hidden="1" customWidth="1"/>
    <col min="5650" max="5650" width="8.6640625" style="345" customWidth="1"/>
    <col min="5651" max="5651" width="8.109375" style="345" customWidth="1"/>
    <col min="5652" max="5652" width="14.44140625" style="345" customWidth="1"/>
    <col min="5653" max="5653" width="13.33203125" style="345" customWidth="1"/>
    <col min="5654" max="5654" width="9.6640625" style="345" customWidth="1"/>
    <col min="5655" max="5655" width="13.5546875" style="345" customWidth="1"/>
    <col min="5656" max="5656" width="10.5546875" style="345" customWidth="1"/>
    <col min="5657" max="5657" width="11.33203125" style="345" customWidth="1"/>
    <col min="5658" max="5658" width="8.6640625" style="345" customWidth="1"/>
    <col min="5659" max="5659" width="9" style="345" customWidth="1"/>
    <col min="5660" max="5660" width="6.6640625" style="345" customWidth="1"/>
    <col min="5661" max="5661" width="11.44140625" style="345" customWidth="1"/>
    <col min="5662" max="5662" width="12.33203125" style="345" customWidth="1"/>
    <col min="5663" max="5663" width="11.33203125" style="345" customWidth="1"/>
    <col min="5664" max="5664" width="12.44140625" style="345" customWidth="1"/>
    <col min="5665" max="5665" width="13" style="345" customWidth="1"/>
    <col min="5666" max="5666" width="9.5546875" style="345" customWidth="1"/>
    <col min="5667" max="5667" width="11.44140625" style="345" customWidth="1"/>
    <col min="5668" max="5897" width="9.109375" style="345"/>
    <col min="5898" max="5898" width="9.44140625" style="345" customWidth="1"/>
    <col min="5899" max="5899" width="31.44140625" style="345" customWidth="1"/>
    <col min="5900" max="5905" width="0" style="345" hidden="1" customWidth="1"/>
    <col min="5906" max="5906" width="8.6640625" style="345" customWidth="1"/>
    <col min="5907" max="5907" width="8.109375" style="345" customWidth="1"/>
    <col min="5908" max="5908" width="14.44140625" style="345" customWidth="1"/>
    <col min="5909" max="5909" width="13.33203125" style="345" customWidth="1"/>
    <col min="5910" max="5910" width="9.6640625" style="345" customWidth="1"/>
    <col min="5911" max="5911" width="13.5546875" style="345" customWidth="1"/>
    <col min="5912" max="5912" width="10.5546875" style="345" customWidth="1"/>
    <col min="5913" max="5913" width="11.33203125" style="345" customWidth="1"/>
    <col min="5914" max="5914" width="8.6640625" style="345" customWidth="1"/>
    <col min="5915" max="5915" width="9" style="345" customWidth="1"/>
    <col min="5916" max="5916" width="6.6640625" style="345" customWidth="1"/>
    <col min="5917" max="5917" width="11.44140625" style="345" customWidth="1"/>
    <col min="5918" max="5918" width="12.33203125" style="345" customWidth="1"/>
    <col min="5919" max="5919" width="11.33203125" style="345" customWidth="1"/>
    <col min="5920" max="5920" width="12.44140625" style="345" customWidth="1"/>
    <col min="5921" max="5921" width="13" style="345" customWidth="1"/>
    <col min="5922" max="5922" width="9.5546875" style="345" customWidth="1"/>
    <col min="5923" max="5923" width="11.44140625" style="345" customWidth="1"/>
    <col min="5924" max="6153" width="9.109375" style="345"/>
    <col min="6154" max="6154" width="9.44140625" style="345" customWidth="1"/>
    <col min="6155" max="6155" width="31.44140625" style="345" customWidth="1"/>
    <col min="6156" max="6161" width="0" style="345" hidden="1" customWidth="1"/>
    <col min="6162" max="6162" width="8.6640625" style="345" customWidth="1"/>
    <col min="6163" max="6163" width="8.109375" style="345" customWidth="1"/>
    <col min="6164" max="6164" width="14.44140625" style="345" customWidth="1"/>
    <col min="6165" max="6165" width="13.33203125" style="345" customWidth="1"/>
    <col min="6166" max="6166" width="9.6640625" style="345" customWidth="1"/>
    <col min="6167" max="6167" width="13.5546875" style="345" customWidth="1"/>
    <col min="6168" max="6168" width="10.5546875" style="345" customWidth="1"/>
    <col min="6169" max="6169" width="11.33203125" style="345" customWidth="1"/>
    <col min="6170" max="6170" width="8.6640625" style="345" customWidth="1"/>
    <col min="6171" max="6171" width="9" style="345" customWidth="1"/>
    <col min="6172" max="6172" width="6.6640625" style="345" customWidth="1"/>
    <col min="6173" max="6173" width="11.44140625" style="345" customWidth="1"/>
    <col min="6174" max="6174" width="12.33203125" style="345" customWidth="1"/>
    <col min="6175" max="6175" width="11.33203125" style="345" customWidth="1"/>
    <col min="6176" max="6176" width="12.44140625" style="345" customWidth="1"/>
    <col min="6177" max="6177" width="13" style="345" customWidth="1"/>
    <col min="6178" max="6178" width="9.5546875" style="345" customWidth="1"/>
    <col min="6179" max="6179" width="11.44140625" style="345" customWidth="1"/>
    <col min="6180" max="6409" width="9.109375" style="345"/>
    <col min="6410" max="6410" width="9.44140625" style="345" customWidth="1"/>
    <col min="6411" max="6411" width="31.44140625" style="345" customWidth="1"/>
    <col min="6412" max="6417" width="0" style="345" hidden="1" customWidth="1"/>
    <col min="6418" max="6418" width="8.6640625" style="345" customWidth="1"/>
    <col min="6419" max="6419" width="8.109375" style="345" customWidth="1"/>
    <col min="6420" max="6420" width="14.44140625" style="345" customWidth="1"/>
    <col min="6421" max="6421" width="13.33203125" style="345" customWidth="1"/>
    <col min="6422" max="6422" width="9.6640625" style="345" customWidth="1"/>
    <col min="6423" max="6423" width="13.5546875" style="345" customWidth="1"/>
    <col min="6424" max="6424" width="10.5546875" style="345" customWidth="1"/>
    <col min="6425" max="6425" width="11.33203125" style="345" customWidth="1"/>
    <col min="6426" max="6426" width="8.6640625" style="345" customWidth="1"/>
    <col min="6427" max="6427" width="9" style="345" customWidth="1"/>
    <col min="6428" max="6428" width="6.6640625" style="345" customWidth="1"/>
    <col min="6429" max="6429" width="11.44140625" style="345" customWidth="1"/>
    <col min="6430" max="6430" width="12.33203125" style="345" customWidth="1"/>
    <col min="6431" max="6431" width="11.33203125" style="345" customWidth="1"/>
    <col min="6432" max="6432" width="12.44140625" style="345" customWidth="1"/>
    <col min="6433" max="6433" width="13" style="345" customWidth="1"/>
    <col min="6434" max="6434" width="9.5546875" style="345" customWidth="1"/>
    <col min="6435" max="6435" width="11.44140625" style="345" customWidth="1"/>
    <col min="6436" max="6665" width="9.109375" style="345"/>
    <col min="6666" max="6666" width="9.44140625" style="345" customWidth="1"/>
    <col min="6667" max="6667" width="31.44140625" style="345" customWidth="1"/>
    <col min="6668" max="6673" width="0" style="345" hidden="1" customWidth="1"/>
    <col min="6674" max="6674" width="8.6640625" style="345" customWidth="1"/>
    <col min="6675" max="6675" width="8.109375" style="345" customWidth="1"/>
    <col min="6676" max="6676" width="14.44140625" style="345" customWidth="1"/>
    <col min="6677" max="6677" width="13.33203125" style="345" customWidth="1"/>
    <col min="6678" max="6678" width="9.6640625" style="345" customWidth="1"/>
    <col min="6679" max="6679" width="13.5546875" style="345" customWidth="1"/>
    <col min="6680" max="6680" width="10.5546875" style="345" customWidth="1"/>
    <col min="6681" max="6681" width="11.33203125" style="345" customWidth="1"/>
    <col min="6682" max="6682" width="8.6640625" style="345" customWidth="1"/>
    <col min="6683" max="6683" width="9" style="345" customWidth="1"/>
    <col min="6684" max="6684" width="6.6640625" style="345" customWidth="1"/>
    <col min="6685" max="6685" width="11.44140625" style="345" customWidth="1"/>
    <col min="6686" max="6686" width="12.33203125" style="345" customWidth="1"/>
    <col min="6687" max="6687" width="11.33203125" style="345" customWidth="1"/>
    <col min="6688" max="6688" width="12.44140625" style="345" customWidth="1"/>
    <col min="6689" max="6689" width="13" style="345" customWidth="1"/>
    <col min="6690" max="6690" width="9.5546875" style="345" customWidth="1"/>
    <col min="6691" max="6691" width="11.44140625" style="345" customWidth="1"/>
    <col min="6692" max="6921" width="9.109375" style="345"/>
    <col min="6922" max="6922" width="9.44140625" style="345" customWidth="1"/>
    <col min="6923" max="6923" width="31.44140625" style="345" customWidth="1"/>
    <col min="6924" max="6929" width="0" style="345" hidden="1" customWidth="1"/>
    <col min="6930" max="6930" width="8.6640625" style="345" customWidth="1"/>
    <col min="6931" max="6931" width="8.109375" style="345" customWidth="1"/>
    <col min="6932" max="6932" width="14.44140625" style="345" customWidth="1"/>
    <col min="6933" max="6933" width="13.33203125" style="345" customWidth="1"/>
    <col min="6934" max="6934" width="9.6640625" style="345" customWidth="1"/>
    <col min="6935" max="6935" width="13.5546875" style="345" customWidth="1"/>
    <col min="6936" max="6936" width="10.5546875" style="345" customWidth="1"/>
    <col min="6937" max="6937" width="11.33203125" style="345" customWidth="1"/>
    <col min="6938" max="6938" width="8.6640625" style="345" customWidth="1"/>
    <col min="6939" max="6939" width="9" style="345" customWidth="1"/>
    <col min="6940" max="6940" width="6.6640625" style="345" customWidth="1"/>
    <col min="6941" max="6941" width="11.44140625" style="345" customWidth="1"/>
    <col min="6942" max="6942" width="12.33203125" style="345" customWidth="1"/>
    <col min="6943" max="6943" width="11.33203125" style="345" customWidth="1"/>
    <col min="6944" max="6944" width="12.44140625" style="345" customWidth="1"/>
    <col min="6945" max="6945" width="13" style="345" customWidth="1"/>
    <col min="6946" max="6946" width="9.5546875" style="345" customWidth="1"/>
    <col min="6947" max="6947" width="11.44140625" style="345" customWidth="1"/>
    <col min="6948" max="7177" width="9.109375" style="345"/>
    <col min="7178" max="7178" width="9.44140625" style="345" customWidth="1"/>
    <col min="7179" max="7179" width="31.44140625" style="345" customWidth="1"/>
    <col min="7180" max="7185" width="0" style="345" hidden="1" customWidth="1"/>
    <col min="7186" max="7186" width="8.6640625" style="345" customWidth="1"/>
    <col min="7187" max="7187" width="8.109375" style="345" customWidth="1"/>
    <col min="7188" max="7188" width="14.44140625" style="345" customWidth="1"/>
    <col min="7189" max="7189" width="13.33203125" style="345" customWidth="1"/>
    <col min="7190" max="7190" width="9.6640625" style="345" customWidth="1"/>
    <col min="7191" max="7191" width="13.5546875" style="345" customWidth="1"/>
    <col min="7192" max="7192" width="10.5546875" style="345" customWidth="1"/>
    <col min="7193" max="7193" width="11.33203125" style="345" customWidth="1"/>
    <col min="7194" max="7194" width="8.6640625" style="345" customWidth="1"/>
    <col min="7195" max="7195" width="9" style="345" customWidth="1"/>
    <col min="7196" max="7196" width="6.6640625" style="345" customWidth="1"/>
    <col min="7197" max="7197" width="11.44140625" style="345" customWidth="1"/>
    <col min="7198" max="7198" width="12.33203125" style="345" customWidth="1"/>
    <col min="7199" max="7199" width="11.33203125" style="345" customWidth="1"/>
    <col min="7200" max="7200" width="12.44140625" style="345" customWidth="1"/>
    <col min="7201" max="7201" width="13" style="345" customWidth="1"/>
    <col min="7202" max="7202" width="9.5546875" style="345" customWidth="1"/>
    <col min="7203" max="7203" width="11.44140625" style="345" customWidth="1"/>
    <col min="7204" max="7433" width="9.109375" style="345"/>
    <col min="7434" max="7434" width="9.44140625" style="345" customWidth="1"/>
    <col min="7435" max="7435" width="31.44140625" style="345" customWidth="1"/>
    <col min="7436" max="7441" width="0" style="345" hidden="1" customWidth="1"/>
    <col min="7442" max="7442" width="8.6640625" style="345" customWidth="1"/>
    <col min="7443" max="7443" width="8.109375" style="345" customWidth="1"/>
    <col min="7444" max="7444" width="14.44140625" style="345" customWidth="1"/>
    <col min="7445" max="7445" width="13.33203125" style="345" customWidth="1"/>
    <col min="7446" max="7446" width="9.6640625" style="345" customWidth="1"/>
    <col min="7447" max="7447" width="13.5546875" style="345" customWidth="1"/>
    <col min="7448" max="7448" width="10.5546875" style="345" customWidth="1"/>
    <col min="7449" max="7449" width="11.33203125" style="345" customWidth="1"/>
    <col min="7450" max="7450" width="8.6640625" style="345" customWidth="1"/>
    <col min="7451" max="7451" width="9" style="345" customWidth="1"/>
    <col min="7452" max="7452" width="6.6640625" style="345" customWidth="1"/>
    <col min="7453" max="7453" width="11.44140625" style="345" customWidth="1"/>
    <col min="7454" max="7454" width="12.33203125" style="345" customWidth="1"/>
    <col min="7455" max="7455" width="11.33203125" style="345" customWidth="1"/>
    <col min="7456" max="7456" width="12.44140625" style="345" customWidth="1"/>
    <col min="7457" max="7457" width="13" style="345" customWidth="1"/>
    <col min="7458" max="7458" width="9.5546875" style="345" customWidth="1"/>
    <col min="7459" max="7459" width="11.44140625" style="345" customWidth="1"/>
    <col min="7460" max="7689" width="9.109375" style="345"/>
    <col min="7690" max="7690" width="9.44140625" style="345" customWidth="1"/>
    <col min="7691" max="7691" width="31.44140625" style="345" customWidth="1"/>
    <col min="7692" max="7697" width="0" style="345" hidden="1" customWidth="1"/>
    <col min="7698" max="7698" width="8.6640625" style="345" customWidth="1"/>
    <col min="7699" max="7699" width="8.109375" style="345" customWidth="1"/>
    <col min="7700" max="7700" width="14.44140625" style="345" customWidth="1"/>
    <col min="7701" max="7701" width="13.33203125" style="345" customWidth="1"/>
    <col min="7702" max="7702" width="9.6640625" style="345" customWidth="1"/>
    <col min="7703" max="7703" width="13.5546875" style="345" customWidth="1"/>
    <col min="7704" max="7704" width="10.5546875" style="345" customWidth="1"/>
    <col min="7705" max="7705" width="11.33203125" style="345" customWidth="1"/>
    <col min="7706" max="7706" width="8.6640625" style="345" customWidth="1"/>
    <col min="7707" max="7707" width="9" style="345" customWidth="1"/>
    <col min="7708" max="7708" width="6.6640625" style="345" customWidth="1"/>
    <col min="7709" max="7709" width="11.44140625" style="345" customWidth="1"/>
    <col min="7710" max="7710" width="12.33203125" style="345" customWidth="1"/>
    <col min="7711" max="7711" width="11.33203125" style="345" customWidth="1"/>
    <col min="7712" max="7712" width="12.44140625" style="345" customWidth="1"/>
    <col min="7713" max="7713" width="13" style="345" customWidth="1"/>
    <col min="7714" max="7714" width="9.5546875" style="345" customWidth="1"/>
    <col min="7715" max="7715" width="11.44140625" style="345" customWidth="1"/>
    <col min="7716" max="7945" width="9.109375" style="345"/>
    <col min="7946" max="7946" width="9.44140625" style="345" customWidth="1"/>
    <col min="7947" max="7947" width="31.44140625" style="345" customWidth="1"/>
    <col min="7948" max="7953" width="0" style="345" hidden="1" customWidth="1"/>
    <col min="7954" max="7954" width="8.6640625" style="345" customWidth="1"/>
    <col min="7955" max="7955" width="8.109375" style="345" customWidth="1"/>
    <col min="7956" max="7956" width="14.44140625" style="345" customWidth="1"/>
    <col min="7957" max="7957" width="13.33203125" style="345" customWidth="1"/>
    <col min="7958" max="7958" width="9.6640625" style="345" customWidth="1"/>
    <col min="7959" max="7959" width="13.5546875" style="345" customWidth="1"/>
    <col min="7960" max="7960" width="10.5546875" style="345" customWidth="1"/>
    <col min="7961" max="7961" width="11.33203125" style="345" customWidth="1"/>
    <col min="7962" max="7962" width="8.6640625" style="345" customWidth="1"/>
    <col min="7963" max="7963" width="9" style="345" customWidth="1"/>
    <col min="7964" max="7964" width="6.6640625" style="345" customWidth="1"/>
    <col min="7965" max="7965" width="11.44140625" style="345" customWidth="1"/>
    <col min="7966" max="7966" width="12.33203125" style="345" customWidth="1"/>
    <col min="7967" max="7967" width="11.33203125" style="345" customWidth="1"/>
    <col min="7968" max="7968" width="12.44140625" style="345" customWidth="1"/>
    <col min="7969" max="7969" width="13" style="345" customWidth="1"/>
    <col min="7970" max="7970" width="9.5546875" style="345" customWidth="1"/>
    <col min="7971" max="7971" width="11.44140625" style="345" customWidth="1"/>
    <col min="7972" max="8201" width="9.109375" style="345"/>
    <col min="8202" max="8202" width="9.44140625" style="345" customWidth="1"/>
    <col min="8203" max="8203" width="31.44140625" style="345" customWidth="1"/>
    <col min="8204" max="8209" width="0" style="345" hidden="1" customWidth="1"/>
    <col min="8210" max="8210" width="8.6640625" style="345" customWidth="1"/>
    <col min="8211" max="8211" width="8.109375" style="345" customWidth="1"/>
    <col min="8212" max="8212" width="14.44140625" style="345" customWidth="1"/>
    <col min="8213" max="8213" width="13.33203125" style="345" customWidth="1"/>
    <col min="8214" max="8214" width="9.6640625" style="345" customWidth="1"/>
    <col min="8215" max="8215" width="13.5546875" style="345" customWidth="1"/>
    <col min="8216" max="8216" width="10.5546875" style="345" customWidth="1"/>
    <col min="8217" max="8217" width="11.33203125" style="345" customWidth="1"/>
    <col min="8218" max="8218" width="8.6640625" style="345" customWidth="1"/>
    <col min="8219" max="8219" width="9" style="345" customWidth="1"/>
    <col min="8220" max="8220" width="6.6640625" style="345" customWidth="1"/>
    <col min="8221" max="8221" width="11.44140625" style="345" customWidth="1"/>
    <col min="8222" max="8222" width="12.33203125" style="345" customWidth="1"/>
    <col min="8223" max="8223" width="11.33203125" style="345" customWidth="1"/>
    <col min="8224" max="8224" width="12.44140625" style="345" customWidth="1"/>
    <col min="8225" max="8225" width="13" style="345" customWidth="1"/>
    <col min="8226" max="8226" width="9.5546875" style="345" customWidth="1"/>
    <col min="8227" max="8227" width="11.44140625" style="345" customWidth="1"/>
    <col min="8228" max="8457" width="9.109375" style="345"/>
    <col min="8458" max="8458" width="9.44140625" style="345" customWidth="1"/>
    <col min="8459" max="8459" width="31.44140625" style="345" customWidth="1"/>
    <col min="8460" max="8465" width="0" style="345" hidden="1" customWidth="1"/>
    <col min="8466" max="8466" width="8.6640625" style="345" customWidth="1"/>
    <col min="8467" max="8467" width="8.109375" style="345" customWidth="1"/>
    <col min="8468" max="8468" width="14.44140625" style="345" customWidth="1"/>
    <col min="8469" max="8469" width="13.33203125" style="345" customWidth="1"/>
    <col min="8470" max="8470" width="9.6640625" style="345" customWidth="1"/>
    <col min="8471" max="8471" width="13.5546875" style="345" customWidth="1"/>
    <col min="8472" max="8472" width="10.5546875" style="345" customWidth="1"/>
    <col min="8473" max="8473" width="11.33203125" style="345" customWidth="1"/>
    <col min="8474" max="8474" width="8.6640625" style="345" customWidth="1"/>
    <col min="8475" max="8475" width="9" style="345" customWidth="1"/>
    <col min="8476" max="8476" width="6.6640625" style="345" customWidth="1"/>
    <col min="8477" max="8477" width="11.44140625" style="345" customWidth="1"/>
    <col min="8478" max="8478" width="12.33203125" style="345" customWidth="1"/>
    <col min="8479" max="8479" width="11.33203125" style="345" customWidth="1"/>
    <col min="8480" max="8480" width="12.44140625" style="345" customWidth="1"/>
    <col min="8481" max="8481" width="13" style="345" customWidth="1"/>
    <col min="8482" max="8482" width="9.5546875" style="345" customWidth="1"/>
    <col min="8483" max="8483" width="11.44140625" style="345" customWidth="1"/>
    <col min="8484" max="8713" width="9.109375" style="345"/>
    <col min="8714" max="8714" width="9.44140625" style="345" customWidth="1"/>
    <col min="8715" max="8715" width="31.44140625" style="345" customWidth="1"/>
    <col min="8716" max="8721" width="0" style="345" hidden="1" customWidth="1"/>
    <col min="8722" max="8722" width="8.6640625" style="345" customWidth="1"/>
    <col min="8723" max="8723" width="8.109375" style="345" customWidth="1"/>
    <col min="8724" max="8724" width="14.44140625" style="345" customWidth="1"/>
    <col min="8725" max="8725" width="13.33203125" style="345" customWidth="1"/>
    <col min="8726" max="8726" width="9.6640625" style="345" customWidth="1"/>
    <col min="8727" max="8727" width="13.5546875" style="345" customWidth="1"/>
    <col min="8728" max="8728" width="10.5546875" style="345" customWidth="1"/>
    <col min="8729" max="8729" width="11.33203125" style="345" customWidth="1"/>
    <col min="8730" max="8730" width="8.6640625" style="345" customWidth="1"/>
    <col min="8731" max="8731" width="9" style="345" customWidth="1"/>
    <col min="8732" max="8732" width="6.6640625" style="345" customWidth="1"/>
    <col min="8733" max="8733" width="11.44140625" style="345" customWidth="1"/>
    <col min="8734" max="8734" width="12.33203125" style="345" customWidth="1"/>
    <col min="8735" max="8735" width="11.33203125" style="345" customWidth="1"/>
    <col min="8736" max="8736" width="12.44140625" style="345" customWidth="1"/>
    <col min="8737" max="8737" width="13" style="345" customWidth="1"/>
    <col min="8738" max="8738" width="9.5546875" style="345" customWidth="1"/>
    <col min="8739" max="8739" width="11.44140625" style="345" customWidth="1"/>
    <col min="8740" max="8969" width="9.109375" style="345"/>
    <col min="8970" max="8970" width="9.44140625" style="345" customWidth="1"/>
    <col min="8971" max="8971" width="31.44140625" style="345" customWidth="1"/>
    <col min="8972" max="8977" width="0" style="345" hidden="1" customWidth="1"/>
    <col min="8978" max="8978" width="8.6640625" style="345" customWidth="1"/>
    <col min="8979" max="8979" width="8.109375" style="345" customWidth="1"/>
    <col min="8980" max="8980" width="14.44140625" style="345" customWidth="1"/>
    <col min="8981" max="8981" width="13.33203125" style="345" customWidth="1"/>
    <col min="8982" max="8982" width="9.6640625" style="345" customWidth="1"/>
    <col min="8983" max="8983" width="13.5546875" style="345" customWidth="1"/>
    <col min="8984" max="8984" width="10.5546875" style="345" customWidth="1"/>
    <col min="8985" max="8985" width="11.33203125" style="345" customWidth="1"/>
    <col min="8986" max="8986" width="8.6640625" style="345" customWidth="1"/>
    <col min="8987" max="8987" width="9" style="345" customWidth="1"/>
    <col min="8988" max="8988" width="6.6640625" style="345" customWidth="1"/>
    <col min="8989" max="8989" width="11.44140625" style="345" customWidth="1"/>
    <col min="8990" max="8990" width="12.33203125" style="345" customWidth="1"/>
    <col min="8991" max="8991" width="11.33203125" style="345" customWidth="1"/>
    <col min="8992" max="8992" width="12.44140625" style="345" customWidth="1"/>
    <col min="8993" max="8993" width="13" style="345" customWidth="1"/>
    <col min="8994" max="8994" width="9.5546875" style="345" customWidth="1"/>
    <col min="8995" max="8995" width="11.44140625" style="345" customWidth="1"/>
    <col min="8996" max="9225" width="9.109375" style="345"/>
    <col min="9226" max="9226" width="9.44140625" style="345" customWidth="1"/>
    <col min="9227" max="9227" width="31.44140625" style="345" customWidth="1"/>
    <col min="9228" max="9233" width="0" style="345" hidden="1" customWidth="1"/>
    <col min="9234" max="9234" width="8.6640625" style="345" customWidth="1"/>
    <col min="9235" max="9235" width="8.109375" style="345" customWidth="1"/>
    <col min="9236" max="9236" width="14.44140625" style="345" customWidth="1"/>
    <col min="9237" max="9237" width="13.33203125" style="345" customWidth="1"/>
    <col min="9238" max="9238" width="9.6640625" style="345" customWidth="1"/>
    <col min="9239" max="9239" width="13.5546875" style="345" customWidth="1"/>
    <col min="9240" max="9240" width="10.5546875" style="345" customWidth="1"/>
    <col min="9241" max="9241" width="11.33203125" style="345" customWidth="1"/>
    <col min="9242" max="9242" width="8.6640625" style="345" customWidth="1"/>
    <col min="9243" max="9243" width="9" style="345" customWidth="1"/>
    <col min="9244" max="9244" width="6.6640625" style="345" customWidth="1"/>
    <col min="9245" max="9245" width="11.44140625" style="345" customWidth="1"/>
    <col min="9246" max="9246" width="12.33203125" style="345" customWidth="1"/>
    <col min="9247" max="9247" width="11.33203125" style="345" customWidth="1"/>
    <col min="9248" max="9248" width="12.44140625" style="345" customWidth="1"/>
    <col min="9249" max="9249" width="13" style="345" customWidth="1"/>
    <col min="9250" max="9250" width="9.5546875" style="345" customWidth="1"/>
    <col min="9251" max="9251" width="11.44140625" style="345" customWidth="1"/>
    <col min="9252" max="9481" width="9.109375" style="345"/>
    <col min="9482" max="9482" width="9.44140625" style="345" customWidth="1"/>
    <col min="9483" max="9483" width="31.44140625" style="345" customWidth="1"/>
    <col min="9484" max="9489" width="0" style="345" hidden="1" customWidth="1"/>
    <col min="9490" max="9490" width="8.6640625" style="345" customWidth="1"/>
    <col min="9491" max="9491" width="8.109375" style="345" customWidth="1"/>
    <col min="9492" max="9492" width="14.44140625" style="345" customWidth="1"/>
    <col min="9493" max="9493" width="13.33203125" style="345" customWidth="1"/>
    <col min="9494" max="9494" width="9.6640625" style="345" customWidth="1"/>
    <col min="9495" max="9495" width="13.5546875" style="345" customWidth="1"/>
    <col min="9496" max="9496" width="10.5546875" style="345" customWidth="1"/>
    <col min="9497" max="9497" width="11.33203125" style="345" customWidth="1"/>
    <col min="9498" max="9498" width="8.6640625" style="345" customWidth="1"/>
    <col min="9499" max="9499" width="9" style="345" customWidth="1"/>
    <col min="9500" max="9500" width="6.6640625" style="345" customWidth="1"/>
    <col min="9501" max="9501" width="11.44140625" style="345" customWidth="1"/>
    <col min="9502" max="9502" width="12.33203125" style="345" customWidth="1"/>
    <col min="9503" max="9503" width="11.33203125" style="345" customWidth="1"/>
    <col min="9504" max="9504" width="12.44140625" style="345" customWidth="1"/>
    <col min="9505" max="9505" width="13" style="345" customWidth="1"/>
    <col min="9506" max="9506" width="9.5546875" style="345" customWidth="1"/>
    <col min="9507" max="9507" width="11.44140625" style="345" customWidth="1"/>
    <col min="9508" max="9737" width="9.109375" style="345"/>
    <col min="9738" max="9738" width="9.44140625" style="345" customWidth="1"/>
    <col min="9739" max="9739" width="31.44140625" style="345" customWidth="1"/>
    <col min="9740" max="9745" width="0" style="345" hidden="1" customWidth="1"/>
    <col min="9746" max="9746" width="8.6640625" style="345" customWidth="1"/>
    <col min="9747" max="9747" width="8.109375" style="345" customWidth="1"/>
    <col min="9748" max="9748" width="14.44140625" style="345" customWidth="1"/>
    <col min="9749" max="9749" width="13.33203125" style="345" customWidth="1"/>
    <col min="9750" max="9750" width="9.6640625" style="345" customWidth="1"/>
    <col min="9751" max="9751" width="13.5546875" style="345" customWidth="1"/>
    <col min="9752" max="9752" width="10.5546875" style="345" customWidth="1"/>
    <col min="9753" max="9753" width="11.33203125" style="345" customWidth="1"/>
    <col min="9754" max="9754" width="8.6640625" style="345" customWidth="1"/>
    <col min="9755" max="9755" width="9" style="345" customWidth="1"/>
    <col min="9756" max="9756" width="6.6640625" style="345" customWidth="1"/>
    <col min="9757" max="9757" width="11.44140625" style="345" customWidth="1"/>
    <col min="9758" max="9758" width="12.33203125" style="345" customWidth="1"/>
    <col min="9759" max="9759" width="11.33203125" style="345" customWidth="1"/>
    <col min="9760" max="9760" width="12.44140625" style="345" customWidth="1"/>
    <col min="9761" max="9761" width="13" style="345" customWidth="1"/>
    <col min="9762" max="9762" width="9.5546875" style="345" customWidth="1"/>
    <col min="9763" max="9763" width="11.44140625" style="345" customWidth="1"/>
    <col min="9764" max="9993" width="9.109375" style="345"/>
    <col min="9994" max="9994" width="9.44140625" style="345" customWidth="1"/>
    <col min="9995" max="9995" width="31.44140625" style="345" customWidth="1"/>
    <col min="9996" max="10001" width="0" style="345" hidden="1" customWidth="1"/>
    <col min="10002" max="10002" width="8.6640625" style="345" customWidth="1"/>
    <col min="10003" max="10003" width="8.109375" style="345" customWidth="1"/>
    <col min="10004" max="10004" width="14.44140625" style="345" customWidth="1"/>
    <col min="10005" max="10005" width="13.33203125" style="345" customWidth="1"/>
    <col min="10006" max="10006" width="9.6640625" style="345" customWidth="1"/>
    <col min="10007" max="10007" width="13.5546875" style="345" customWidth="1"/>
    <col min="10008" max="10008" width="10.5546875" style="345" customWidth="1"/>
    <col min="10009" max="10009" width="11.33203125" style="345" customWidth="1"/>
    <col min="10010" max="10010" width="8.6640625" style="345" customWidth="1"/>
    <col min="10011" max="10011" width="9" style="345" customWidth="1"/>
    <col min="10012" max="10012" width="6.6640625" style="345" customWidth="1"/>
    <col min="10013" max="10013" width="11.44140625" style="345" customWidth="1"/>
    <col min="10014" max="10014" width="12.33203125" style="345" customWidth="1"/>
    <col min="10015" max="10015" width="11.33203125" style="345" customWidth="1"/>
    <col min="10016" max="10016" width="12.44140625" style="345" customWidth="1"/>
    <col min="10017" max="10017" width="13" style="345" customWidth="1"/>
    <col min="10018" max="10018" width="9.5546875" style="345" customWidth="1"/>
    <col min="10019" max="10019" width="11.44140625" style="345" customWidth="1"/>
    <col min="10020" max="10249" width="9.109375" style="345"/>
    <col min="10250" max="10250" width="9.44140625" style="345" customWidth="1"/>
    <col min="10251" max="10251" width="31.44140625" style="345" customWidth="1"/>
    <col min="10252" max="10257" width="0" style="345" hidden="1" customWidth="1"/>
    <col min="10258" max="10258" width="8.6640625" style="345" customWidth="1"/>
    <col min="10259" max="10259" width="8.109375" style="345" customWidth="1"/>
    <col min="10260" max="10260" width="14.44140625" style="345" customWidth="1"/>
    <col min="10261" max="10261" width="13.33203125" style="345" customWidth="1"/>
    <col min="10262" max="10262" width="9.6640625" style="345" customWidth="1"/>
    <col min="10263" max="10263" width="13.5546875" style="345" customWidth="1"/>
    <col min="10264" max="10264" width="10.5546875" style="345" customWidth="1"/>
    <col min="10265" max="10265" width="11.33203125" style="345" customWidth="1"/>
    <col min="10266" max="10266" width="8.6640625" style="345" customWidth="1"/>
    <col min="10267" max="10267" width="9" style="345" customWidth="1"/>
    <col min="10268" max="10268" width="6.6640625" style="345" customWidth="1"/>
    <col min="10269" max="10269" width="11.44140625" style="345" customWidth="1"/>
    <col min="10270" max="10270" width="12.33203125" style="345" customWidth="1"/>
    <col min="10271" max="10271" width="11.33203125" style="345" customWidth="1"/>
    <col min="10272" max="10272" width="12.44140625" style="345" customWidth="1"/>
    <col min="10273" max="10273" width="13" style="345" customWidth="1"/>
    <col min="10274" max="10274" width="9.5546875" style="345" customWidth="1"/>
    <col min="10275" max="10275" width="11.44140625" style="345" customWidth="1"/>
    <col min="10276" max="10505" width="9.109375" style="345"/>
    <col min="10506" max="10506" width="9.44140625" style="345" customWidth="1"/>
    <col min="10507" max="10507" width="31.44140625" style="345" customWidth="1"/>
    <col min="10508" max="10513" width="0" style="345" hidden="1" customWidth="1"/>
    <col min="10514" max="10514" width="8.6640625" style="345" customWidth="1"/>
    <col min="10515" max="10515" width="8.109375" style="345" customWidth="1"/>
    <col min="10516" max="10516" width="14.44140625" style="345" customWidth="1"/>
    <col min="10517" max="10517" width="13.33203125" style="345" customWidth="1"/>
    <col min="10518" max="10518" width="9.6640625" style="345" customWidth="1"/>
    <col min="10519" max="10519" width="13.5546875" style="345" customWidth="1"/>
    <col min="10520" max="10520" width="10.5546875" style="345" customWidth="1"/>
    <col min="10521" max="10521" width="11.33203125" style="345" customWidth="1"/>
    <col min="10522" max="10522" width="8.6640625" style="345" customWidth="1"/>
    <col min="10523" max="10523" width="9" style="345" customWidth="1"/>
    <col min="10524" max="10524" width="6.6640625" style="345" customWidth="1"/>
    <col min="10525" max="10525" width="11.44140625" style="345" customWidth="1"/>
    <col min="10526" max="10526" width="12.33203125" style="345" customWidth="1"/>
    <col min="10527" max="10527" width="11.33203125" style="345" customWidth="1"/>
    <col min="10528" max="10528" width="12.44140625" style="345" customWidth="1"/>
    <col min="10529" max="10529" width="13" style="345" customWidth="1"/>
    <col min="10530" max="10530" width="9.5546875" style="345" customWidth="1"/>
    <col min="10531" max="10531" width="11.44140625" style="345" customWidth="1"/>
    <col min="10532" max="10761" width="9.109375" style="345"/>
    <col min="10762" max="10762" width="9.44140625" style="345" customWidth="1"/>
    <col min="10763" max="10763" width="31.44140625" style="345" customWidth="1"/>
    <col min="10764" max="10769" width="0" style="345" hidden="1" customWidth="1"/>
    <col min="10770" max="10770" width="8.6640625" style="345" customWidth="1"/>
    <col min="10771" max="10771" width="8.109375" style="345" customWidth="1"/>
    <col min="10772" max="10772" width="14.44140625" style="345" customWidth="1"/>
    <col min="10773" max="10773" width="13.33203125" style="345" customWidth="1"/>
    <col min="10774" max="10774" width="9.6640625" style="345" customWidth="1"/>
    <col min="10775" max="10775" width="13.5546875" style="345" customWidth="1"/>
    <col min="10776" max="10776" width="10.5546875" style="345" customWidth="1"/>
    <col min="10777" max="10777" width="11.33203125" style="345" customWidth="1"/>
    <col min="10778" max="10778" width="8.6640625" style="345" customWidth="1"/>
    <col min="10779" max="10779" width="9" style="345" customWidth="1"/>
    <col min="10780" max="10780" width="6.6640625" style="345" customWidth="1"/>
    <col min="10781" max="10781" width="11.44140625" style="345" customWidth="1"/>
    <col min="10782" max="10782" width="12.33203125" style="345" customWidth="1"/>
    <col min="10783" max="10783" width="11.33203125" style="345" customWidth="1"/>
    <col min="10784" max="10784" width="12.44140625" style="345" customWidth="1"/>
    <col min="10785" max="10785" width="13" style="345" customWidth="1"/>
    <col min="10786" max="10786" width="9.5546875" style="345" customWidth="1"/>
    <col min="10787" max="10787" width="11.44140625" style="345" customWidth="1"/>
    <col min="10788" max="11017" width="9.109375" style="345"/>
    <col min="11018" max="11018" width="9.44140625" style="345" customWidth="1"/>
    <col min="11019" max="11019" width="31.44140625" style="345" customWidth="1"/>
    <col min="11020" max="11025" width="0" style="345" hidden="1" customWidth="1"/>
    <col min="11026" max="11026" width="8.6640625" style="345" customWidth="1"/>
    <col min="11027" max="11027" width="8.109375" style="345" customWidth="1"/>
    <col min="11028" max="11028" width="14.44140625" style="345" customWidth="1"/>
    <col min="11029" max="11029" width="13.33203125" style="345" customWidth="1"/>
    <col min="11030" max="11030" width="9.6640625" style="345" customWidth="1"/>
    <col min="11031" max="11031" width="13.5546875" style="345" customWidth="1"/>
    <col min="11032" max="11032" width="10.5546875" style="345" customWidth="1"/>
    <col min="11033" max="11033" width="11.33203125" style="345" customWidth="1"/>
    <col min="11034" max="11034" width="8.6640625" style="345" customWidth="1"/>
    <col min="11035" max="11035" width="9" style="345" customWidth="1"/>
    <col min="11036" max="11036" width="6.6640625" style="345" customWidth="1"/>
    <col min="11037" max="11037" width="11.44140625" style="345" customWidth="1"/>
    <col min="11038" max="11038" width="12.33203125" style="345" customWidth="1"/>
    <col min="11039" max="11039" width="11.33203125" style="345" customWidth="1"/>
    <col min="11040" max="11040" width="12.44140625" style="345" customWidth="1"/>
    <col min="11041" max="11041" width="13" style="345" customWidth="1"/>
    <col min="11042" max="11042" width="9.5546875" style="345" customWidth="1"/>
    <col min="11043" max="11043" width="11.44140625" style="345" customWidth="1"/>
    <col min="11044" max="11273" width="9.109375" style="345"/>
    <col min="11274" max="11274" width="9.44140625" style="345" customWidth="1"/>
    <col min="11275" max="11275" width="31.44140625" style="345" customWidth="1"/>
    <col min="11276" max="11281" width="0" style="345" hidden="1" customWidth="1"/>
    <col min="11282" max="11282" width="8.6640625" style="345" customWidth="1"/>
    <col min="11283" max="11283" width="8.109375" style="345" customWidth="1"/>
    <col min="11284" max="11284" width="14.44140625" style="345" customWidth="1"/>
    <col min="11285" max="11285" width="13.33203125" style="345" customWidth="1"/>
    <col min="11286" max="11286" width="9.6640625" style="345" customWidth="1"/>
    <col min="11287" max="11287" width="13.5546875" style="345" customWidth="1"/>
    <col min="11288" max="11288" width="10.5546875" style="345" customWidth="1"/>
    <col min="11289" max="11289" width="11.33203125" style="345" customWidth="1"/>
    <col min="11290" max="11290" width="8.6640625" style="345" customWidth="1"/>
    <col min="11291" max="11291" width="9" style="345" customWidth="1"/>
    <col min="11292" max="11292" width="6.6640625" style="345" customWidth="1"/>
    <col min="11293" max="11293" width="11.44140625" style="345" customWidth="1"/>
    <col min="11294" max="11294" width="12.33203125" style="345" customWidth="1"/>
    <col min="11295" max="11295" width="11.33203125" style="345" customWidth="1"/>
    <col min="11296" max="11296" width="12.44140625" style="345" customWidth="1"/>
    <col min="11297" max="11297" width="13" style="345" customWidth="1"/>
    <col min="11298" max="11298" width="9.5546875" style="345" customWidth="1"/>
    <col min="11299" max="11299" width="11.44140625" style="345" customWidth="1"/>
    <col min="11300" max="11529" width="9.109375" style="345"/>
    <col min="11530" max="11530" width="9.44140625" style="345" customWidth="1"/>
    <col min="11531" max="11531" width="31.44140625" style="345" customWidth="1"/>
    <col min="11532" max="11537" width="0" style="345" hidden="1" customWidth="1"/>
    <col min="11538" max="11538" width="8.6640625" style="345" customWidth="1"/>
    <col min="11539" max="11539" width="8.109375" style="345" customWidth="1"/>
    <col min="11540" max="11540" width="14.44140625" style="345" customWidth="1"/>
    <col min="11541" max="11541" width="13.33203125" style="345" customWidth="1"/>
    <col min="11542" max="11542" width="9.6640625" style="345" customWidth="1"/>
    <col min="11543" max="11543" width="13.5546875" style="345" customWidth="1"/>
    <col min="11544" max="11544" width="10.5546875" style="345" customWidth="1"/>
    <col min="11545" max="11545" width="11.33203125" style="345" customWidth="1"/>
    <col min="11546" max="11546" width="8.6640625" style="345" customWidth="1"/>
    <col min="11547" max="11547" width="9" style="345" customWidth="1"/>
    <col min="11548" max="11548" width="6.6640625" style="345" customWidth="1"/>
    <col min="11549" max="11549" width="11.44140625" style="345" customWidth="1"/>
    <col min="11550" max="11550" width="12.33203125" style="345" customWidth="1"/>
    <col min="11551" max="11551" width="11.33203125" style="345" customWidth="1"/>
    <col min="11552" max="11552" width="12.44140625" style="345" customWidth="1"/>
    <col min="11553" max="11553" width="13" style="345" customWidth="1"/>
    <col min="11554" max="11554" width="9.5546875" style="345" customWidth="1"/>
    <col min="11555" max="11555" width="11.44140625" style="345" customWidth="1"/>
    <col min="11556" max="11785" width="9.109375" style="345"/>
    <col min="11786" max="11786" width="9.44140625" style="345" customWidth="1"/>
    <col min="11787" max="11787" width="31.44140625" style="345" customWidth="1"/>
    <col min="11788" max="11793" width="0" style="345" hidden="1" customWidth="1"/>
    <col min="11794" max="11794" width="8.6640625" style="345" customWidth="1"/>
    <col min="11795" max="11795" width="8.109375" style="345" customWidth="1"/>
    <col min="11796" max="11796" width="14.44140625" style="345" customWidth="1"/>
    <col min="11797" max="11797" width="13.33203125" style="345" customWidth="1"/>
    <col min="11798" max="11798" width="9.6640625" style="345" customWidth="1"/>
    <col min="11799" max="11799" width="13.5546875" style="345" customWidth="1"/>
    <col min="11800" max="11800" width="10.5546875" style="345" customWidth="1"/>
    <col min="11801" max="11801" width="11.33203125" style="345" customWidth="1"/>
    <col min="11802" max="11802" width="8.6640625" style="345" customWidth="1"/>
    <col min="11803" max="11803" width="9" style="345" customWidth="1"/>
    <col min="11804" max="11804" width="6.6640625" style="345" customWidth="1"/>
    <col min="11805" max="11805" width="11.44140625" style="345" customWidth="1"/>
    <col min="11806" max="11806" width="12.33203125" style="345" customWidth="1"/>
    <col min="11807" max="11807" width="11.33203125" style="345" customWidth="1"/>
    <col min="11808" max="11808" width="12.44140625" style="345" customWidth="1"/>
    <col min="11809" max="11809" width="13" style="345" customWidth="1"/>
    <col min="11810" max="11810" width="9.5546875" style="345" customWidth="1"/>
    <col min="11811" max="11811" width="11.44140625" style="345" customWidth="1"/>
    <col min="11812" max="12041" width="9.109375" style="345"/>
    <col min="12042" max="12042" width="9.44140625" style="345" customWidth="1"/>
    <col min="12043" max="12043" width="31.44140625" style="345" customWidth="1"/>
    <col min="12044" max="12049" width="0" style="345" hidden="1" customWidth="1"/>
    <col min="12050" max="12050" width="8.6640625" style="345" customWidth="1"/>
    <col min="12051" max="12051" width="8.109375" style="345" customWidth="1"/>
    <col min="12052" max="12052" width="14.44140625" style="345" customWidth="1"/>
    <col min="12053" max="12053" width="13.33203125" style="345" customWidth="1"/>
    <col min="12054" max="12054" width="9.6640625" style="345" customWidth="1"/>
    <col min="12055" max="12055" width="13.5546875" style="345" customWidth="1"/>
    <col min="12056" max="12056" width="10.5546875" style="345" customWidth="1"/>
    <col min="12057" max="12057" width="11.33203125" style="345" customWidth="1"/>
    <col min="12058" max="12058" width="8.6640625" style="345" customWidth="1"/>
    <col min="12059" max="12059" width="9" style="345" customWidth="1"/>
    <col min="12060" max="12060" width="6.6640625" style="345" customWidth="1"/>
    <col min="12061" max="12061" width="11.44140625" style="345" customWidth="1"/>
    <col min="12062" max="12062" width="12.33203125" style="345" customWidth="1"/>
    <col min="12063" max="12063" width="11.33203125" style="345" customWidth="1"/>
    <col min="12064" max="12064" width="12.44140625" style="345" customWidth="1"/>
    <col min="12065" max="12065" width="13" style="345" customWidth="1"/>
    <col min="12066" max="12066" width="9.5546875" style="345" customWidth="1"/>
    <col min="12067" max="12067" width="11.44140625" style="345" customWidth="1"/>
    <col min="12068" max="12297" width="9.109375" style="345"/>
    <col min="12298" max="12298" width="9.44140625" style="345" customWidth="1"/>
    <col min="12299" max="12299" width="31.44140625" style="345" customWidth="1"/>
    <col min="12300" max="12305" width="0" style="345" hidden="1" customWidth="1"/>
    <col min="12306" max="12306" width="8.6640625" style="345" customWidth="1"/>
    <col min="12307" max="12307" width="8.109375" style="345" customWidth="1"/>
    <col min="12308" max="12308" width="14.44140625" style="345" customWidth="1"/>
    <col min="12309" max="12309" width="13.33203125" style="345" customWidth="1"/>
    <col min="12310" max="12310" width="9.6640625" style="345" customWidth="1"/>
    <col min="12311" max="12311" width="13.5546875" style="345" customWidth="1"/>
    <col min="12312" max="12312" width="10.5546875" style="345" customWidth="1"/>
    <col min="12313" max="12313" width="11.33203125" style="345" customWidth="1"/>
    <col min="12314" max="12314" width="8.6640625" style="345" customWidth="1"/>
    <col min="12315" max="12315" width="9" style="345" customWidth="1"/>
    <col min="12316" max="12316" width="6.6640625" style="345" customWidth="1"/>
    <col min="12317" max="12317" width="11.44140625" style="345" customWidth="1"/>
    <col min="12318" max="12318" width="12.33203125" style="345" customWidth="1"/>
    <col min="12319" max="12319" width="11.33203125" style="345" customWidth="1"/>
    <col min="12320" max="12320" width="12.44140625" style="345" customWidth="1"/>
    <col min="12321" max="12321" width="13" style="345" customWidth="1"/>
    <col min="12322" max="12322" width="9.5546875" style="345" customWidth="1"/>
    <col min="12323" max="12323" width="11.44140625" style="345" customWidth="1"/>
    <col min="12324" max="12553" width="9.109375" style="345"/>
    <col min="12554" max="12554" width="9.44140625" style="345" customWidth="1"/>
    <col min="12555" max="12555" width="31.44140625" style="345" customWidth="1"/>
    <col min="12556" max="12561" width="0" style="345" hidden="1" customWidth="1"/>
    <col min="12562" max="12562" width="8.6640625" style="345" customWidth="1"/>
    <col min="12563" max="12563" width="8.109375" style="345" customWidth="1"/>
    <col min="12564" max="12564" width="14.44140625" style="345" customWidth="1"/>
    <col min="12565" max="12565" width="13.33203125" style="345" customWidth="1"/>
    <col min="12566" max="12566" width="9.6640625" style="345" customWidth="1"/>
    <col min="12567" max="12567" width="13.5546875" style="345" customWidth="1"/>
    <col min="12568" max="12568" width="10.5546875" style="345" customWidth="1"/>
    <col min="12569" max="12569" width="11.33203125" style="345" customWidth="1"/>
    <col min="12570" max="12570" width="8.6640625" style="345" customWidth="1"/>
    <col min="12571" max="12571" width="9" style="345" customWidth="1"/>
    <col min="12572" max="12572" width="6.6640625" style="345" customWidth="1"/>
    <col min="12573" max="12573" width="11.44140625" style="345" customWidth="1"/>
    <col min="12574" max="12574" width="12.33203125" style="345" customWidth="1"/>
    <col min="12575" max="12575" width="11.33203125" style="345" customWidth="1"/>
    <col min="12576" max="12576" width="12.44140625" style="345" customWidth="1"/>
    <col min="12577" max="12577" width="13" style="345" customWidth="1"/>
    <col min="12578" max="12578" width="9.5546875" style="345" customWidth="1"/>
    <col min="12579" max="12579" width="11.44140625" style="345" customWidth="1"/>
    <col min="12580" max="12809" width="9.109375" style="345"/>
    <col min="12810" max="12810" width="9.44140625" style="345" customWidth="1"/>
    <col min="12811" max="12811" width="31.44140625" style="345" customWidth="1"/>
    <col min="12812" max="12817" width="0" style="345" hidden="1" customWidth="1"/>
    <col min="12818" max="12818" width="8.6640625" style="345" customWidth="1"/>
    <col min="12819" max="12819" width="8.109375" style="345" customWidth="1"/>
    <col min="12820" max="12820" width="14.44140625" style="345" customWidth="1"/>
    <col min="12821" max="12821" width="13.33203125" style="345" customWidth="1"/>
    <col min="12822" max="12822" width="9.6640625" style="345" customWidth="1"/>
    <col min="12823" max="12823" width="13.5546875" style="345" customWidth="1"/>
    <col min="12824" max="12824" width="10.5546875" style="345" customWidth="1"/>
    <col min="12825" max="12825" width="11.33203125" style="345" customWidth="1"/>
    <col min="12826" max="12826" width="8.6640625" style="345" customWidth="1"/>
    <col min="12827" max="12827" width="9" style="345" customWidth="1"/>
    <col min="12828" max="12828" width="6.6640625" style="345" customWidth="1"/>
    <col min="12829" max="12829" width="11.44140625" style="345" customWidth="1"/>
    <col min="12830" max="12830" width="12.33203125" style="345" customWidth="1"/>
    <col min="12831" max="12831" width="11.33203125" style="345" customWidth="1"/>
    <col min="12832" max="12832" width="12.44140625" style="345" customWidth="1"/>
    <col min="12833" max="12833" width="13" style="345" customWidth="1"/>
    <col min="12834" max="12834" width="9.5546875" style="345" customWidth="1"/>
    <col min="12835" max="12835" width="11.44140625" style="345" customWidth="1"/>
    <col min="12836" max="13065" width="9.109375" style="345"/>
    <col min="13066" max="13066" width="9.44140625" style="345" customWidth="1"/>
    <col min="13067" max="13067" width="31.44140625" style="345" customWidth="1"/>
    <col min="13068" max="13073" width="0" style="345" hidden="1" customWidth="1"/>
    <col min="13074" max="13074" width="8.6640625" style="345" customWidth="1"/>
    <col min="13075" max="13075" width="8.109375" style="345" customWidth="1"/>
    <col min="13076" max="13076" width="14.44140625" style="345" customWidth="1"/>
    <col min="13077" max="13077" width="13.33203125" style="345" customWidth="1"/>
    <col min="13078" max="13078" width="9.6640625" style="345" customWidth="1"/>
    <col min="13079" max="13079" width="13.5546875" style="345" customWidth="1"/>
    <col min="13080" max="13080" width="10.5546875" style="345" customWidth="1"/>
    <col min="13081" max="13081" width="11.33203125" style="345" customWidth="1"/>
    <col min="13082" max="13082" width="8.6640625" style="345" customWidth="1"/>
    <col min="13083" max="13083" width="9" style="345" customWidth="1"/>
    <col min="13084" max="13084" width="6.6640625" style="345" customWidth="1"/>
    <col min="13085" max="13085" width="11.44140625" style="345" customWidth="1"/>
    <col min="13086" max="13086" width="12.33203125" style="345" customWidth="1"/>
    <col min="13087" max="13087" width="11.33203125" style="345" customWidth="1"/>
    <col min="13088" max="13088" width="12.44140625" style="345" customWidth="1"/>
    <col min="13089" max="13089" width="13" style="345" customWidth="1"/>
    <col min="13090" max="13090" width="9.5546875" style="345" customWidth="1"/>
    <col min="13091" max="13091" width="11.44140625" style="345" customWidth="1"/>
    <col min="13092" max="13321" width="9.109375" style="345"/>
    <col min="13322" max="13322" width="9.44140625" style="345" customWidth="1"/>
    <col min="13323" max="13323" width="31.44140625" style="345" customWidth="1"/>
    <col min="13324" max="13329" width="0" style="345" hidden="1" customWidth="1"/>
    <col min="13330" max="13330" width="8.6640625" style="345" customWidth="1"/>
    <col min="13331" max="13331" width="8.109375" style="345" customWidth="1"/>
    <col min="13332" max="13332" width="14.44140625" style="345" customWidth="1"/>
    <col min="13333" max="13333" width="13.33203125" style="345" customWidth="1"/>
    <col min="13334" max="13334" width="9.6640625" style="345" customWidth="1"/>
    <col min="13335" max="13335" width="13.5546875" style="345" customWidth="1"/>
    <col min="13336" max="13336" width="10.5546875" style="345" customWidth="1"/>
    <col min="13337" max="13337" width="11.33203125" style="345" customWidth="1"/>
    <col min="13338" max="13338" width="8.6640625" style="345" customWidth="1"/>
    <col min="13339" max="13339" width="9" style="345" customWidth="1"/>
    <col min="13340" max="13340" width="6.6640625" style="345" customWidth="1"/>
    <col min="13341" max="13341" width="11.44140625" style="345" customWidth="1"/>
    <col min="13342" max="13342" width="12.33203125" style="345" customWidth="1"/>
    <col min="13343" max="13343" width="11.33203125" style="345" customWidth="1"/>
    <col min="13344" max="13344" width="12.44140625" style="345" customWidth="1"/>
    <col min="13345" max="13345" width="13" style="345" customWidth="1"/>
    <col min="13346" max="13346" width="9.5546875" style="345" customWidth="1"/>
    <col min="13347" max="13347" width="11.44140625" style="345" customWidth="1"/>
    <col min="13348" max="13577" width="9.109375" style="345"/>
    <col min="13578" max="13578" width="9.44140625" style="345" customWidth="1"/>
    <col min="13579" max="13579" width="31.44140625" style="345" customWidth="1"/>
    <col min="13580" max="13585" width="0" style="345" hidden="1" customWidth="1"/>
    <col min="13586" max="13586" width="8.6640625" style="345" customWidth="1"/>
    <col min="13587" max="13587" width="8.109375" style="345" customWidth="1"/>
    <col min="13588" max="13588" width="14.44140625" style="345" customWidth="1"/>
    <col min="13589" max="13589" width="13.33203125" style="345" customWidth="1"/>
    <col min="13590" max="13590" width="9.6640625" style="345" customWidth="1"/>
    <col min="13591" max="13591" width="13.5546875" style="345" customWidth="1"/>
    <col min="13592" max="13592" width="10.5546875" style="345" customWidth="1"/>
    <col min="13593" max="13593" width="11.33203125" style="345" customWidth="1"/>
    <col min="13594" max="13594" width="8.6640625" style="345" customWidth="1"/>
    <col min="13595" max="13595" width="9" style="345" customWidth="1"/>
    <col min="13596" max="13596" width="6.6640625" style="345" customWidth="1"/>
    <col min="13597" max="13597" width="11.44140625" style="345" customWidth="1"/>
    <col min="13598" max="13598" width="12.33203125" style="345" customWidth="1"/>
    <col min="13599" max="13599" width="11.33203125" style="345" customWidth="1"/>
    <col min="13600" max="13600" width="12.44140625" style="345" customWidth="1"/>
    <col min="13601" max="13601" width="13" style="345" customWidth="1"/>
    <col min="13602" max="13602" width="9.5546875" style="345" customWidth="1"/>
    <col min="13603" max="13603" width="11.44140625" style="345" customWidth="1"/>
    <col min="13604" max="13833" width="9.109375" style="345"/>
    <col min="13834" max="13834" width="9.44140625" style="345" customWidth="1"/>
    <col min="13835" max="13835" width="31.44140625" style="345" customWidth="1"/>
    <col min="13836" max="13841" width="0" style="345" hidden="1" customWidth="1"/>
    <col min="13842" max="13842" width="8.6640625" style="345" customWidth="1"/>
    <col min="13843" max="13843" width="8.109375" style="345" customWidth="1"/>
    <col min="13844" max="13844" width="14.44140625" style="345" customWidth="1"/>
    <col min="13845" max="13845" width="13.33203125" style="345" customWidth="1"/>
    <col min="13846" max="13846" width="9.6640625" style="345" customWidth="1"/>
    <col min="13847" max="13847" width="13.5546875" style="345" customWidth="1"/>
    <col min="13848" max="13848" width="10.5546875" style="345" customWidth="1"/>
    <col min="13849" max="13849" width="11.33203125" style="345" customWidth="1"/>
    <col min="13850" max="13850" width="8.6640625" style="345" customWidth="1"/>
    <col min="13851" max="13851" width="9" style="345" customWidth="1"/>
    <col min="13852" max="13852" width="6.6640625" style="345" customWidth="1"/>
    <col min="13853" max="13853" width="11.44140625" style="345" customWidth="1"/>
    <col min="13854" max="13854" width="12.33203125" style="345" customWidth="1"/>
    <col min="13855" max="13855" width="11.33203125" style="345" customWidth="1"/>
    <col min="13856" max="13856" width="12.44140625" style="345" customWidth="1"/>
    <col min="13857" max="13857" width="13" style="345" customWidth="1"/>
    <col min="13858" max="13858" width="9.5546875" style="345" customWidth="1"/>
    <col min="13859" max="13859" width="11.44140625" style="345" customWidth="1"/>
    <col min="13860" max="14089" width="9.109375" style="345"/>
    <col min="14090" max="14090" width="9.44140625" style="345" customWidth="1"/>
    <col min="14091" max="14091" width="31.44140625" style="345" customWidth="1"/>
    <col min="14092" max="14097" width="0" style="345" hidden="1" customWidth="1"/>
    <col min="14098" max="14098" width="8.6640625" style="345" customWidth="1"/>
    <col min="14099" max="14099" width="8.109375" style="345" customWidth="1"/>
    <col min="14100" max="14100" width="14.44140625" style="345" customWidth="1"/>
    <col min="14101" max="14101" width="13.33203125" style="345" customWidth="1"/>
    <col min="14102" max="14102" width="9.6640625" style="345" customWidth="1"/>
    <col min="14103" max="14103" width="13.5546875" style="345" customWidth="1"/>
    <col min="14104" max="14104" width="10.5546875" style="345" customWidth="1"/>
    <col min="14105" max="14105" width="11.33203125" style="345" customWidth="1"/>
    <col min="14106" max="14106" width="8.6640625" style="345" customWidth="1"/>
    <col min="14107" max="14107" width="9" style="345" customWidth="1"/>
    <col min="14108" max="14108" width="6.6640625" style="345" customWidth="1"/>
    <col min="14109" max="14109" width="11.44140625" style="345" customWidth="1"/>
    <col min="14110" max="14110" width="12.33203125" style="345" customWidth="1"/>
    <col min="14111" max="14111" width="11.33203125" style="345" customWidth="1"/>
    <col min="14112" max="14112" width="12.44140625" style="345" customWidth="1"/>
    <col min="14113" max="14113" width="13" style="345" customWidth="1"/>
    <col min="14114" max="14114" width="9.5546875" style="345" customWidth="1"/>
    <col min="14115" max="14115" width="11.44140625" style="345" customWidth="1"/>
    <col min="14116" max="14345" width="9.109375" style="345"/>
    <col min="14346" max="14346" width="9.44140625" style="345" customWidth="1"/>
    <col min="14347" max="14347" width="31.44140625" style="345" customWidth="1"/>
    <col min="14348" max="14353" width="0" style="345" hidden="1" customWidth="1"/>
    <col min="14354" max="14354" width="8.6640625" style="345" customWidth="1"/>
    <col min="14355" max="14355" width="8.109375" style="345" customWidth="1"/>
    <col min="14356" max="14356" width="14.44140625" style="345" customWidth="1"/>
    <col min="14357" max="14357" width="13.33203125" style="345" customWidth="1"/>
    <col min="14358" max="14358" width="9.6640625" style="345" customWidth="1"/>
    <col min="14359" max="14359" width="13.5546875" style="345" customWidth="1"/>
    <col min="14360" max="14360" width="10.5546875" style="345" customWidth="1"/>
    <col min="14361" max="14361" width="11.33203125" style="345" customWidth="1"/>
    <col min="14362" max="14362" width="8.6640625" style="345" customWidth="1"/>
    <col min="14363" max="14363" width="9" style="345" customWidth="1"/>
    <col min="14364" max="14364" width="6.6640625" style="345" customWidth="1"/>
    <col min="14365" max="14365" width="11.44140625" style="345" customWidth="1"/>
    <col min="14366" max="14366" width="12.33203125" style="345" customWidth="1"/>
    <col min="14367" max="14367" width="11.33203125" style="345" customWidth="1"/>
    <col min="14368" max="14368" width="12.44140625" style="345" customWidth="1"/>
    <col min="14369" max="14369" width="13" style="345" customWidth="1"/>
    <col min="14370" max="14370" width="9.5546875" style="345" customWidth="1"/>
    <col min="14371" max="14371" width="11.44140625" style="345" customWidth="1"/>
    <col min="14372" max="14601" width="9.109375" style="345"/>
    <col min="14602" max="14602" width="9.44140625" style="345" customWidth="1"/>
    <col min="14603" max="14603" width="31.44140625" style="345" customWidth="1"/>
    <col min="14604" max="14609" width="0" style="345" hidden="1" customWidth="1"/>
    <col min="14610" max="14610" width="8.6640625" style="345" customWidth="1"/>
    <col min="14611" max="14611" width="8.109375" style="345" customWidth="1"/>
    <col min="14612" max="14612" width="14.44140625" style="345" customWidth="1"/>
    <col min="14613" max="14613" width="13.33203125" style="345" customWidth="1"/>
    <col min="14614" max="14614" width="9.6640625" style="345" customWidth="1"/>
    <col min="14615" max="14615" width="13.5546875" style="345" customWidth="1"/>
    <col min="14616" max="14616" width="10.5546875" style="345" customWidth="1"/>
    <col min="14617" max="14617" width="11.33203125" style="345" customWidth="1"/>
    <col min="14618" max="14618" width="8.6640625" style="345" customWidth="1"/>
    <col min="14619" max="14619" width="9" style="345" customWidth="1"/>
    <col min="14620" max="14620" width="6.6640625" style="345" customWidth="1"/>
    <col min="14621" max="14621" width="11.44140625" style="345" customWidth="1"/>
    <col min="14622" max="14622" width="12.33203125" style="345" customWidth="1"/>
    <col min="14623" max="14623" width="11.33203125" style="345" customWidth="1"/>
    <col min="14624" max="14624" width="12.44140625" style="345" customWidth="1"/>
    <col min="14625" max="14625" width="13" style="345" customWidth="1"/>
    <col min="14626" max="14626" width="9.5546875" style="345" customWidth="1"/>
    <col min="14627" max="14627" width="11.44140625" style="345" customWidth="1"/>
    <col min="14628" max="14857" width="9.109375" style="345"/>
    <col min="14858" max="14858" width="9.44140625" style="345" customWidth="1"/>
    <col min="14859" max="14859" width="31.44140625" style="345" customWidth="1"/>
    <col min="14860" max="14865" width="0" style="345" hidden="1" customWidth="1"/>
    <col min="14866" max="14866" width="8.6640625" style="345" customWidth="1"/>
    <col min="14867" max="14867" width="8.109375" style="345" customWidth="1"/>
    <col min="14868" max="14868" width="14.44140625" style="345" customWidth="1"/>
    <col min="14869" max="14869" width="13.33203125" style="345" customWidth="1"/>
    <col min="14870" max="14870" width="9.6640625" style="345" customWidth="1"/>
    <col min="14871" max="14871" width="13.5546875" style="345" customWidth="1"/>
    <col min="14872" max="14872" width="10.5546875" style="345" customWidth="1"/>
    <col min="14873" max="14873" width="11.33203125" style="345" customWidth="1"/>
    <col min="14874" max="14874" width="8.6640625" style="345" customWidth="1"/>
    <col min="14875" max="14875" width="9" style="345" customWidth="1"/>
    <col min="14876" max="14876" width="6.6640625" style="345" customWidth="1"/>
    <col min="14877" max="14877" width="11.44140625" style="345" customWidth="1"/>
    <col min="14878" max="14878" width="12.33203125" style="345" customWidth="1"/>
    <col min="14879" max="14879" width="11.33203125" style="345" customWidth="1"/>
    <col min="14880" max="14880" width="12.44140625" style="345" customWidth="1"/>
    <col min="14881" max="14881" width="13" style="345" customWidth="1"/>
    <col min="14882" max="14882" width="9.5546875" style="345" customWidth="1"/>
    <col min="14883" max="14883" width="11.44140625" style="345" customWidth="1"/>
    <col min="14884" max="15113" width="9.109375" style="345"/>
    <col min="15114" max="15114" width="9.44140625" style="345" customWidth="1"/>
    <col min="15115" max="15115" width="31.44140625" style="345" customWidth="1"/>
    <col min="15116" max="15121" width="0" style="345" hidden="1" customWidth="1"/>
    <col min="15122" max="15122" width="8.6640625" style="345" customWidth="1"/>
    <col min="15123" max="15123" width="8.109375" style="345" customWidth="1"/>
    <col min="15124" max="15124" width="14.44140625" style="345" customWidth="1"/>
    <col min="15125" max="15125" width="13.33203125" style="345" customWidth="1"/>
    <col min="15126" max="15126" width="9.6640625" style="345" customWidth="1"/>
    <col min="15127" max="15127" width="13.5546875" style="345" customWidth="1"/>
    <col min="15128" max="15128" width="10.5546875" style="345" customWidth="1"/>
    <col min="15129" max="15129" width="11.33203125" style="345" customWidth="1"/>
    <col min="15130" max="15130" width="8.6640625" style="345" customWidth="1"/>
    <col min="15131" max="15131" width="9" style="345" customWidth="1"/>
    <col min="15132" max="15132" width="6.6640625" style="345" customWidth="1"/>
    <col min="15133" max="15133" width="11.44140625" style="345" customWidth="1"/>
    <col min="15134" max="15134" width="12.33203125" style="345" customWidth="1"/>
    <col min="15135" max="15135" width="11.33203125" style="345" customWidth="1"/>
    <col min="15136" max="15136" width="12.44140625" style="345" customWidth="1"/>
    <col min="15137" max="15137" width="13" style="345" customWidth="1"/>
    <col min="15138" max="15138" width="9.5546875" style="345" customWidth="1"/>
    <col min="15139" max="15139" width="11.44140625" style="345" customWidth="1"/>
    <col min="15140" max="15369" width="9.109375" style="345"/>
    <col min="15370" max="15370" width="9.44140625" style="345" customWidth="1"/>
    <col min="15371" max="15371" width="31.44140625" style="345" customWidth="1"/>
    <col min="15372" max="15377" width="0" style="345" hidden="1" customWidth="1"/>
    <col min="15378" max="15378" width="8.6640625" style="345" customWidth="1"/>
    <col min="15379" max="15379" width="8.109375" style="345" customWidth="1"/>
    <col min="15380" max="15380" width="14.44140625" style="345" customWidth="1"/>
    <col min="15381" max="15381" width="13.33203125" style="345" customWidth="1"/>
    <col min="15382" max="15382" width="9.6640625" style="345" customWidth="1"/>
    <col min="15383" max="15383" width="13.5546875" style="345" customWidth="1"/>
    <col min="15384" max="15384" width="10.5546875" style="345" customWidth="1"/>
    <col min="15385" max="15385" width="11.33203125" style="345" customWidth="1"/>
    <col min="15386" max="15386" width="8.6640625" style="345" customWidth="1"/>
    <col min="15387" max="15387" width="9" style="345" customWidth="1"/>
    <col min="15388" max="15388" width="6.6640625" style="345" customWidth="1"/>
    <col min="15389" max="15389" width="11.44140625" style="345" customWidth="1"/>
    <col min="15390" max="15390" width="12.33203125" style="345" customWidth="1"/>
    <col min="15391" max="15391" width="11.33203125" style="345" customWidth="1"/>
    <col min="15392" max="15392" width="12.44140625" style="345" customWidth="1"/>
    <col min="15393" max="15393" width="13" style="345" customWidth="1"/>
    <col min="15394" max="15394" width="9.5546875" style="345" customWidth="1"/>
    <col min="15395" max="15395" width="11.44140625" style="345" customWidth="1"/>
    <col min="15396" max="15625" width="9.109375" style="345"/>
    <col min="15626" max="15626" width="9.44140625" style="345" customWidth="1"/>
    <col min="15627" max="15627" width="31.44140625" style="345" customWidth="1"/>
    <col min="15628" max="15633" width="0" style="345" hidden="1" customWidth="1"/>
    <col min="15634" max="15634" width="8.6640625" style="345" customWidth="1"/>
    <col min="15635" max="15635" width="8.109375" style="345" customWidth="1"/>
    <col min="15636" max="15636" width="14.44140625" style="345" customWidth="1"/>
    <col min="15637" max="15637" width="13.33203125" style="345" customWidth="1"/>
    <col min="15638" max="15638" width="9.6640625" style="345" customWidth="1"/>
    <col min="15639" max="15639" width="13.5546875" style="345" customWidth="1"/>
    <col min="15640" max="15640" width="10.5546875" style="345" customWidth="1"/>
    <col min="15641" max="15641" width="11.33203125" style="345" customWidth="1"/>
    <col min="15642" max="15642" width="8.6640625" style="345" customWidth="1"/>
    <col min="15643" max="15643" width="9" style="345" customWidth="1"/>
    <col min="15644" max="15644" width="6.6640625" style="345" customWidth="1"/>
    <col min="15645" max="15645" width="11.44140625" style="345" customWidth="1"/>
    <col min="15646" max="15646" width="12.33203125" style="345" customWidth="1"/>
    <col min="15647" max="15647" width="11.33203125" style="345" customWidth="1"/>
    <col min="15648" max="15648" width="12.44140625" style="345" customWidth="1"/>
    <col min="15649" max="15649" width="13" style="345" customWidth="1"/>
    <col min="15650" max="15650" width="9.5546875" style="345" customWidth="1"/>
    <col min="15651" max="15651" width="11.44140625" style="345" customWidth="1"/>
    <col min="15652" max="15881" width="9.109375" style="345"/>
    <col min="15882" max="15882" width="9.44140625" style="345" customWidth="1"/>
    <col min="15883" max="15883" width="31.44140625" style="345" customWidth="1"/>
    <col min="15884" max="15889" width="0" style="345" hidden="1" customWidth="1"/>
    <col min="15890" max="15890" width="8.6640625" style="345" customWidth="1"/>
    <col min="15891" max="15891" width="8.109375" style="345" customWidth="1"/>
    <col min="15892" max="15892" width="14.44140625" style="345" customWidth="1"/>
    <col min="15893" max="15893" width="13.33203125" style="345" customWidth="1"/>
    <col min="15894" max="15894" width="9.6640625" style="345" customWidth="1"/>
    <col min="15895" max="15895" width="13.5546875" style="345" customWidth="1"/>
    <col min="15896" max="15896" width="10.5546875" style="345" customWidth="1"/>
    <col min="15897" max="15897" width="11.33203125" style="345" customWidth="1"/>
    <col min="15898" max="15898" width="8.6640625" style="345" customWidth="1"/>
    <col min="15899" max="15899" width="9" style="345" customWidth="1"/>
    <col min="15900" max="15900" width="6.6640625" style="345" customWidth="1"/>
    <col min="15901" max="15901" width="11.44140625" style="345" customWidth="1"/>
    <col min="15902" max="15902" width="12.33203125" style="345" customWidth="1"/>
    <col min="15903" max="15903" width="11.33203125" style="345" customWidth="1"/>
    <col min="15904" max="15904" width="12.44140625" style="345" customWidth="1"/>
    <col min="15905" max="15905" width="13" style="345" customWidth="1"/>
    <col min="15906" max="15906" width="9.5546875" style="345" customWidth="1"/>
    <col min="15907" max="15907" width="11.44140625" style="345" customWidth="1"/>
    <col min="15908" max="16137" width="9.109375" style="345"/>
    <col min="16138" max="16138" width="9.44140625" style="345" customWidth="1"/>
    <col min="16139" max="16139" width="31.44140625" style="345" customWidth="1"/>
    <col min="16140" max="16145" width="0" style="345" hidden="1" customWidth="1"/>
    <col min="16146" max="16146" width="8.6640625" style="345" customWidth="1"/>
    <col min="16147" max="16147" width="8.109375" style="345" customWidth="1"/>
    <col min="16148" max="16148" width="14.44140625" style="345" customWidth="1"/>
    <col min="16149" max="16149" width="13.33203125" style="345" customWidth="1"/>
    <col min="16150" max="16150" width="9.6640625" style="345" customWidth="1"/>
    <col min="16151" max="16151" width="13.5546875" style="345" customWidth="1"/>
    <col min="16152" max="16152" width="10.5546875" style="345" customWidth="1"/>
    <col min="16153" max="16153" width="11.33203125" style="345" customWidth="1"/>
    <col min="16154" max="16154" width="8.6640625" style="345" customWidth="1"/>
    <col min="16155" max="16155" width="9" style="345" customWidth="1"/>
    <col min="16156" max="16156" width="6.6640625" style="345" customWidth="1"/>
    <col min="16157" max="16157" width="11.44140625" style="345" customWidth="1"/>
    <col min="16158" max="16158" width="12.33203125" style="345" customWidth="1"/>
    <col min="16159" max="16159" width="11.33203125" style="345" customWidth="1"/>
    <col min="16160" max="16160" width="12.44140625" style="345" customWidth="1"/>
    <col min="16161" max="16161" width="13" style="345" customWidth="1"/>
    <col min="16162" max="16162" width="9.5546875" style="345" customWidth="1"/>
    <col min="16163" max="16163" width="11.44140625" style="345" customWidth="1"/>
    <col min="16164" max="16384" width="9.109375" style="345"/>
  </cols>
  <sheetData>
    <row r="1" spans="1:36" s="321" customFormat="1" ht="60" customHeight="1" thickBot="1" x14ac:dyDescent="0.3">
      <c r="A1" s="842" t="s">
        <v>1937</v>
      </c>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2"/>
      <c r="AF1" s="842"/>
      <c r="AG1" s="843"/>
      <c r="AH1" s="645"/>
      <c r="AI1" s="645"/>
    </row>
    <row r="2" spans="1:36" s="321" customFormat="1" ht="17.25" customHeight="1" thickBot="1" x14ac:dyDescent="0.3">
      <c r="A2" s="844" t="s">
        <v>392</v>
      </c>
      <c r="B2" s="846" t="s">
        <v>1287</v>
      </c>
      <c r="C2" s="846" t="s">
        <v>0</v>
      </c>
      <c r="D2" s="846" t="s">
        <v>507</v>
      </c>
      <c r="E2" s="846" t="s">
        <v>1288</v>
      </c>
      <c r="F2" s="846" t="s">
        <v>1502</v>
      </c>
      <c r="G2" s="848" t="s">
        <v>1289</v>
      </c>
      <c r="H2" s="850" t="s">
        <v>1823</v>
      </c>
      <c r="I2" s="851"/>
      <c r="J2" s="851"/>
      <c r="K2" s="851"/>
      <c r="L2" s="852"/>
      <c r="M2" s="853" t="s">
        <v>1824</v>
      </c>
      <c r="N2" s="854"/>
      <c r="O2" s="854"/>
      <c r="P2" s="854"/>
      <c r="Q2" s="854"/>
      <c r="R2" s="855"/>
      <c r="S2" s="856" t="s">
        <v>1825</v>
      </c>
      <c r="T2" s="857"/>
      <c r="U2" s="857"/>
      <c r="V2" s="857"/>
      <c r="W2" s="857"/>
      <c r="X2" s="839" t="s">
        <v>1826</v>
      </c>
      <c r="Y2" s="840"/>
      <c r="Z2" s="840"/>
      <c r="AA2" s="840"/>
      <c r="AB2" s="841"/>
      <c r="AC2" s="858" t="s">
        <v>1827</v>
      </c>
      <c r="AD2" s="859"/>
      <c r="AE2" s="859"/>
      <c r="AF2" s="859"/>
      <c r="AG2" s="860"/>
      <c r="AH2" s="836" t="s">
        <v>1677</v>
      </c>
      <c r="AI2" s="836" t="s">
        <v>1676</v>
      </c>
      <c r="AJ2" s="322" t="s">
        <v>893</v>
      </c>
    </row>
    <row r="3" spans="1:36" s="321" customFormat="1" ht="24.6" customHeight="1" thickBot="1" x14ac:dyDescent="0.3">
      <c r="A3" s="845"/>
      <c r="B3" s="847"/>
      <c r="C3" s="847"/>
      <c r="D3" s="847"/>
      <c r="E3" s="847"/>
      <c r="F3" s="847"/>
      <c r="G3" s="849"/>
      <c r="H3" s="751" t="s">
        <v>1290</v>
      </c>
      <c r="I3" s="752" t="s">
        <v>1291</v>
      </c>
      <c r="J3" s="752" t="s">
        <v>1292</v>
      </c>
      <c r="K3" s="752" t="s">
        <v>1293</v>
      </c>
      <c r="L3" s="753" t="s">
        <v>1294</v>
      </c>
      <c r="M3" s="735" t="s">
        <v>1290</v>
      </c>
      <c r="N3" s="736" t="s">
        <v>1291</v>
      </c>
      <c r="O3" s="736" t="s">
        <v>1292</v>
      </c>
      <c r="P3" s="737" t="s">
        <v>1293</v>
      </c>
      <c r="Q3" s="739" t="s">
        <v>1294</v>
      </c>
      <c r="R3" s="738" t="s">
        <v>1295</v>
      </c>
      <c r="S3" s="735" t="s">
        <v>1290</v>
      </c>
      <c r="T3" s="736" t="s">
        <v>1291</v>
      </c>
      <c r="U3" s="736" t="s">
        <v>1292</v>
      </c>
      <c r="V3" s="736" t="s">
        <v>1293</v>
      </c>
      <c r="W3" s="736" t="s">
        <v>1294</v>
      </c>
      <c r="X3" s="740" t="s">
        <v>1290</v>
      </c>
      <c r="Y3" s="741" t="s">
        <v>1291</v>
      </c>
      <c r="Z3" s="741" t="s">
        <v>1292</v>
      </c>
      <c r="AA3" s="742" t="s">
        <v>1293</v>
      </c>
      <c r="AB3" s="733" t="s">
        <v>1294</v>
      </c>
      <c r="AC3" s="732" t="s">
        <v>1290</v>
      </c>
      <c r="AD3" s="729" t="s">
        <v>1291</v>
      </c>
      <c r="AE3" s="730" t="s">
        <v>1292</v>
      </c>
      <c r="AF3" s="730" t="s">
        <v>1293</v>
      </c>
      <c r="AG3" s="731" t="s">
        <v>1294</v>
      </c>
      <c r="AH3" s="837"/>
      <c r="AI3" s="837"/>
      <c r="AJ3" s="461"/>
    </row>
    <row r="4" spans="1:36" s="321" customFormat="1" ht="17.399999999999999" customHeight="1" thickBot="1" x14ac:dyDescent="0.3">
      <c r="A4" s="845"/>
      <c r="B4" s="847"/>
      <c r="C4" s="847"/>
      <c r="D4" s="847"/>
      <c r="E4" s="847"/>
      <c r="F4" s="847"/>
      <c r="G4" s="849"/>
      <c r="H4" s="754" t="s">
        <v>1296</v>
      </c>
      <c r="I4" s="754" t="s">
        <v>1296</v>
      </c>
      <c r="J4" s="754" t="s">
        <v>1296</v>
      </c>
      <c r="K4" s="754" t="s">
        <v>1296</v>
      </c>
      <c r="L4" s="754" t="s">
        <v>1296</v>
      </c>
      <c r="M4" s="734" t="s">
        <v>1296</v>
      </c>
      <c r="N4" s="734" t="s">
        <v>1296</v>
      </c>
      <c r="O4" s="734" t="s">
        <v>1296</v>
      </c>
      <c r="P4" s="734" t="s">
        <v>1296</v>
      </c>
      <c r="Q4" s="734" t="s">
        <v>1296</v>
      </c>
      <c r="R4" s="734" t="s">
        <v>1297</v>
      </c>
      <c r="S4" s="734" t="s">
        <v>1296</v>
      </c>
      <c r="T4" s="734" t="s">
        <v>1296</v>
      </c>
      <c r="U4" s="734" t="s">
        <v>1296</v>
      </c>
      <c r="V4" s="734" t="s">
        <v>1296</v>
      </c>
      <c r="W4" s="734" t="s">
        <v>1296</v>
      </c>
      <c r="X4" s="734" t="s">
        <v>1296</v>
      </c>
      <c r="Y4" s="734" t="s">
        <v>1296</v>
      </c>
      <c r="Z4" s="734" t="s">
        <v>1296</v>
      </c>
      <c r="AA4" s="734" t="s">
        <v>1296</v>
      </c>
      <c r="AB4" s="734" t="s">
        <v>1296</v>
      </c>
      <c r="AC4" s="726" t="s">
        <v>1819</v>
      </c>
      <c r="AD4" s="727" t="s">
        <v>1819</v>
      </c>
      <c r="AE4" s="727" t="s">
        <v>1819</v>
      </c>
      <c r="AF4" s="727" t="s">
        <v>1819</v>
      </c>
      <c r="AG4" s="728" t="s">
        <v>1818</v>
      </c>
      <c r="AH4" s="838"/>
      <c r="AI4" s="837"/>
      <c r="AJ4" s="461"/>
    </row>
    <row r="5" spans="1:36" s="321" customFormat="1" ht="11.25" customHeight="1" x14ac:dyDescent="0.25">
      <c r="A5" s="323" t="s">
        <v>378</v>
      </c>
      <c r="B5" s="324" t="s">
        <v>933</v>
      </c>
      <c r="C5" s="324" t="s">
        <v>5</v>
      </c>
      <c r="D5" s="324" t="s">
        <v>6</v>
      </c>
      <c r="E5" s="324" t="s">
        <v>4</v>
      </c>
      <c r="F5" s="325" t="s">
        <v>464</v>
      </c>
      <c r="G5" s="338"/>
      <c r="H5" s="761">
        <v>30</v>
      </c>
      <c r="I5" s="758">
        <v>30</v>
      </c>
      <c r="J5" s="611"/>
      <c r="K5" s="611">
        <v>0</v>
      </c>
      <c r="L5" s="612">
        <v>0</v>
      </c>
      <c r="M5" s="722"/>
      <c r="N5" s="723"/>
      <c r="O5" s="723"/>
      <c r="P5" s="723"/>
      <c r="Q5" s="723"/>
      <c r="R5" s="724"/>
      <c r="S5" s="723"/>
      <c r="T5" s="723"/>
      <c r="U5" s="723"/>
      <c r="V5" s="723"/>
      <c r="W5" s="723"/>
      <c r="X5" s="725">
        <f>H5-M5</f>
        <v>30</v>
      </c>
      <c r="Y5" s="725">
        <f>I5-N5</f>
        <v>30</v>
      </c>
      <c r="Z5" s="725">
        <f>J5-O5</f>
        <v>0</v>
      </c>
      <c r="AA5" s="725">
        <f>K5-P5</f>
        <v>0</v>
      </c>
      <c r="AB5" s="725">
        <f>L5-Q5</f>
        <v>0</v>
      </c>
      <c r="AC5" s="744">
        <f>(X5*1200000)/1530</f>
        <v>23529.411764705881</v>
      </c>
      <c r="AD5" s="745">
        <f>(Y5*400000)/1530</f>
        <v>7843.1372549019607</v>
      </c>
      <c r="AE5" s="745">
        <f>(Z5*250000)/1530</f>
        <v>0</v>
      </c>
      <c r="AF5" s="745">
        <f>(AA5*50000)/1530</f>
        <v>0</v>
      </c>
      <c r="AG5" s="747">
        <f>(AB5*2500000)/1530</f>
        <v>0</v>
      </c>
      <c r="AH5" s="743"/>
      <c r="AI5" s="340"/>
      <c r="AJ5" s="461"/>
    </row>
    <row r="6" spans="1:36" s="321" customFormat="1" ht="11.25" customHeight="1" x14ac:dyDescent="0.25">
      <c r="A6" s="323" t="s">
        <v>378</v>
      </c>
      <c r="B6" s="324" t="s">
        <v>1834</v>
      </c>
      <c r="C6" s="324" t="s">
        <v>5</v>
      </c>
      <c r="D6" s="324" t="s">
        <v>465</v>
      </c>
      <c r="E6" s="324" t="s">
        <v>375</v>
      </c>
      <c r="F6" s="325" t="s">
        <v>464</v>
      </c>
      <c r="G6" s="458"/>
      <c r="H6" s="614">
        <v>0</v>
      </c>
      <c r="I6" s="611">
        <v>0</v>
      </c>
      <c r="J6" s="611"/>
      <c r="K6" s="332"/>
      <c r="L6" s="612">
        <v>0</v>
      </c>
      <c r="M6" s="610"/>
      <c r="N6" s="332"/>
      <c r="O6" s="332"/>
      <c r="P6" s="332"/>
      <c r="Q6" s="332"/>
      <c r="R6" s="657"/>
      <c r="S6" s="332"/>
      <c r="T6" s="332"/>
      <c r="U6" s="332"/>
      <c r="V6" s="332"/>
      <c r="W6" s="332"/>
      <c r="X6" s="725">
        <f t="shared" ref="X6:X69" si="0">H6-M6</f>
        <v>0</v>
      </c>
      <c r="Y6" s="725">
        <f t="shared" ref="Y6:Y69" si="1">I6-N6</f>
        <v>0</v>
      </c>
      <c r="Z6" s="725">
        <f t="shared" ref="Z6:Z69" si="2">J6-O6</f>
        <v>0</v>
      </c>
      <c r="AA6" s="725">
        <f t="shared" ref="AA6:AA69" si="3">K6-P6</f>
        <v>0</v>
      </c>
      <c r="AB6" s="725">
        <f t="shared" ref="AB6:AB69" si="4">L6-Q6</f>
        <v>0</v>
      </c>
      <c r="AC6" s="744">
        <f t="shared" ref="AC6:AC69" si="5">(X6*1200000)/1530</f>
        <v>0</v>
      </c>
      <c r="AD6" s="745">
        <f t="shared" ref="AD6:AD69" si="6">(Y6*400000)/1530</f>
        <v>0</v>
      </c>
      <c r="AE6" s="745">
        <f t="shared" ref="AE6:AE69" si="7">(Z6*250000)/1530</f>
        <v>0</v>
      </c>
      <c r="AF6" s="745">
        <f t="shared" ref="AF6:AF69" si="8">(AA6*50000)/1530</f>
        <v>0</v>
      </c>
      <c r="AG6" s="747">
        <f t="shared" ref="AG6:AG69" si="9">(AB6*2500000)/1530</f>
        <v>0</v>
      </c>
      <c r="AH6" s="340"/>
      <c r="AI6" s="340"/>
      <c r="AJ6" s="461"/>
    </row>
    <row r="7" spans="1:36" s="321" customFormat="1" ht="11.25" customHeight="1" x14ac:dyDescent="0.25">
      <c r="A7" s="323" t="s">
        <v>378</v>
      </c>
      <c r="B7" s="324" t="s">
        <v>1834</v>
      </c>
      <c r="C7" s="324" t="s">
        <v>5</v>
      </c>
      <c r="D7" s="324" t="s">
        <v>14</v>
      </c>
      <c r="E7" s="324" t="s">
        <v>13</v>
      </c>
      <c r="F7" s="325" t="s">
        <v>464</v>
      </c>
      <c r="G7" s="458" t="s">
        <v>1263</v>
      </c>
      <c r="H7" s="614"/>
      <c r="I7" s="611"/>
      <c r="J7" s="758">
        <v>5</v>
      </c>
      <c r="K7" s="611">
        <v>16</v>
      </c>
      <c r="L7" s="612">
        <v>0</v>
      </c>
      <c r="M7" s="610"/>
      <c r="N7" s="332"/>
      <c r="O7" s="332"/>
      <c r="P7" s="332"/>
      <c r="Q7" s="332"/>
      <c r="R7" s="657"/>
      <c r="S7" s="332"/>
      <c r="T7" s="332"/>
      <c r="U7" s="332"/>
      <c r="V7" s="332"/>
      <c r="W7" s="332"/>
      <c r="X7" s="725">
        <f t="shared" si="0"/>
        <v>0</v>
      </c>
      <c r="Y7" s="725">
        <f t="shared" si="1"/>
        <v>0</v>
      </c>
      <c r="Z7" s="725">
        <f t="shared" si="2"/>
        <v>5</v>
      </c>
      <c r="AA7" s="725">
        <f t="shared" si="3"/>
        <v>16</v>
      </c>
      <c r="AB7" s="725">
        <f t="shared" si="4"/>
        <v>0</v>
      </c>
      <c r="AC7" s="744">
        <f t="shared" si="5"/>
        <v>0</v>
      </c>
      <c r="AD7" s="745">
        <f t="shared" si="6"/>
        <v>0</v>
      </c>
      <c r="AE7" s="745">
        <f t="shared" si="7"/>
        <v>816.99346405228755</v>
      </c>
      <c r="AF7" s="745">
        <f t="shared" si="8"/>
        <v>522.87581699346401</v>
      </c>
      <c r="AG7" s="747">
        <f t="shared" si="9"/>
        <v>0</v>
      </c>
      <c r="AH7" s="340"/>
      <c r="AI7" s="340"/>
      <c r="AJ7" s="461" t="s">
        <v>1299</v>
      </c>
    </row>
    <row r="8" spans="1:36" s="321" customFormat="1" ht="11.25" customHeight="1" x14ac:dyDescent="0.25">
      <c r="A8" s="323" t="s">
        <v>378</v>
      </c>
      <c r="B8" s="324" t="s">
        <v>462</v>
      </c>
      <c r="C8" s="324" t="s">
        <v>5</v>
      </c>
      <c r="D8" s="333" t="s">
        <v>1300</v>
      </c>
      <c r="E8" s="333" t="s">
        <v>17</v>
      </c>
      <c r="F8" s="325" t="s">
        <v>464</v>
      </c>
      <c r="G8" s="339"/>
      <c r="H8" s="761">
        <v>35</v>
      </c>
      <c r="I8" s="759">
        <v>35</v>
      </c>
      <c r="J8" s="758">
        <v>20</v>
      </c>
      <c r="K8" s="611">
        <v>30</v>
      </c>
      <c r="L8" s="612"/>
      <c r="M8" s="610">
        <v>33</v>
      </c>
      <c r="N8" s="332">
        <v>33</v>
      </c>
      <c r="O8" s="332"/>
      <c r="P8" s="332"/>
      <c r="Q8" s="332"/>
      <c r="R8" s="657" t="s">
        <v>2094</v>
      </c>
      <c r="S8" s="332"/>
      <c r="T8" s="332"/>
      <c r="U8" s="332"/>
      <c r="V8" s="332"/>
      <c r="W8" s="332"/>
      <c r="X8" s="725">
        <f t="shared" si="0"/>
        <v>2</v>
      </c>
      <c r="Y8" s="725">
        <f t="shared" si="1"/>
        <v>2</v>
      </c>
      <c r="Z8" s="725">
        <f t="shared" si="2"/>
        <v>20</v>
      </c>
      <c r="AA8" s="725">
        <f t="shared" si="3"/>
        <v>30</v>
      </c>
      <c r="AB8" s="725">
        <f t="shared" si="4"/>
        <v>0</v>
      </c>
      <c r="AC8" s="744">
        <f t="shared" si="5"/>
        <v>1568.6274509803923</v>
      </c>
      <c r="AD8" s="745">
        <f t="shared" si="6"/>
        <v>522.87581699346401</v>
      </c>
      <c r="AE8" s="745">
        <f t="shared" si="7"/>
        <v>3267.9738562091502</v>
      </c>
      <c r="AF8" s="745">
        <f t="shared" si="8"/>
        <v>980.39215686274508</v>
      </c>
      <c r="AG8" s="747">
        <f t="shared" si="9"/>
        <v>0</v>
      </c>
      <c r="AH8" s="340"/>
      <c r="AI8" s="340"/>
      <c r="AJ8" s="461" t="s">
        <v>1558</v>
      </c>
    </row>
    <row r="9" spans="1:36" s="321" customFormat="1" ht="11.25" customHeight="1" x14ac:dyDescent="0.25">
      <c r="A9" s="323" t="s">
        <v>378</v>
      </c>
      <c r="B9" s="324" t="s">
        <v>462</v>
      </c>
      <c r="C9" s="324" t="s">
        <v>5</v>
      </c>
      <c r="D9" s="324" t="s">
        <v>8</v>
      </c>
      <c r="E9" s="324" t="s">
        <v>7</v>
      </c>
      <c r="F9" s="325" t="s">
        <v>464</v>
      </c>
      <c r="G9" s="458"/>
      <c r="H9" s="610">
        <v>0</v>
      </c>
      <c r="I9" s="332">
        <v>8</v>
      </c>
      <c r="J9" s="332"/>
      <c r="K9" s="332"/>
      <c r="L9" s="613">
        <v>0</v>
      </c>
      <c r="M9" s="610"/>
      <c r="N9" s="332"/>
      <c r="O9" s="332"/>
      <c r="P9" s="332"/>
      <c r="Q9" s="332"/>
      <c r="R9" s="657"/>
      <c r="S9" s="332"/>
      <c r="T9" s="332"/>
      <c r="U9" s="332"/>
      <c r="V9" s="332"/>
      <c r="W9" s="332"/>
      <c r="X9" s="725">
        <f t="shared" si="0"/>
        <v>0</v>
      </c>
      <c r="Y9" s="725">
        <f t="shared" si="1"/>
        <v>8</v>
      </c>
      <c r="Z9" s="725">
        <f t="shared" si="2"/>
        <v>0</v>
      </c>
      <c r="AA9" s="725">
        <f t="shared" si="3"/>
        <v>0</v>
      </c>
      <c r="AB9" s="725">
        <f t="shared" si="4"/>
        <v>0</v>
      </c>
      <c r="AC9" s="744">
        <f t="shared" si="5"/>
        <v>0</v>
      </c>
      <c r="AD9" s="745">
        <f t="shared" si="6"/>
        <v>2091.5032679738561</v>
      </c>
      <c r="AE9" s="745">
        <f t="shared" si="7"/>
        <v>0</v>
      </c>
      <c r="AF9" s="745">
        <f t="shared" si="8"/>
        <v>0</v>
      </c>
      <c r="AG9" s="747">
        <f t="shared" si="9"/>
        <v>0</v>
      </c>
      <c r="AH9" s="340"/>
      <c r="AI9" s="340"/>
      <c r="AJ9" s="461"/>
    </row>
    <row r="10" spans="1:36" s="321" customFormat="1" ht="11.25" customHeight="1" x14ac:dyDescent="0.25">
      <c r="A10" s="323" t="s">
        <v>378</v>
      </c>
      <c r="B10" s="324" t="s">
        <v>933</v>
      </c>
      <c r="C10" s="324" t="s">
        <v>5</v>
      </c>
      <c r="D10" s="324" t="s">
        <v>20</v>
      </c>
      <c r="E10" s="324" t="s">
        <v>19</v>
      </c>
      <c r="F10" s="325" t="s">
        <v>464</v>
      </c>
      <c r="G10" s="458"/>
      <c r="H10" s="614"/>
      <c r="I10" s="611">
        <v>0</v>
      </c>
      <c r="J10" s="611">
        <v>0</v>
      </c>
      <c r="K10" s="611">
        <v>0</v>
      </c>
      <c r="L10" s="613"/>
      <c r="M10" s="610"/>
      <c r="N10" s="332"/>
      <c r="O10" s="332"/>
      <c r="P10" s="332"/>
      <c r="Q10" s="332"/>
      <c r="R10" s="657"/>
      <c r="S10" s="332"/>
      <c r="T10" s="332"/>
      <c r="U10" s="332"/>
      <c r="V10" s="332"/>
      <c r="W10" s="332"/>
      <c r="X10" s="725">
        <f t="shared" si="0"/>
        <v>0</v>
      </c>
      <c r="Y10" s="725">
        <f t="shared" si="1"/>
        <v>0</v>
      </c>
      <c r="Z10" s="725">
        <f t="shared" si="2"/>
        <v>0</v>
      </c>
      <c r="AA10" s="725">
        <f t="shared" si="3"/>
        <v>0</v>
      </c>
      <c r="AB10" s="725">
        <f t="shared" si="4"/>
        <v>0</v>
      </c>
      <c r="AC10" s="744">
        <f t="shared" si="5"/>
        <v>0</v>
      </c>
      <c r="AD10" s="745">
        <f t="shared" si="6"/>
        <v>0</v>
      </c>
      <c r="AE10" s="745">
        <f t="shared" si="7"/>
        <v>0</v>
      </c>
      <c r="AF10" s="745">
        <f t="shared" si="8"/>
        <v>0</v>
      </c>
      <c r="AG10" s="747">
        <f t="shared" si="9"/>
        <v>0</v>
      </c>
      <c r="AH10" s="340"/>
      <c r="AI10" s="340"/>
      <c r="AJ10" s="461"/>
    </row>
    <row r="11" spans="1:36" s="321" customFormat="1" ht="10.95" customHeight="1" x14ac:dyDescent="0.25">
      <c r="A11" s="323" t="s">
        <v>378</v>
      </c>
      <c r="B11" s="324" t="s">
        <v>1834</v>
      </c>
      <c r="C11" s="324" t="s">
        <v>5</v>
      </c>
      <c r="D11" s="324" t="s">
        <v>364</v>
      </c>
      <c r="E11" s="324" t="s">
        <v>374</v>
      </c>
      <c r="F11" s="325" t="s">
        <v>464</v>
      </c>
      <c r="G11" s="458" t="s">
        <v>1301</v>
      </c>
      <c r="H11" s="614"/>
      <c r="I11" s="611"/>
      <c r="J11" s="758">
        <v>12</v>
      </c>
      <c r="K11" s="758">
        <v>5</v>
      </c>
      <c r="L11" s="612">
        <v>1</v>
      </c>
      <c r="M11" s="610"/>
      <c r="N11" s="332"/>
      <c r="O11" s="759">
        <v>10</v>
      </c>
      <c r="P11" s="759">
        <v>5</v>
      </c>
      <c r="Q11" s="332"/>
      <c r="R11" s="657" t="s">
        <v>1834</v>
      </c>
      <c r="S11" s="332"/>
      <c r="T11" s="332"/>
      <c r="U11" s="332"/>
      <c r="V11" s="332"/>
      <c r="W11" s="332"/>
      <c r="X11" s="725">
        <f t="shared" si="0"/>
        <v>0</v>
      </c>
      <c r="Y11" s="725">
        <f t="shared" si="1"/>
        <v>0</v>
      </c>
      <c r="Z11" s="725">
        <f t="shared" si="2"/>
        <v>2</v>
      </c>
      <c r="AA11" s="725">
        <f t="shared" si="3"/>
        <v>0</v>
      </c>
      <c r="AB11" s="725">
        <f t="shared" si="4"/>
        <v>1</v>
      </c>
      <c r="AC11" s="744">
        <f t="shared" si="5"/>
        <v>0</v>
      </c>
      <c r="AD11" s="745">
        <f t="shared" si="6"/>
        <v>0</v>
      </c>
      <c r="AE11" s="745">
        <f t="shared" si="7"/>
        <v>326.79738562091501</v>
      </c>
      <c r="AF11" s="745">
        <f t="shared" si="8"/>
        <v>0</v>
      </c>
      <c r="AG11" s="747">
        <f t="shared" si="9"/>
        <v>1633.9869281045751</v>
      </c>
      <c r="AH11" s="340"/>
      <c r="AI11" s="340"/>
      <c r="AJ11" s="461" t="s">
        <v>1299</v>
      </c>
    </row>
    <row r="12" spans="1:36" s="321" customFormat="1" ht="11.25" customHeight="1" x14ac:dyDescent="0.25">
      <c r="A12" s="323" t="s">
        <v>378</v>
      </c>
      <c r="B12" s="324" t="s">
        <v>1834</v>
      </c>
      <c r="C12" s="324" t="s">
        <v>5</v>
      </c>
      <c r="D12" s="324" t="s">
        <v>22</v>
      </c>
      <c r="E12" s="324" t="s">
        <v>21</v>
      </c>
      <c r="F12" s="325" t="s">
        <v>464</v>
      </c>
      <c r="G12" s="458" t="s">
        <v>1263</v>
      </c>
      <c r="H12" s="760">
        <v>59</v>
      </c>
      <c r="I12" s="611">
        <v>77</v>
      </c>
      <c r="J12" s="758">
        <v>14</v>
      </c>
      <c r="K12" s="611">
        <v>102</v>
      </c>
      <c r="L12" s="612">
        <v>0</v>
      </c>
      <c r="M12" s="610"/>
      <c r="N12" s="332"/>
      <c r="O12" s="759">
        <v>14</v>
      </c>
      <c r="P12" s="332">
        <v>10</v>
      </c>
      <c r="Q12" s="332"/>
      <c r="R12" s="657" t="s">
        <v>1907</v>
      </c>
      <c r="S12" s="332"/>
      <c r="T12" s="332"/>
      <c r="U12" s="332"/>
      <c r="V12" s="332"/>
      <c r="W12" s="332"/>
      <c r="X12" s="725">
        <f t="shared" si="0"/>
        <v>59</v>
      </c>
      <c r="Y12" s="725">
        <f t="shared" si="1"/>
        <v>77</v>
      </c>
      <c r="Z12" s="725">
        <f t="shared" si="2"/>
        <v>0</v>
      </c>
      <c r="AA12" s="725">
        <f t="shared" si="3"/>
        <v>92</v>
      </c>
      <c r="AB12" s="725">
        <f t="shared" si="4"/>
        <v>0</v>
      </c>
      <c r="AC12" s="744">
        <f t="shared" si="5"/>
        <v>46274.509803921566</v>
      </c>
      <c r="AD12" s="745">
        <f t="shared" si="6"/>
        <v>20130.718954248365</v>
      </c>
      <c r="AE12" s="745">
        <f t="shared" si="7"/>
        <v>0</v>
      </c>
      <c r="AF12" s="745">
        <f t="shared" si="8"/>
        <v>3006.5359477124184</v>
      </c>
      <c r="AG12" s="747">
        <f t="shared" si="9"/>
        <v>0</v>
      </c>
      <c r="AH12" s="340"/>
      <c r="AI12" s="340"/>
      <c r="AJ12" s="461"/>
    </row>
    <row r="13" spans="1:36" s="321" customFormat="1" ht="11.25" customHeight="1" x14ac:dyDescent="0.25">
      <c r="A13" s="323" t="s">
        <v>378</v>
      </c>
      <c r="B13" s="324" t="s">
        <v>462</v>
      </c>
      <c r="C13" s="324" t="s">
        <v>5</v>
      </c>
      <c r="D13" s="324" t="s">
        <v>26</v>
      </c>
      <c r="E13" s="324" t="s">
        <v>25</v>
      </c>
      <c r="F13" s="325" t="s">
        <v>464</v>
      </c>
      <c r="G13" s="458"/>
      <c r="H13" s="610">
        <v>0</v>
      </c>
      <c r="I13" s="332">
        <v>0</v>
      </c>
      <c r="J13" s="332"/>
      <c r="K13" s="332"/>
      <c r="L13" s="613">
        <v>0</v>
      </c>
      <c r="M13" s="610"/>
      <c r="N13" s="332"/>
      <c r="O13" s="332"/>
      <c r="P13" s="332"/>
      <c r="Q13" s="332"/>
      <c r="R13" s="657"/>
      <c r="S13" s="332"/>
      <c r="T13" s="332"/>
      <c r="U13" s="332"/>
      <c r="V13" s="332"/>
      <c r="W13" s="332"/>
      <c r="X13" s="725">
        <f t="shared" si="0"/>
        <v>0</v>
      </c>
      <c r="Y13" s="725">
        <f t="shared" si="1"/>
        <v>0</v>
      </c>
      <c r="Z13" s="725">
        <f t="shared" si="2"/>
        <v>0</v>
      </c>
      <c r="AA13" s="725">
        <f t="shared" si="3"/>
        <v>0</v>
      </c>
      <c r="AB13" s="725">
        <f t="shared" si="4"/>
        <v>0</v>
      </c>
      <c r="AC13" s="744">
        <f t="shared" si="5"/>
        <v>0</v>
      </c>
      <c r="AD13" s="745">
        <f t="shared" si="6"/>
        <v>0</v>
      </c>
      <c r="AE13" s="745">
        <f t="shared" si="7"/>
        <v>0</v>
      </c>
      <c r="AF13" s="745">
        <f t="shared" si="8"/>
        <v>0</v>
      </c>
      <c r="AG13" s="747">
        <f t="shared" si="9"/>
        <v>0</v>
      </c>
      <c r="AH13" s="340"/>
      <c r="AI13" s="340"/>
      <c r="AJ13" s="461"/>
    </row>
    <row r="14" spans="1:36" s="321" customFormat="1" ht="11.25" customHeight="1" x14ac:dyDescent="0.25">
      <c r="A14" s="326" t="s">
        <v>3</v>
      </c>
      <c r="B14" s="327"/>
      <c r="C14" s="327"/>
      <c r="D14" s="328"/>
      <c r="E14" s="329"/>
      <c r="F14" s="330"/>
      <c r="G14" s="464"/>
      <c r="H14" s="799">
        <f>SUM(H5:H13)</f>
        <v>124</v>
      </c>
      <c r="I14" s="799">
        <f t="shared" ref="I14:AI14" si="10">SUM(I5:I13)</f>
        <v>150</v>
      </c>
      <c r="J14" s="799">
        <f t="shared" si="10"/>
        <v>51</v>
      </c>
      <c r="K14" s="799">
        <f t="shared" si="10"/>
        <v>153</v>
      </c>
      <c r="L14" s="799">
        <f t="shared" si="10"/>
        <v>1</v>
      </c>
      <c r="M14" s="799">
        <f t="shared" si="10"/>
        <v>33</v>
      </c>
      <c r="N14" s="799">
        <f t="shared" si="10"/>
        <v>33</v>
      </c>
      <c r="O14" s="799">
        <f t="shared" si="10"/>
        <v>24</v>
      </c>
      <c r="P14" s="799">
        <f t="shared" si="10"/>
        <v>15</v>
      </c>
      <c r="Q14" s="799">
        <f t="shared" si="10"/>
        <v>0</v>
      </c>
      <c r="R14" s="331">
        <f t="shared" si="10"/>
        <v>0</v>
      </c>
      <c r="S14" s="331">
        <f t="shared" si="10"/>
        <v>0</v>
      </c>
      <c r="T14" s="331">
        <f t="shared" si="10"/>
        <v>0</v>
      </c>
      <c r="U14" s="331">
        <f t="shared" si="10"/>
        <v>0</v>
      </c>
      <c r="V14" s="331">
        <f t="shared" si="10"/>
        <v>0</v>
      </c>
      <c r="W14" s="331">
        <f t="shared" si="10"/>
        <v>0</v>
      </c>
      <c r="X14" s="331">
        <f t="shared" ref="X14" si="11">SUM(X5:X13)</f>
        <v>91</v>
      </c>
      <c r="Y14" s="331">
        <f t="shared" ref="Y14" si="12">SUM(Y5:Y13)</f>
        <v>117</v>
      </c>
      <c r="Z14" s="331">
        <f t="shared" ref="Z14" si="13">SUM(Z5:Z13)</f>
        <v>27</v>
      </c>
      <c r="AA14" s="331">
        <f t="shared" ref="AA14" si="14">SUM(AA5:AA13)</f>
        <v>138</v>
      </c>
      <c r="AB14" s="746">
        <f t="shared" ref="AB14:AG14" si="15">SUM(AB5:AB13)</f>
        <v>1</v>
      </c>
      <c r="AC14" s="746">
        <f t="shared" si="15"/>
        <v>71372.549019607832</v>
      </c>
      <c r="AD14" s="746">
        <f t="shared" si="15"/>
        <v>30588.235294117643</v>
      </c>
      <c r="AE14" s="746">
        <f t="shared" si="15"/>
        <v>4411.7647058823522</v>
      </c>
      <c r="AF14" s="746">
        <f t="shared" si="15"/>
        <v>4509.8039215686276</v>
      </c>
      <c r="AG14" s="746">
        <f t="shared" si="15"/>
        <v>1633.9869281045751</v>
      </c>
      <c r="AH14" s="331">
        <f t="shared" si="10"/>
        <v>0</v>
      </c>
      <c r="AI14" s="331">
        <f t="shared" si="10"/>
        <v>0</v>
      </c>
      <c r="AJ14" s="461"/>
    </row>
    <row r="15" spans="1:36" s="321" customFormat="1" ht="11.25" customHeight="1" x14ac:dyDescent="0.25">
      <c r="A15" s="323" t="s">
        <v>378</v>
      </c>
      <c r="B15" s="324" t="s">
        <v>462</v>
      </c>
      <c r="C15" s="324" t="s">
        <v>27</v>
      </c>
      <c r="D15" s="324" t="s">
        <v>28</v>
      </c>
      <c r="E15" s="324" t="s">
        <v>30</v>
      </c>
      <c r="F15" s="325" t="s">
        <v>464</v>
      </c>
      <c r="G15" s="338"/>
      <c r="H15" s="610">
        <v>60</v>
      </c>
      <c r="I15" s="332">
        <v>60</v>
      </c>
      <c r="J15" s="332">
        <v>2</v>
      </c>
      <c r="K15" s="332">
        <v>20</v>
      </c>
      <c r="L15" s="613">
        <v>1</v>
      </c>
      <c r="M15" s="610">
        <v>10</v>
      </c>
      <c r="N15" s="332">
        <v>10</v>
      </c>
      <c r="O15" s="332"/>
      <c r="P15" s="332"/>
      <c r="Q15" s="332"/>
      <c r="R15" s="657" t="s">
        <v>1879</v>
      </c>
      <c r="S15" s="332"/>
      <c r="T15" s="332"/>
      <c r="U15" s="332"/>
      <c r="V15" s="332"/>
      <c r="W15" s="332"/>
      <c r="X15" s="725">
        <f t="shared" si="0"/>
        <v>50</v>
      </c>
      <c r="Y15" s="725">
        <f t="shared" si="1"/>
        <v>50</v>
      </c>
      <c r="Z15" s="725">
        <f t="shared" si="2"/>
        <v>2</v>
      </c>
      <c r="AA15" s="725">
        <f t="shared" si="3"/>
        <v>20</v>
      </c>
      <c r="AB15" s="725">
        <f t="shared" si="4"/>
        <v>1</v>
      </c>
      <c r="AC15" s="744">
        <f t="shared" si="5"/>
        <v>39215.686274509804</v>
      </c>
      <c r="AD15" s="745">
        <f t="shared" si="6"/>
        <v>13071.895424836601</v>
      </c>
      <c r="AE15" s="745">
        <f t="shared" si="7"/>
        <v>326.79738562091501</v>
      </c>
      <c r="AF15" s="745">
        <f t="shared" si="8"/>
        <v>653.59477124183002</v>
      </c>
      <c r="AG15" s="747">
        <f t="shared" si="9"/>
        <v>1633.9869281045751</v>
      </c>
      <c r="AH15" s="340"/>
      <c r="AI15" s="340"/>
      <c r="AJ15" s="461"/>
    </row>
    <row r="16" spans="1:36" s="321" customFormat="1" ht="11.25" customHeight="1" x14ac:dyDescent="0.25">
      <c r="A16" s="323" t="s">
        <v>378</v>
      </c>
      <c r="B16" s="324" t="s">
        <v>462</v>
      </c>
      <c r="C16" s="324" t="s">
        <v>27</v>
      </c>
      <c r="D16" s="324" t="s">
        <v>363</v>
      </c>
      <c r="E16" s="324" t="s">
        <v>376</v>
      </c>
      <c r="F16" s="325" t="s">
        <v>464</v>
      </c>
      <c r="G16" s="458"/>
      <c r="H16" s="610">
        <v>30</v>
      </c>
      <c r="I16" s="332">
        <v>30</v>
      </c>
      <c r="J16" s="332">
        <v>12</v>
      </c>
      <c r="K16" s="332">
        <v>15</v>
      </c>
      <c r="L16" s="613">
        <v>0</v>
      </c>
      <c r="M16" s="610">
        <v>10</v>
      </c>
      <c r="N16" s="332">
        <v>10</v>
      </c>
      <c r="O16" s="332"/>
      <c r="P16" s="332"/>
      <c r="Q16" s="332"/>
      <c r="R16" s="657" t="s">
        <v>1879</v>
      </c>
      <c r="S16" s="332"/>
      <c r="T16" s="332"/>
      <c r="U16" s="332"/>
      <c r="V16" s="332"/>
      <c r="W16" s="332"/>
      <c r="X16" s="725">
        <f t="shared" si="0"/>
        <v>20</v>
      </c>
      <c r="Y16" s="725">
        <f t="shared" si="1"/>
        <v>20</v>
      </c>
      <c r="Z16" s="725">
        <f t="shared" si="2"/>
        <v>12</v>
      </c>
      <c r="AA16" s="725">
        <f t="shared" si="3"/>
        <v>15</v>
      </c>
      <c r="AB16" s="725">
        <f t="shared" si="4"/>
        <v>0</v>
      </c>
      <c r="AC16" s="744">
        <f t="shared" si="5"/>
        <v>15686.274509803921</v>
      </c>
      <c r="AD16" s="745">
        <f t="shared" si="6"/>
        <v>5228.7581699346401</v>
      </c>
      <c r="AE16" s="745">
        <f t="shared" si="7"/>
        <v>1960.7843137254902</v>
      </c>
      <c r="AF16" s="745">
        <f t="shared" si="8"/>
        <v>490.19607843137254</v>
      </c>
      <c r="AG16" s="747">
        <f t="shared" si="9"/>
        <v>0</v>
      </c>
      <c r="AH16" s="340"/>
      <c r="AI16" s="340"/>
      <c r="AJ16" s="461"/>
    </row>
    <row r="17" spans="1:36" s="321" customFormat="1" ht="11.25" customHeight="1" x14ac:dyDescent="0.25">
      <c r="A17" s="323" t="s">
        <v>378</v>
      </c>
      <c r="B17" s="324" t="s">
        <v>934</v>
      </c>
      <c r="C17" s="324" t="s">
        <v>27</v>
      </c>
      <c r="D17" s="324" t="s">
        <v>790</v>
      </c>
      <c r="E17" s="324" t="s">
        <v>789</v>
      </c>
      <c r="F17" s="325" t="s">
        <v>464</v>
      </c>
      <c r="G17" s="338"/>
      <c r="H17" s="610"/>
      <c r="I17" s="611">
        <v>0</v>
      </c>
      <c r="J17" s="611">
        <v>0</v>
      </c>
      <c r="K17" s="611">
        <v>0</v>
      </c>
      <c r="L17" s="612">
        <v>0</v>
      </c>
      <c r="M17" s="610"/>
      <c r="N17" s="332"/>
      <c r="O17" s="332"/>
      <c r="P17" s="332"/>
      <c r="Q17" s="332"/>
      <c r="R17" s="657"/>
      <c r="S17" s="332"/>
      <c r="T17" s="332"/>
      <c r="U17" s="332"/>
      <c r="V17" s="332"/>
      <c r="W17" s="332"/>
      <c r="X17" s="725">
        <f t="shared" si="0"/>
        <v>0</v>
      </c>
      <c r="Y17" s="725">
        <f t="shared" si="1"/>
        <v>0</v>
      </c>
      <c r="Z17" s="725">
        <f t="shared" si="2"/>
        <v>0</v>
      </c>
      <c r="AA17" s="725">
        <f t="shared" si="3"/>
        <v>0</v>
      </c>
      <c r="AB17" s="725">
        <f t="shared" si="4"/>
        <v>0</v>
      </c>
      <c r="AC17" s="744">
        <f t="shared" si="5"/>
        <v>0</v>
      </c>
      <c r="AD17" s="745">
        <f t="shared" si="6"/>
        <v>0</v>
      </c>
      <c r="AE17" s="745">
        <f t="shared" si="7"/>
        <v>0</v>
      </c>
      <c r="AF17" s="745">
        <f t="shared" si="8"/>
        <v>0</v>
      </c>
      <c r="AG17" s="747">
        <f t="shared" si="9"/>
        <v>0</v>
      </c>
      <c r="AH17" s="340"/>
      <c r="AI17" s="340"/>
      <c r="AJ17" s="461"/>
    </row>
    <row r="18" spans="1:36" s="321" customFormat="1" ht="11.25" customHeight="1" x14ac:dyDescent="0.25">
      <c r="A18" s="323" t="s">
        <v>378</v>
      </c>
      <c r="B18" s="324" t="s">
        <v>1835</v>
      </c>
      <c r="C18" s="324" t="s">
        <v>27</v>
      </c>
      <c r="D18" s="324" t="s">
        <v>362</v>
      </c>
      <c r="E18" s="324" t="s">
        <v>29</v>
      </c>
      <c r="F18" s="325" t="s">
        <v>466</v>
      </c>
      <c r="G18" s="338" t="s">
        <v>1263</v>
      </c>
      <c r="H18" s="615">
        <v>47</v>
      </c>
      <c r="I18" s="616">
        <v>47</v>
      </c>
      <c r="J18" s="616"/>
      <c r="K18" s="616"/>
      <c r="L18" s="617">
        <v>1</v>
      </c>
      <c r="M18" s="610"/>
      <c r="N18" s="332"/>
      <c r="O18" s="332"/>
      <c r="P18" s="332"/>
      <c r="Q18" s="332"/>
      <c r="R18" s="657"/>
      <c r="S18" s="332"/>
      <c r="T18" s="332"/>
      <c r="U18" s="332"/>
      <c r="V18" s="332"/>
      <c r="W18" s="332"/>
      <c r="X18" s="725">
        <f t="shared" si="0"/>
        <v>47</v>
      </c>
      <c r="Y18" s="725">
        <f t="shared" si="1"/>
        <v>47</v>
      </c>
      <c r="Z18" s="725">
        <f t="shared" si="2"/>
        <v>0</v>
      </c>
      <c r="AA18" s="725">
        <f t="shared" si="3"/>
        <v>0</v>
      </c>
      <c r="AB18" s="725">
        <f t="shared" si="4"/>
        <v>1</v>
      </c>
      <c r="AC18" s="744">
        <f t="shared" si="5"/>
        <v>36862.745098039217</v>
      </c>
      <c r="AD18" s="745">
        <f t="shared" si="6"/>
        <v>12287.581699346405</v>
      </c>
      <c r="AE18" s="745">
        <f t="shared" si="7"/>
        <v>0</v>
      </c>
      <c r="AF18" s="745">
        <f t="shared" si="8"/>
        <v>0</v>
      </c>
      <c r="AG18" s="747">
        <f t="shared" si="9"/>
        <v>1633.9869281045751</v>
      </c>
      <c r="AH18" s="340"/>
      <c r="AI18" s="340"/>
      <c r="AJ18" s="461"/>
    </row>
    <row r="19" spans="1:36" s="321" customFormat="1" ht="11.25" customHeight="1" x14ac:dyDescent="0.25">
      <c r="A19" s="323" t="s">
        <v>378</v>
      </c>
      <c r="B19" s="324" t="s">
        <v>934</v>
      </c>
      <c r="C19" s="324" t="s">
        <v>27</v>
      </c>
      <c r="D19" s="324" t="s">
        <v>873</v>
      </c>
      <c r="E19" s="324" t="s">
        <v>874</v>
      </c>
      <c r="F19" s="325" t="s">
        <v>464</v>
      </c>
      <c r="G19" s="456"/>
      <c r="H19" s="615"/>
      <c r="I19" s="616"/>
      <c r="J19" s="616"/>
      <c r="K19" s="616"/>
      <c r="L19" s="617"/>
      <c r="M19" s="610"/>
      <c r="N19" s="332"/>
      <c r="O19" s="332"/>
      <c r="P19" s="332"/>
      <c r="Q19" s="332"/>
      <c r="R19" s="657"/>
      <c r="S19" s="332"/>
      <c r="T19" s="332"/>
      <c r="U19" s="332"/>
      <c r="V19" s="332"/>
      <c r="W19" s="332"/>
      <c r="X19" s="725">
        <f t="shared" si="0"/>
        <v>0</v>
      </c>
      <c r="Y19" s="725">
        <f t="shared" si="1"/>
        <v>0</v>
      </c>
      <c r="Z19" s="725">
        <f t="shared" si="2"/>
        <v>0</v>
      </c>
      <c r="AA19" s="725">
        <f t="shared" si="3"/>
        <v>0</v>
      </c>
      <c r="AB19" s="725">
        <f t="shared" si="4"/>
        <v>0</v>
      </c>
      <c r="AC19" s="744">
        <f t="shared" si="5"/>
        <v>0</v>
      </c>
      <c r="AD19" s="745">
        <f t="shared" si="6"/>
        <v>0</v>
      </c>
      <c r="AE19" s="745">
        <f t="shared" si="7"/>
        <v>0</v>
      </c>
      <c r="AF19" s="745">
        <f t="shared" si="8"/>
        <v>0</v>
      </c>
      <c r="AG19" s="747">
        <f t="shared" si="9"/>
        <v>0</v>
      </c>
      <c r="AH19" s="340"/>
      <c r="AI19" s="340"/>
      <c r="AJ19" s="461"/>
    </row>
    <row r="20" spans="1:36" s="321" customFormat="1" ht="11.25" customHeight="1" x14ac:dyDescent="0.25">
      <c r="A20" s="326" t="s">
        <v>3</v>
      </c>
      <c r="B20" s="327"/>
      <c r="C20" s="327"/>
      <c r="D20" s="328"/>
      <c r="E20" s="329"/>
      <c r="F20" s="330"/>
      <c r="G20" s="464"/>
      <c r="H20" s="799">
        <f>SUM(H15:H19)</f>
        <v>137</v>
      </c>
      <c r="I20" s="799">
        <f t="shared" ref="I20:AI20" si="16">SUM(I15:I19)</f>
        <v>137</v>
      </c>
      <c r="J20" s="799">
        <f t="shared" si="16"/>
        <v>14</v>
      </c>
      <c r="K20" s="799">
        <f t="shared" si="16"/>
        <v>35</v>
      </c>
      <c r="L20" s="799">
        <f t="shared" si="16"/>
        <v>2</v>
      </c>
      <c r="M20" s="799">
        <f t="shared" si="16"/>
        <v>20</v>
      </c>
      <c r="N20" s="799">
        <f t="shared" si="16"/>
        <v>20</v>
      </c>
      <c r="O20" s="799">
        <f t="shared" si="16"/>
        <v>0</v>
      </c>
      <c r="P20" s="799">
        <f t="shared" si="16"/>
        <v>0</v>
      </c>
      <c r="Q20" s="799">
        <f t="shared" si="16"/>
        <v>0</v>
      </c>
      <c r="R20" s="331">
        <f t="shared" si="16"/>
        <v>0</v>
      </c>
      <c r="S20" s="331">
        <f t="shared" si="16"/>
        <v>0</v>
      </c>
      <c r="T20" s="331">
        <f t="shared" si="16"/>
        <v>0</v>
      </c>
      <c r="U20" s="331">
        <f t="shared" si="16"/>
        <v>0</v>
      </c>
      <c r="V20" s="331">
        <f t="shared" si="16"/>
        <v>0</v>
      </c>
      <c r="W20" s="331">
        <f t="shared" si="16"/>
        <v>0</v>
      </c>
      <c r="X20" s="331">
        <f t="shared" ref="X20" si="17">SUM(X15:X19)</f>
        <v>117</v>
      </c>
      <c r="Y20" s="331">
        <f t="shared" ref="Y20" si="18">SUM(Y15:Y19)</f>
        <v>117</v>
      </c>
      <c r="Z20" s="331">
        <f t="shared" ref="Z20" si="19">SUM(Z15:Z19)</f>
        <v>14</v>
      </c>
      <c r="AA20" s="331">
        <f t="shared" ref="AA20" si="20">SUM(AA15:AA19)</f>
        <v>35</v>
      </c>
      <c r="AB20" s="331">
        <f t="shared" ref="AB20:AG20" si="21">SUM(AB15:AB19)</f>
        <v>2</v>
      </c>
      <c r="AC20" s="746">
        <f t="shared" si="21"/>
        <v>91764.705882352951</v>
      </c>
      <c r="AD20" s="746">
        <f t="shared" si="21"/>
        <v>30588.235294117643</v>
      </c>
      <c r="AE20" s="746">
        <f t="shared" si="21"/>
        <v>2287.581699346405</v>
      </c>
      <c r="AF20" s="746">
        <f t="shared" si="21"/>
        <v>1143.7908496732025</v>
      </c>
      <c r="AG20" s="746">
        <f t="shared" si="21"/>
        <v>3267.9738562091502</v>
      </c>
      <c r="AH20" s="331">
        <f t="shared" si="16"/>
        <v>0</v>
      </c>
      <c r="AI20" s="331">
        <f t="shared" si="16"/>
        <v>0</v>
      </c>
      <c r="AJ20" s="461"/>
    </row>
    <row r="21" spans="1:36" s="321" customFormat="1" ht="11.25" customHeight="1" x14ac:dyDescent="0.25">
      <c r="A21" s="323" t="s">
        <v>378</v>
      </c>
      <c r="B21" s="324" t="s">
        <v>1835</v>
      </c>
      <c r="C21" s="324" t="s">
        <v>480</v>
      </c>
      <c r="D21" s="332" t="s">
        <v>1274</v>
      </c>
      <c r="E21" s="324" t="s">
        <v>1265</v>
      </c>
      <c r="F21" s="325" t="s">
        <v>464</v>
      </c>
      <c r="G21" s="456" t="s">
        <v>1301</v>
      </c>
      <c r="H21" s="610"/>
      <c r="I21" s="611"/>
      <c r="J21" s="611"/>
      <c r="K21" s="332">
        <v>53</v>
      </c>
      <c r="L21" s="612"/>
      <c r="M21" s="610"/>
      <c r="N21" s="332"/>
      <c r="O21" s="332"/>
      <c r="P21" s="332">
        <v>53</v>
      </c>
      <c r="Q21" s="332"/>
      <c r="R21" s="657"/>
      <c r="S21" s="332"/>
      <c r="T21" s="332"/>
      <c r="U21" s="332"/>
      <c r="V21" s="332"/>
      <c r="W21" s="332"/>
      <c r="X21" s="725">
        <f t="shared" si="0"/>
        <v>0</v>
      </c>
      <c r="Y21" s="725">
        <f t="shared" si="1"/>
        <v>0</v>
      </c>
      <c r="Z21" s="725">
        <f t="shared" si="2"/>
        <v>0</v>
      </c>
      <c r="AA21" s="725">
        <f t="shared" si="3"/>
        <v>0</v>
      </c>
      <c r="AB21" s="725">
        <f t="shared" si="4"/>
        <v>0</v>
      </c>
      <c r="AC21" s="744">
        <f t="shared" si="5"/>
        <v>0</v>
      </c>
      <c r="AD21" s="745">
        <f t="shared" si="6"/>
        <v>0</v>
      </c>
      <c r="AE21" s="745">
        <f t="shared" si="7"/>
        <v>0</v>
      </c>
      <c r="AF21" s="745">
        <f t="shared" si="8"/>
        <v>0</v>
      </c>
      <c r="AG21" s="747">
        <f t="shared" si="9"/>
        <v>0</v>
      </c>
      <c r="AH21" s="340"/>
      <c r="AI21" s="340"/>
      <c r="AJ21" s="461"/>
    </row>
    <row r="22" spans="1:36" s="321" customFormat="1" ht="11.25" customHeight="1" x14ac:dyDescent="0.25">
      <c r="A22" s="323" t="s">
        <v>378</v>
      </c>
      <c r="B22" s="324" t="s">
        <v>462</v>
      </c>
      <c r="C22" s="324" t="s">
        <v>480</v>
      </c>
      <c r="D22" s="332" t="s">
        <v>41</v>
      </c>
      <c r="E22" s="324" t="s">
        <v>40</v>
      </c>
      <c r="F22" s="325" t="s">
        <v>464</v>
      </c>
      <c r="G22" s="456"/>
      <c r="H22" s="610">
        <v>5</v>
      </c>
      <c r="I22" s="611">
        <v>5</v>
      </c>
      <c r="J22" s="611">
        <v>20</v>
      </c>
      <c r="K22" s="332">
        <v>5</v>
      </c>
      <c r="L22" s="612">
        <v>0</v>
      </c>
      <c r="M22" s="610"/>
      <c r="N22" s="332"/>
      <c r="O22" s="332"/>
      <c r="P22" s="332"/>
      <c r="Q22" s="332"/>
      <c r="R22" s="657"/>
      <c r="S22" s="332"/>
      <c r="T22" s="332"/>
      <c r="U22" s="332"/>
      <c r="V22" s="332"/>
      <c r="W22" s="332"/>
      <c r="X22" s="725">
        <f t="shared" si="0"/>
        <v>5</v>
      </c>
      <c r="Y22" s="725">
        <f t="shared" si="1"/>
        <v>5</v>
      </c>
      <c r="Z22" s="725">
        <f t="shared" si="2"/>
        <v>20</v>
      </c>
      <c r="AA22" s="725">
        <f t="shared" si="3"/>
        <v>5</v>
      </c>
      <c r="AB22" s="725">
        <f t="shared" si="4"/>
        <v>0</v>
      </c>
      <c r="AC22" s="744">
        <f t="shared" si="5"/>
        <v>3921.5686274509803</v>
      </c>
      <c r="AD22" s="745">
        <f t="shared" si="6"/>
        <v>1307.18954248366</v>
      </c>
      <c r="AE22" s="745">
        <f t="shared" si="7"/>
        <v>3267.9738562091502</v>
      </c>
      <c r="AF22" s="745">
        <f t="shared" si="8"/>
        <v>163.3986928104575</v>
      </c>
      <c r="AG22" s="747">
        <f t="shared" si="9"/>
        <v>0</v>
      </c>
      <c r="AH22" s="340"/>
      <c r="AI22" s="340"/>
      <c r="AJ22" s="461"/>
    </row>
    <row r="23" spans="1:36" s="321" customFormat="1" ht="11.25" customHeight="1" x14ac:dyDescent="0.25">
      <c r="A23" s="323" t="s">
        <v>378</v>
      </c>
      <c r="B23" s="324" t="s">
        <v>462</v>
      </c>
      <c r="C23" s="324" t="s">
        <v>480</v>
      </c>
      <c r="D23" s="332" t="s">
        <v>72</v>
      </c>
      <c r="E23" s="324" t="s">
        <v>71</v>
      </c>
      <c r="F23" s="325" t="s">
        <v>464</v>
      </c>
      <c r="G23" s="456"/>
      <c r="H23" s="610">
        <v>0</v>
      </c>
      <c r="I23" s="332">
        <v>0</v>
      </c>
      <c r="J23" s="332"/>
      <c r="K23" s="332">
        <v>5</v>
      </c>
      <c r="L23" s="613"/>
      <c r="M23" s="610"/>
      <c r="N23" s="332"/>
      <c r="O23" s="332"/>
      <c r="P23" s="332"/>
      <c r="Q23" s="332"/>
      <c r="R23" s="657"/>
      <c r="S23" s="332"/>
      <c r="T23" s="332"/>
      <c r="U23" s="332"/>
      <c r="V23" s="332"/>
      <c r="W23" s="332"/>
      <c r="X23" s="725">
        <f t="shared" si="0"/>
        <v>0</v>
      </c>
      <c r="Y23" s="725">
        <f t="shared" si="1"/>
        <v>0</v>
      </c>
      <c r="Z23" s="725">
        <f t="shared" si="2"/>
        <v>0</v>
      </c>
      <c r="AA23" s="725">
        <f t="shared" si="3"/>
        <v>5</v>
      </c>
      <c r="AB23" s="725">
        <f t="shared" si="4"/>
        <v>0</v>
      </c>
      <c r="AC23" s="744">
        <f t="shared" si="5"/>
        <v>0</v>
      </c>
      <c r="AD23" s="745">
        <f t="shared" si="6"/>
        <v>0</v>
      </c>
      <c r="AE23" s="745">
        <f t="shared" si="7"/>
        <v>0</v>
      </c>
      <c r="AF23" s="745">
        <f t="shared" si="8"/>
        <v>163.3986928104575</v>
      </c>
      <c r="AG23" s="747">
        <f t="shared" si="9"/>
        <v>0</v>
      </c>
      <c r="AH23" s="340"/>
      <c r="AI23" s="340"/>
      <c r="AJ23" s="461"/>
    </row>
    <row r="24" spans="1:36" s="321" customFormat="1" ht="11.25" customHeight="1" x14ac:dyDescent="0.25">
      <c r="A24" s="323" t="s">
        <v>378</v>
      </c>
      <c r="B24" s="324" t="s">
        <v>462</v>
      </c>
      <c r="C24" s="324" t="s">
        <v>480</v>
      </c>
      <c r="D24" s="332" t="s">
        <v>43</v>
      </c>
      <c r="E24" s="324" t="s">
        <v>42</v>
      </c>
      <c r="F24" s="325" t="s">
        <v>464</v>
      </c>
      <c r="G24" s="456"/>
      <c r="H24" s="610"/>
      <c r="I24" s="332"/>
      <c r="J24" s="332">
        <v>10</v>
      </c>
      <c r="K24" s="332"/>
      <c r="L24" s="613"/>
      <c r="M24" s="610"/>
      <c r="N24" s="332"/>
      <c r="O24" s="332"/>
      <c r="P24" s="332"/>
      <c r="Q24" s="332"/>
      <c r="R24" s="657"/>
      <c r="S24" s="332"/>
      <c r="T24" s="332"/>
      <c r="U24" s="332"/>
      <c r="V24" s="332"/>
      <c r="W24" s="332"/>
      <c r="X24" s="725">
        <f t="shared" si="0"/>
        <v>0</v>
      </c>
      <c r="Y24" s="725">
        <f t="shared" si="1"/>
        <v>0</v>
      </c>
      <c r="Z24" s="725">
        <f t="shared" si="2"/>
        <v>10</v>
      </c>
      <c r="AA24" s="725">
        <f t="shared" si="3"/>
        <v>0</v>
      </c>
      <c r="AB24" s="725">
        <f t="shared" si="4"/>
        <v>0</v>
      </c>
      <c r="AC24" s="744">
        <f t="shared" si="5"/>
        <v>0</v>
      </c>
      <c r="AD24" s="745">
        <f t="shared" si="6"/>
        <v>0</v>
      </c>
      <c r="AE24" s="745">
        <f t="shared" si="7"/>
        <v>1633.9869281045751</v>
      </c>
      <c r="AF24" s="745">
        <f t="shared" si="8"/>
        <v>0</v>
      </c>
      <c r="AG24" s="747">
        <f t="shared" si="9"/>
        <v>0</v>
      </c>
      <c r="AH24" s="340"/>
      <c r="AI24" s="340"/>
      <c r="AJ24" s="461"/>
    </row>
    <row r="25" spans="1:36" s="321" customFormat="1" ht="11.25" customHeight="1" x14ac:dyDescent="0.25">
      <c r="A25" s="323" t="s">
        <v>378</v>
      </c>
      <c r="B25" s="324" t="s">
        <v>462</v>
      </c>
      <c r="C25" s="333" t="s">
        <v>480</v>
      </c>
      <c r="D25" s="512" t="s">
        <v>1303</v>
      </c>
      <c r="E25" s="333" t="s">
        <v>75</v>
      </c>
      <c r="F25" s="337" t="s">
        <v>464</v>
      </c>
      <c r="G25" s="456"/>
      <c r="H25" s="610"/>
      <c r="I25" s="332">
        <v>5</v>
      </c>
      <c r="J25" s="332">
        <v>50</v>
      </c>
      <c r="K25" s="332"/>
      <c r="L25" s="613">
        <v>0</v>
      </c>
      <c r="M25" s="610"/>
      <c r="N25" s="332"/>
      <c r="O25" s="332">
        <v>20</v>
      </c>
      <c r="P25" s="332"/>
      <c r="Q25" s="332"/>
      <c r="R25" s="657"/>
      <c r="S25" s="332"/>
      <c r="T25" s="332"/>
      <c r="U25" s="332"/>
      <c r="V25" s="332"/>
      <c r="W25" s="332"/>
      <c r="X25" s="725">
        <f t="shared" si="0"/>
        <v>0</v>
      </c>
      <c r="Y25" s="725">
        <f t="shared" si="1"/>
        <v>5</v>
      </c>
      <c r="Z25" s="725">
        <f t="shared" si="2"/>
        <v>30</v>
      </c>
      <c r="AA25" s="725">
        <f t="shared" si="3"/>
        <v>0</v>
      </c>
      <c r="AB25" s="725">
        <f t="shared" si="4"/>
        <v>0</v>
      </c>
      <c r="AC25" s="744">
        <f t="shared" si="5"/>
        <v>0</v>
      </c>
      <c r="AD25" s="745">
        <f t="shared" si="6"/>
        <v>1307.18954248366</v>
      </c>
      <c r="AE25" s="745">
        <f t="shared" si="7"/>
        <v>4901.9607843137255</v>
      </c>
      <c r="AF25" s="745">
        <f t="shared" si="8"/>
        <v>0</v>
      </c>
      <c r="AG25" s="747">
        <f t="shared" si="9"/>
        <v>0</v>
      </c>
      <c r="AH25" s="340"/>
      <c r="AI25" s="340"/>
      <c r="AJ25" s="461"/>
    </row>
    <row r="26" spans="1:36" s="321" customFormat="1" ht="11.25" customHeight="1" x14ac:dyDescent="0.25">
      <c r="A26" s="323" t="s">
        <v>378</v>
      </c>
      <c r="B26" s="324" t="s">
        <v>462</v>
      </c>
      <c r="C26" s="324" t="s">
        <v>480</v>
      </c>
      <c r="D26" s="332" t="s">
        <v>44</v>
      </c>
      <c r="E26" s="324" t="s">
        <v>45</v>
      </c>
      <c r="F26" s="325" t="s">
        <v>464</v>
      </c>
      <c r="G26" s="456"/>
      <c r="H26" s="610">
        <v>0</v>
      </c>
      <c r="I26" s="332">
        <v>0</v>
      </c>
      <c r="J26" s="332"/>
      <c r="K26" s="332"/>
      <c r="L26" s="613">
        <v>0</v>
      </c>
      <c r="M26" s="610"/>
      <c r="N26" s="332"/>
      <c r="O26" s="332"/>
      <c r="P26" s="332"/>
      <c r="Q26" s="332"/>
      <c r="R26" s="657"/>
      <c r="S26" s="332"/>
      <c r="T26" s="332"/>
      <c r="U26" s="332"/>
      <c r="V26" s="332"/>
      <c r="W26" s="332"/>
      <c r="X26" s="725">
        <f t="shared" si="0"/>
        <v>0</v>
      </c>
      <c r="Y26" s="725">
        <f t="shared" si="1"/>
        <v>0</v>
      </c>
      <c r="Z26" s="725">
        <f t="shared" si="2"/>
        <v>0</v>
      </c>
      <c r="AA26" s="725">
        <f t="shared" si="3"/>
        <v>0</v>
      </c>
      <c r="AB26" s="725">
        <f t="shared" si="4"/>
        <v>0</v>
      </c>
      <c r="AC26" s="744">
        <f t="shared" si="5"/>
        <v>0</v>
      </c>
      <c r="AD26" s="745">
        <f t="shared" si="6"/>
        <v>0</v>
      </c>
      <c r="AE26" s="745">
        <f t="shared" si="7"/>
        <v>0</v>
      </c>
      <c r="AF26" s="745">
        <f t="shared" si="8"/>
        <v>0</v>
      </c>
      <c r="AG26" s="747">
        <f t="shared" si="9"/>
        <v>0</v>
      </c>
      <c r="AH26" s="340"/>
      <c r="AI26" s="340"/>
      <c r="AJ26" s="461"/>
    </row>
    <row r="27" spans="1:36" s="321" customFormat="1" ht="11.25" customHeight="1" x14ac:dyDescent="0.25">
      <c r="A27" s="323" t="s">
        <v>378</v>
      </c>
      <c r="B27" s="324" t="s">
        <v>1835</v>
      </c>
      <c r="C27" s="324" t="s">
        <v>480</v>
      </c>
      <c r="D27" s="332" t="s">
        <v>52</v>
      </c>
      <c r="E27" s="324" t="s">
        <v>51</v>
      </c>
      <c r="F27" s="325" t="s">
        <v>464</v>
      </c>
      <c r="G27" s="456" t="s">
        <v>1301</v>
      </c>
      <c r="H27" s="610"/>
      <c r="I27" s="332"/>
      <c r="J27" s="332"/>
      <c r="K27" s="332">
        <v>36</v>
      </c>
      <c r="L27" s="613"/>
      <c r="M27" s="610"/>
      <c r="N27" s="332"/>
      <c r="O27" s="332"/>
      <c r="P27" s="332">
        <v>36</v>
      </c>
      <c r="Q27" s="332"/>
      <c r="R27" s="657" t="s">
        <v>1838</v>
      </c>
      <c r="S27" s="332"/>
      <c r="T27" s="332"/>
      <c r="U27" s="332"/>
      <c r="V27" s="332"/>
      <c r="W27" s="332"/>
      <c r="X27" s="725">
        <f t="shared" si="0"/>
        <v>0</v>
      </c>
      <c r="Y27" s="725">
        <f t="shared" si="1"/>
        <v>0</v>
      </c>
      <c r="Z27" s="725">
        <f t="shared" si="2"/>
        <v>0</v>
      </c>
      <c r="AA27" s="725">
        <f t="shared" si="3"/>
        <v>0</v>
      </c>
      <c r="AB27" s="725">
        <f t="shared" si="4"/>
        <v>0</v>
      </c>
      <c r="AC27" s="744">
        <f t="shared" si="5"/>
        <v>0</v>
      </c>
      <c r="AD27" s="745">
        <f t="shared" si="6"/>
        <v>0</v>
      </c>
      <c r="AE27" s="745">
        <f t="shared" si="7"/>
        <v>0</v>
      </c>
      <c r="AF27" s="745">
        <f t="shared" si="8"/>
        <v>0</v>
      </c>
      <c r="AG27" s="747">
        <f t="shared" si="9"/>
        <v>0</v>
      </c>
      <c r="AH27" s="340"/>
      <c r="AI27" s="340"/>
      <c r="AJ27" s="461"/>
    </row>
    <row r="28" spans="1:36" s="321" customFormat="1" ht="11.25" customHeight="1" x14ac:dyDescent="0.25">
      <c r="A28" s="323" t="s">
        <v>378</v>
      </c>
      <c r="B28" s="324" t="s">
        <v>462</v>
      </c>
      <c r="C28" s="324" t="s">
        <v>480</v>
      </c>
      <c r="D28" s="332" t="s">
        <v>1304</v>
      </c>
      <c r="E28" s="324" t="s">
        <v>89</v>
      </c>
      <c r="F28" s="325" t="s">
        <v>464</v>
      </c>
      <c r="G28" s="456"/>
      <c r="H28" s="610">
        <v>0</v>
      </c>
      <c r="I28" s="332">
        <v>0</v>
      </c>
      <c r="J28" s="332">
        <v>15</v>
      </c>
      <c r="K28" s="332"/>
      <c r="L28" s="613">
        <v>0</v>
      </c>
      <c r="M28" s="610"/>
      <c r="N28" s="332"/>
      <c r="O28" s="332"/>
      <c r="P28" s="332"/>
      <c r="Q28" s="332"/>
      <c r="R28" s="657"/>
      <c r="S28" s="332"/>
      <c r="T28" s="332"/>
      <c r="U28" s="332"/>
      <c r="V28" s="332"/>
      <c r="W28" s="332"/>
      <c r="X28" s="725">
        <f t="shared" si="0"/>
        <v>0</v>
      </c>
      <c r="Y28" s="725">
        <f t="shared" si="1"/>
        <v>0</v>
      </c>
      <c r="Z28" s="725">
        <f t="shared" si="2"/>
        <v>15</v>
      </c>
      <c r="AA28" s="725">
        <f t="shared" si="3"/>
        <v>0</v>
      </c>
      <c r="AB28" s="725">
        <f t="shared" si="4"/>
        <v>0</v>
      </c>
      <c r="AC28" s="744">
        <f t="shared" si="5"/>
        <v>0</v>
      </c>
      <c r="AD28" s="745">
        <f t="shared" si="6"/>
        <v>0</v>
      </c>
      <c r="AE28" s="745">
        <f t="shared" si="7"/>
        <v>2450.9803921568628</v>
      </c>
      <c r="AF28" s="745">
        <f t="shared" si="8"/>
        <v>0</v>
      </c>
      <c r="AG28" s="747">
        <f t="shared" si="9"/>
        <v>0</v>
      </c>
      <c r="AH28" s="340"/>
      <c r="AI28" s="340"/>
      <c r="AJ28" s="461"/>
    </row>
    <row r="29" spans="1:36" s="321" customFormat="1" ht="11.25" customHeight="1" x14ac:dyDescent="0.25">
      <c r="A29" s="323" t="s">
        <v>378</v>
      </c>
      <c r="B29" s="324" t="s">
        <v>462</v>
      </c>
      <c r="C29" s="324" t="s">
        <v>480</v>
      </c>
      <c r="D29" s="332" t="s">
        <v>92</v>
      </c>
      <c r="E29" s="324" t="s">
        <v>91</v>
      </c>
      <c r="F29" s="325" t="s">
        <v>464</v>
      </c>
      <c r="G29" s="456"/>
      <c r="H29" s="610"/>
      <c r="I29" s="332"/>
      <c r="J29" s="332">
        <v>10</v>
      </c>
      <c r="K29" s="332">
        <v>10</v>
      </c>
      <c r="L29" s="613"/>
      <c r="M29" s="610"/>
      <c r="N29" s="332"/>
      <c r="O29" s="332"/>
      <c r="P29" s="332"/>
      <c r="Q29" s="332"/>
      <c r="R29" s="657"/>
      <c r="S29" s="332"/>
      <c r="T29" s="332"/>
      <c r="U29" s="332"/>
      <c r="V29" s="332"/>
      <c r="W29" s="332"/>
      <c r="X29" s="725">
        <f t="shared" si="0"/>
        <v>0</v>
      </c>
      <c r="Y29" s="725">
        <f t="shared" si="1"/>
        <v>0</v>
      </c>
      <c r="Z29" s="725">
        <f t="shared" si="2"/>
        <v>10</v>
      </c>
      <c r="AA29" s="725">
        <f t="shared" si="3"/>
        <v>10</v>
      </c>
      <c r="AB29" s="725">
        <f t="shared" si="4"/>
        <v>0</v>
      </c>
      <c r="AC29" s="744">
        <f t="shared" si="5"/>
        <v>0</v>
      </c>
      <c r="AD29" s="745">
        <f t="shared" si="6"/>
        <v>0</v>
      </c>
      <c r="AE29" s="745">
        <f t="shared" si="7"/>
        <v>1633.9869281045751</v>
      </c>
      <c r="AF29" s="745">
        <f t="shared" si="8"/>
        <v>326.79738562091501</v>
      </c>
      <c r="AG29" s="747">
        <f t="shared" si="9"/>
        <v>0</v>
      </c>
      <c r="AH29" s="340"/>
      <c r="AI29" s="340"/>
      <c r="AJ29" s="461"/>
    </row>
    <row r="30" spans="1:36" s="321" customFormat="1" ht="11.25" customHeight="1" x14ac:dyDescent="0.25">
      <c r="A30" s="323" t="s">
        <v>378</v>
      </c>
      <c r="B30" s="324" t="s">
        <v>462</v>
      </c>
      <c r="C30" s="324" t="s">
        <v>480</v>
      </c>
      <c r="D30" s="332" t="s">
        <v>100</v>
      </c>
      <c r="E30" s="324" t="s">
        <v>99</v>
      </c>
      <c r="F30" s="325" t="s">
        <v>464</v>
      </c>
      <c r="G30" s="456"/>
      <c r="H30" s="610"/>
      <c r="I30" s="332"/>
      <c r="J30" s="332">
        <v>0</v>
      </c>
      <c r="K30" s="332">
        <v>4</v>
      </c>
      <c r="L30" s="613">
        <v>0</v>
      </c>
      <c r="M30" s="610"/>
      <c r="N30" s="332"/>
      <c r="O30" s="332"/>
      <c r="P30" s="332"/>
      <c r="Q30" s="332"/>
      <c r="R30" s="657"/>
      <c r="S30" s="332"/>
      <c r="T30" s="332"/>
      <c r="U30" s="332"/>
      <c r="V30" s="332"/>
      <c r="W30" s="332"/>
      <c r="X30" s="725">
        <f t="shared" si="0"/>
        <v>0</v>
      </c>
      <c r="Y30" s="725">
        <f t="shared" si="1"/>
        <v>0</v>
      </c>
      <c r="Z30" s="725">
        <f t="shared" si="2"/>
        <v>0</v>
      </c>
      <c r="AA30" s="725">
        <f t="shared" si="3"/>
        <v>4</v>
      </c>
      <c r="AB30" s="725">
        <f t="shared" si="4"/>
        <v>0</v>
      </c>
      <c r="AC30" s="744">
        <f t="shared" si="5"/>
        <v>0</v>
      </c>
      <c r="AD30" s="745">
        <f t="shared" si="6"/>
        <v>0</v>
      </c>
      <c r="AE30" s="745">
        <f t="shared" si="7"/>
        <v>0</v>
      </c>
      <c r="AF30" s="745">
        <f t="shared" si="8"/>
        <v>130.718954248366</v>
      </c>
      <c r="AG30" s="747">
        <f t="shared" si="9"/>
        <v>0</v>
      </c>
      <c r="AH30" s="340"/>
      <c r="AI30" s="340"/>
      <c r="AJ30" s="461"/>
    </row>
    <row r="31" spans="1:36" s="321" customFormat="1" ht="11.25" customHeight="1" x14ac:dyDescent="0.25">
      <c r="A31" s="323" t="s">
        <v>378</v>
      </c>
      <c r="B31" s="324" t="s">
        <v>462</v>
      </c>
      <c r="C31" s="324" t="s">
        <v>480</v>
      </c>
      <c r="D31" s="332" t="s">
        <v>551</v>
      </c>
      <c r="E31" s="324" t="s">
        <v>46</v>
      </c>
      <c r="F31" s="325" t="s">
        <v>464</v>
      </c>
      <c r="G31" s="456"/>
      <c r="H31" s="610">
        <v>0</v>
      </c>
      <c r="I31" s="332">
        <v>0</v>
      </c>
      <c r="J31" s="332">
        <v>0</v>
      </c>
      <c r="K31" s="332">
        <v>5</v>
      </c>
      <c r="L31" s="613">
        <v>0</v>
      </c>
      <c r="M31" s="610"/>
      <c r="N31" s="332"/>
      <c r="O31" s="332"/>
      <c r="P31" s="332"/>
      <c r="Q31" s="332"/>
      <c r="R31" s="657"/>
      <c r="S31" s="332"/>
      <c r="T31" s="332"/>
      <c r="U31" s="332"/>
      <c r="V31" s="332"/>
      <c r="W31" s="332"/>
      <c r="X31" s="725">
        <f t="shared" si="0"/>
        <v>0</v>
      </c>
      <c r="Y31" s="725">
        <f t="shared" si="1"/>
        <v>0</v>
      </c>
      <c r="Z31" s="725">
        <f t="shared" si="2"/>
        <v>0</v>
      </c>
      <c r="AA31" s="725">
        <f t="shared" si="3"/>
        <v>5</v>
      </c>
      <c r="AB31" s="725">
        <f t="shared" si="4"/>
        <v>0</v>
      </c>
      <c r="AC31" s="744">
        <f t="shared" si="5"/>
        <v>0</v>
      </c>
      <c r="AD31" s="745">
        <f t="shared" si="6"/>
        <v>0</v>
      </c>
      <c r="AE31" s="745">
        <f t="shared" si="7"/>
        <v>0</v>
      </c>
      <c r="AF31" s="745">
        <f t="shared" si="8"/>
        <v>163.3986928104575</v>
      </c>
      <c r="AG31" s="747">
        <f t="shared" si="9"/>
        <v>0</v>
      </c>
      <c r="AH31" s="340"/>
      <c r="AI31" s="340"/>
      <c r="AJ31" s="461"/>
    </row>
    <row r="32" spans="1:36" s="321" customFormat="1" ht="11.25" customHeight="1" x14ac:dyDescent="0.25">
      <c r="A32" s="323" t="s">
        <v>378</v>
      </c>
      <c r="B32" s="324" t="s">
        <v>934</v>
      </c>
      <c r="C32" s="324" t="s">
        <v>480</v>
      </c>
      <c r="D32" s="332" t="s">
        <v>1305</v>
      </c>
      <c r="E32" s="324" t="s">
        <v>107</v>
      </c>
      <c r="F32" s="325" t="s">
        <v>464</v>
      </c>
      <c r="G32" s="456"/>
      <c r="H32" s="610"/>
      <c r="I32" s="332"/>
      <c r="J32" s="611"/>
      <c r="K32" s="611"/>
      <c r="L32" s="612"/>
      <c r="M32" s="610"/>
      <c r="N32" s="332"/>
      <c r="O32" s="332"/>
      <c r="P32" s="332"/>
      <c r="Q32" s="332"/>
      <c r="R32" s="657"/>
      <c r="S32" s="332"/>
      <c r="T32" s="332"/>
      <c r="U32" s="332"/>
      <c r="V32" s="332"/>
      <c r="W32" s="332"/>
      <c r="X32" s="725">
        <f t="shared" si="0"/>
        <v>0</v>
      </c>
      <c r="Y32" s="725">
        <f t="shared" si="1"/>
        <v>0</v>
      </c>
      <c r="Z32" s="725">
        <f t="shared" si="2"/>
        <v>0</v>
      </c>
      <c r="AA32" s="725">
        <f t="shared" si="3"/>
        <v>0</v>
      </c>
      <c r="AB32" s="725">
        <f t="shared" si="4"/>
        <v>0</v>
      </c>
      <c r="AC32" s="744">
        <f t="shared" si="5"/>
        <v>0</v>
      </c>
      <c r="AD32" s="745">
        <f t="shared" si="6"/>
        <v>0</v>
      </c>
      <c r="AE32" s="745">
        <f t="shared" si="7"/>
        <v>0</v>
      </c>
      <c r="AF32" s="745">
        <f t="shared" si="8"/>
        <v>0</v>
      </c>
      <c r="AG32" s="747">
        <f t="shared" si="9"/>
        <v>0</v>
      </c>
      <c r="AH32" s="340"/>
      <c r="AI32" s="340"/>
      <c r="AJ32" s="461"/>
    </row>
    <row r="33" spans="1:36" s="321" customFormat="1" ht="11.25" customHeight="1" x14ac:dyDescent="0.25">
      <c r="A33" s="323" t="s">
        <v>378</v>
      </c>
      <c r="B33" s="324" t="s">
        <v>462</v>
      </c>
      <c r="C33" s="324" t="s">
        <v>480</v>
      </c>
      <c r="D33" s="332" t="s">
        <v>1306</v>
      </c>
      <c r="E33" s="324" t="s">
        <v>117</v>
      </c>
      <c r="F33" s="325" t="s">
        <v>464</v>
      </c>
      <c r="G33" s="456"/>
      <c r="H33" s="610">
        <v>0</v>
      </c>
      <c r="I33" s="332">
        <v>0</v>
      </c>
      <c r="J33" s="332">
        <v>0</v>
      </c>
      <c r="K33" s="332">
        <v>1</v>
      </c>
      <c r="L33" s="613">
        <v>0</v>
      </c>
      <c r="M33" s="610"/>
      <c r="N33" s="332"/>
      <c r="O33" s="332"/>
      <c r="P33" s="332"/>
      <c r="Q33" s="332"/>
      <c r="R33" s="657"/>
      <c r="S33" s="332"/>
      <c r="T33" s="332"/>
      <c r="U33" s="332"/>
      <c r="V33" s="332"/>
      <c r="W33" s="332"/>
      <c r="X33" s="725">
        <f t="shared" si="0"/>
        <v>0</v>
      </c>
      <c r="Y33" s="725">
        <f t="shared" si="1"/>
        <v>0</v>
      </c>
      <c r="Z33" s="725">
        <f t="shared" si="2"/>
        <v>0</v>
      </c>
      <c r="AA33" s="725">
        <f t="shared" si="3"/>
        <v>1</v>
      </c>
      <c r="AB33" s="725">
        <f t="shared" si="4"/>
        <v>0</v>
      </c>
      <c r="AC33" s="744">
        <f t="shared" si="5"/>
        <v>0</v>
      </c>
      <c r="AD33" s="745">
        <f t="shared" si="6"/>
        <v>0</v>
      </c>
      <c r="AE33" s="745">
        <f t="shared" si="7"/>
        <v>0</v>
      </c>
      <c r="AF33" s="745">
        <f t="shared" si="8"/>
        <v>32.679738562091501</v>
      </c>
      <c r="AG33" s="747">
        <f t="shared" si="9"/>
        <v>0</v>
      </c>
      <c r="AH33" s="340"/>
      <c r="AI33" s="340"/>
      <c r="AJ33" s="461"/>
    </row>
    <row r="34" spans="1:36" s="335" customFormat="1" ht="11.25" customHeight="1" x14ac:dyDescent="0.25">
      <c r="A34" s="323" t="s">
        <v>378</v>
      </c>
      <c r="B34" s="324" t="s">
        <v>1322</v>
      </c>
      <c r="C34" s="332" t="s">
        <v>480</v>
      </c>
      <c r="D34" s="332" t="s">
        <v>1155</v>
      </c>
      <c r="E34" s="324" t="s">
        <v>1161</v>
      </c>
      <c r="F34" s="334" t="s">
        <v>464</v>
      </c>
      <c r="G34" s="456"/>
      <c r="H34" s="614"/>
      <c r="I34" s="611"/>
      <c r="J34" s="611">
        <v>0</v>
      </c>
      <c r="K34" s="611">
        <v>30</v>
      </c>
      <c r="L34" s="612">
        <v>0</v>
      </c>
      <c r="M34" s="610"/>
      <c r="N34" s="332"/>
      <c r="O34" s="332"/>
      <c r="P34" s="332"/>
      <c r="Q34" s="332"/>
      <c r="R34" s="657"/>
      <c r="S34" s="332"/>
      <c r="T34" s="332"/>
      <c r="U34" s="332"/>
      <c r="V34" s="332"/>
      <c r="W34" s="332"/>
      <c r="X34" s="725">
        <f t="shared" si="0"/>
        <v>0</v>
      </c>
      <c r="Y34" s="725">
        <f t="shared" si="1"/>
        <v>0</v>
      </c>
      <c r="Z34" s="725">
        <f t="shared" si="2"/>
        <v>0</v>
      </c>
      <c r="AA34" s="725">
        <f t="shared" si="3"/>
        <v>30</v>
      </c>
      <c r="AB34" s="725">
        <f t="shared" si="4"/>
        <v>0</v>
      </c>
      <c r="AC34" s="744">
        <f t="shared" si="5"/>
        <v>0</v>
      </c>
      <c r="AD34" s="745">
        <f t="shared" si="6"/>
        <v>0</v>
      </c>
      <c r="AE34" s="745">
        <f t="shared" si="7"/>
        <v>0</v>
      </c>
      <c r="AF34" s="745">
        <f t="shared" si="8"/>
        <v>980.39215686274508</v>
      </c>
      <c r="AG34" s="747">
        <f t="shared" si="9"/>
        <v>0</v>
      </c>
      <c r="AH34" s="340"/>
      <c r="AI34" s="340"/>
      <c r="AJ34" s="647"/>
    </row>
    <row r="35" spans="1:36" s="321" customFormat="1" ht="11.25" customHeight="1" x14ac:dyDescent="0.25">
      <c r="A35" s="323" t="s">
        <v>378</v>
      </c>
      <c r="B35" s="324" t="s">
        <v>1835</v>
      </c>
      <c r="C35" s="324" t="s">
        <v>480</v>
      </c>
      <c r="D35" s="332" t="s">
        <v>1307</v>
      </c>
      <c r="E35" s="324" t="s">
        <v>125</v>
      </c>
      <c r="F35" s="325" t="s">
        <v>464</v>
      </c>
      <c r="G35" s="456" t="s">
        <v>1301</v>
      </c>
      <c r="H35" s="614">
        <v>8</v>
      </c>
      <c r="I35" s="332">
        <v>8</v>
      </c>
      <c r="J35" s="611">
        <v>16</v>
      </c>
      <c r="K35" s="611">
        <v>30</v>
      </c>
      <c r="L35" s="612">
        <v>0</v>
      </c>
      <c r="M35" s="610"/>
      <c r="N35" s="332"/>
      <c r="O35" s="332"/>
      <c r="P35" s="332">
        <v>30</v>
      </c>
      <c r="Q35" s="332"/>
      <c r="R35" s="657" t="s">
        <v>1838</v>
      </c>
      <c r="S35" s="332"/>
      <c r="T35" s="332"/>
      <c r="U35" s="332"/>
      <c r="V35" s="332"/>
      <c r="W35" s="332"/>
      <c r="X35" s="725">
        <f t="shared" si="0"/>
        <v>8</v>
      </c>
      <c r="Y35" s="725">
        <f t="shared" si="1"/>
        <v>8</v>
      </c>
      <c r="Z35" s="725">
        <f t="shared" si="2"/>
        <v>16</v>
      </c>
      <c r="AA35" s="725">
        <f t="shared" si="3"/>
        <v>0</v>
      </c>
      <c r="AB35" s="725">
        <f t="shared" si="4"/>
        <v>0</v>
      </c>
      <c r="AC35" s="744">
        <f t="shared" si="5"/>
        <v>6274.5098039215691</v>
      </c>
      <c r="AD35" s="745">
        <f t="shared" si="6"/>
        <v>2091.5032679738561</v>
      </c>
      <c r="AE35" s="745">
        <f t="shared" si="7"/>
        <v>2614.3790849673201</v>
      </c>
      <c r="AF35" s="745">
        <f t="shared" si="8"/>
        <v>0</v>
      </c>
      <c r="AG35" s="747">
        <f t="shared" si="9"/>
        <v>0</v>
      </c>
      <c r="AH35" s="340"/>
      <c r="AI35" s="340"/>
      <c r="AJ35" s="461"/>
    </row>
    <row r="36" spans="1:36" s="321" customFormat="1" ht="11.25" customHeight="1" x14ac:dyDescent="0.25">
      <c r="A36" s="323" t="s">
        <v>378</v>
      </c>
      <c r="B36" s="324" t="s">
        <v>1835</v>
      </c>
      <c r="C36" s="324" t="s">
        <v>480</v>
      </c>
      <c r="D36" s="332" t="s">
        <v>1308</v>
      </c>
      <c r="E36" s="324" t="s">
        <v>139</v>
      </c>
      <c r="F36" s="325" t="s">
        <v>464</v>
      </c>
      <c r="G36" s="456" t="s">
        <v>1301</v>
      </c>
      <c r="H36" s="614"/>
      <c r="I36" s="332"/>
      <c r="J36" s="611"/>
      <c r="K36" s="611">
        <v>10</v>
      </c>
      <c r="L36" s="612">
        <v>0</v>
      </c>
      <c r="M36" s="610"/>
      <c r="N36" s="332"/>
      <c r="O36" s="332"/>
      <c r="P36" s="332"/>
      <c r="Q36" s="332"/>
      <c r="R36" s="657"/>
      <c r="S36" s="332"/>
      <c r="T36" s="332"/>
      <c r="U36" s="332"/>
      <c r="V36" s="332"/>
      <c r="W36" s="332"/>
      <c r="X36" s="725">
        <f t="shared" si="0"/>
        <v>0</v>
      </c>
      <c r="Y36" s="725">
        <f t="shared" si="1"/>
        <v>0</v>
      </c>
      <c r="Z36" s="725">
        <f t="shared" si="2"/>
        <v>0</v>
      </c>
      <c r="AA36" s="725">
        <f t="shared" si="3"/>
        <v>10</v>
      </c>
      <c r="AB36" s="725">
        <f t="shared" si="4"/>
        <v>0</v>
      </c>
      <c r="AC36" s="744">
        <f t="shared" si="5"/>
        <v>0</v>
      </c>
      <c r="AD36" s="745">
        <f t="shared" si="6"/>
        <v>0</v>
      </c>
      <c r="AE36" s="745">
        <f t="shared" si="7"/>
        <v>0</v>
      </c>
      <c r="AF36" s="745">
        <f t="shared" si="8"/>
        <v>326.79738562091501</v>
      </c>
      <c r="AG36" s="747">
        <f t="shared" si="9"/>
        <v>0</v>
      </c>
      <c r="AH36" s="340"/>
      <c r="AI36" s="340"/>
      <c r="AJ36" s="461" t="s">
        <v>1299</v>
      </c>
    </row>
    <row r="37" spans="1:36" s="321" customFormat="1" ht="11.25" customHeight="1" x14ac:dyDescent="0.25">
      <c r="A37" s="323" t="s">
        <v>378</v>
      </c>
      <c r="B37" s="324" t="s">
        <v>1835</v>
      </c>
      <c r="C37" s="324" t="s">
        <v>480</v>
      </c>
      <c r="D37" s="332" t="s">
        <v>913</v>
      </c>
      <c r="E37" s="324" t="s">
        <v>914</v>
      </c>
      <c r="F37" s="325" t="s">
        <v>464</v>
      </c>
      <c r="G37" s="456" t="s">
        <v>1301</v>
      </c>
      <c r="H37" s="614"/>
      <c r="I37" s="611"/>
      <c r="J37" s="611"/>
      <c r="K37" s="611">
        <v>20</v>
      </c>
      <c r="L37" s="612"/>
      <c r="M37" s="610"/>
      <c r="N37" s="332"/>
      <c r="O37" s="332"/>
      <c r="P37" s="332"/>
      <c r="Q37" s="332"/>
      <c r="R37" s="657"/>
      <c r="S37" s="332"/>
      <c r="T37" s="332"/>
      <c r="U37" s="332"/>
      <c r="V37" s="332"/>
      <c r="W37" s="332"/>
      <c r="X37" s="725">
        <f t="shared" si="0"/>
        <v>0</v>
      </c>
      <c r="Y37" s="725">
        <f t="shared" si="1"/>
        <v>0</v>
      </c>
      <c r="Z37" s="725">
        <f t="shared" si="2"/>
        <v>0</v>
      </c>
      <c r="AA37" s="725">
        <f t="shared" si="3"/>
        <v>20</v>
      </c>
      <c r="AB37" s="725">
        <f t="shared" si="4"/>
        <v>0</v>
      </c>
      <c r="AC37" s="744">
        <f t="shared" si="5"/>
        <v>0</v>
      </c>
      <c r="AD37" s="745">
        <f t="shared" si="6"/>
        <v>0</v>
      </c>
      <c r="AE37" s="745">
        <f t="shared" si="7"/>
        <v>0</v>
      </c>
      <c r="AF37" s="745">
        <f t="shared" si="8"/>
        <v>653.59477124183002</v>
      </c>
      <c r="AG37" s="747">
        <f t="shared" si="9"/>
        <v>0</v>
      </c>
      <c r="AH37" s="340"/>
      <c r="AI37" s="340"/>
      <c r="AJ37" s="461"/>
    </row>
    <row r="38" spans="1:36" s="321" customFormat="1" ht="11.25" customHeight="1" x14ac:dyDescent="0.25">
      <c r="A38" s="323" t="s">
        <v>378</v>
      </c>
      <c r="B38" s="324" t="s">
        <v>934</v>
      </c>
      <c r="C38" s="324" t="s">
        <v>480</v>
      </c>
      <c r="D38" s="332" t="s">
        <v>1309</v>
      </c>
      <c r="E38" s="324" t="s">
        <v>119</v>
      </c>
      <c r="F38" s="325" t="s">
        <v>464</v>
      </c>
      <c r="G38" s="456" t="s">
        <v>1301</v>
      </c>
      <c r="H38" s="610">
        <v>50</v>
      </c>
      <c r="I38" s="332">
        <v>50</v>
      </c>
      <c r="J38" s="611">
        <v>68</v>
      </c>
      <c r="K38" s="611">
        <v>72</v>
      </c>
      <c r="L38" s="612">
        <v>0</v>
      </c>
      <c r="M38" s="610">
        <v>50</v>
      </c>
      <c r="N38" s="332">
        <v>50</v>
      </c>
      <c r="O38" s="332"/>
      <c r="P38" s="332"/>
      <c r="Q38" s="332"/>
      <c r="R38" s="657" t="s">
        <v>1848</v>
      </c>
      <c r="S38" s="332"/>
      <c r="T38" s="332"/>
      <c r="U38" s="332"/>
      <c r="V38" s="332"/>
      <c r="W38" s="332"/>
      <c r="X38" s="725">
        <f t="shared" si="0"/>
        <v>0</v>
      </c>
      <c r="Y38" s="725">
        <f t="shared" si="1"/>
        <v>0</v>
      </c>
      <c r="Z38" s="725">
        <f t="shared" si="2"/>
        <v>68</v>
      </c>
      <c r="AA38" s="725">
        <f t="shared" si="3"/>
        <v>72</v>
      </c>
      <c r="AB38" s="725">
        <f t="shared" si="4"/>
        <v>0</v>
      </c>
      <c r="AC38" s="744">
        <f t="shared" si="5"/>
        <v>0</v>
      </c>
      <c r="AD38" s="745">
        <f t="shared" si="6"/>
        <v>0</v>
      </c>
      <c r="AE38" s="745">
        <f t="shared" si="7"/>
        <v>11111.111111111111</v>
      </c>
      <c r="AF38" s="745">
        <f t="shared" si="8"/>
        <v>2352.9411764705883</v>
      </c>
      <c r="AG38" s="747">
        <f t="shared" si="9"/>
        <v>0</v>
      </c>
      <c r="AH38" s="340"/>
      <c r="AI38" s="340"/>
      <c r="AJ38" s="461"/>
    </row>
    <row r="39" spans="1:36" s="321" customFormat="1" ht="11.25" customHeight="1" x14ac:dyDescent="0.25">
      <c r="A39" s="323" t="s">
        <v>378</v>
      </c>
      <c r="B39" s="324" t="s">
        <v>934</v>
      </c>
      <c r="C39" s="324" t="s">
        <v>480</v>
      </c>
      <c r="D39" s="512" t="s">
        <v>1154</v>
      </c>
      <c r="E39" s="324" t="s">
        <v>1162</v>
      </c>
      <c r="F39" s="325" t="s">
        <v>464</v>
      </c>
      <c r="G39" s="456"/>
      <c r="H39" s="610">
        <v>6</v>
      </c>
      <c r="I39" s="332">
        <v>6</v>
      </c>
      <c r="J39" s="611">
        <v>6</v>
      </c>
      <c r="K39" s="611"/>
      <c r="L39" s="612"/>
      <c r="M39" s="610">
        <v>6</v>
      </c>
      <c r="N39" s="332">
        <v>6</v>
      </c>
      <c r="O39" s="332"/>
      <c r="P39" s="332"/>
      <c r="Q39" s="332"/>
      <c r="R39" s="657" t="s">
        <v>1849</v>
      </c>
      <c r="S39" s="332"/>
      <c r="T39" s="332"/>
      <c r="U39" s="332"/>
      <c r="V39" s="332"/>
      <c r="W39" s="332"/>
      <c r="X39" s="725">
        <f t="shared" si="0"/>
        <v>0</v>
      </c>
      <c r="Y39" s="725">
        <f t="shared" si="1"/>
        <v>0</v>
      </c>
      <c r="Z39" s="725">
        <f t="shared" si="2"/>
        <v>6</v>
      </c>
      <c r="AA39" s="725">
        <f t="shared" si="3"/>
        <v>0</v>
      </c>
      <c r="AB39" s="725">
        <f t="shared" si="4"/>
        <v>0</v>
      </c>
      <c r="AC39" s="744">
        <f t="shared" si="5"/>
        <v>0</v>
      </c>
      <c r="AD39" s="745">
        <f t="shared" si="6"/>
        <v>0</v>
      </c>
      <c r="AE39" s="745">
        <f t="shared" si="7"/>
        <v>980.39215686274508</v>
      </c>
      <c r="AF39" s="745">
        <f t="shared" si="8"/>
        <v>0</v>
      </c>
      <c r="AG39" s="747">
        <f t="shared" si="9"/>
        <v>0</v>
      </c>
      <c r="AH39" s="340"/>
      <c r="AI39" s="340"/>
      <c r="AJ39" s="461"/>
    </row>
    <row r="40" spans="1:36" s="321" customFormat="1" ht="11.25" customHeight="1" x14ac:dyDescent="0.25">
      <c r="A40" s="323" t="s">
        <v>378</v>
      </c>
      <c r="B40" s="324" t="s">
        <v>1835</v>
      </c>
      <c r="C40" s="324" t="s">
        <v>480</v>
      </c>
      <c r="D40" s="332" t="s">
        <v>88</v>
      </c>
      <c r="E40" s="324" t="s">
        <v>87</v>
      </c>
      <c r="F40" s="325" t="s">
        <v>464</v>
      </c>
      <c r="G40" s="456" t="s">
        <v>1301</v>
      </c>
      <c r="H40" s="614"/>
      <c r="I40" s="332"/>
      <c r="J40" s="611">
        <v>0</v>
      </c>
      <c r="K40" s="611"/>
      <c r="L40" s="612">
        <v>1</v>
      </c>
      <c r="M40" s="332"/>
      <c r="N40" s="332"/>
      <c r="O40" s="332"/>
      <c r="P40" s="332"/>
      <c r="Q40" s="332"/>
      <c r="R40" s="657"/>
      <c r="S40" s="332"/>
      <c r="T40" s="332"/>
      <c r="U40" s="332"/>
      <c r="V40" s="332"/>
      <c r="W40" s="332"/>
      <c r="X40" s="725">
        <f t="shared" si="0"/>
        <v>0</v>
      </c>
      <c r="Y40" s="725">
        <f t="shared" si="1"/>
        <v>0</v>
      </c>
      <c r="Z40" s="725">
        <f t="shared" si="2"/>
        <v>0</v>
      </c>
      <c r="AA40" s="725">
        <f t="shared" si="3"/>
        <v>0</v>
      </c>
      <c r="AB40" s="725">
        <f t="shared" si="4"/>
        <v>1</v>
      </c>
      <c r="AC40" s="744">
        <f t="shared" si="5"/>
        <v>0</v>
      </c>
      <c r="AD40" s="745">
        <f t="shared" si="6"/>
        <v>0</v>
      </c>
      <c r="AE40" s="745">
        <f t="shared" si="7"/>
        <v>0</v>
      </c>
      <c r="AF40" s="745">
        <f t="shared" si="8"/>
        <v>0</v>
      </c>
      <c r="AG40" s="747">
        <f t="shared" si="9"/>
        <v>1633.9869281045751</v>
      </c>
      <c r="AH40" s="340"/>
      <c r="AI40" s="340"/>
      <c r="AJ40" s="461" t="s">
        <v>1299</v>
      </c>
    </row>
    <row r="41" spans="1:36" s="321" customFormat="1" ht="11.25" customHeight="1" x14ac:dyDescent="0.25">
      <c r="A41" s="323" t="s">
        <v>378</v>
      </c>
      <c r="B41" s="324" t="s">
        <v>934</v>
      </c>
      <c r="C41" s="324" t="s">
        <v>480</v>
      </c>
      <c r="D41" s="332" t="s">
        <v>1612</v>
      </c>
      <c r="E41" s="324" t="s">
        <v>1656</v>
      </c>
      <c r="F41" s="325" t="s">
        <v>464</v>
      </c>
      <c r="G41" s="456"/>
      <c r="H41" s="614">
        <v>50</v>
      </c>
      <c r="I41" s="332">
        <v>50</v>
      </c>
      <c r="J41" s="611"/>
      <c r="K41" s="611"/>
      <c r="L41" s="612"/>
      <c r="M41" s="610">
        <v>50</v>
      </c>
      <c r="N41" s="332">
        <v>50</v>
      </c>
      <c r="O41" s="332"/>
      <c r="P41" s="332"/>
      <c r="Q41" s="332"/>
      <c r="R41" s="657" t="s">
        <v>1901</v>
      </c>
      <c r="S41" s="332"/>
      <c r="T41" s="332"/>
      <c r="U41" s="332"/>
      <c r="V41" s="332"/>
      <c r="W41" s="332"/>
      <c r="X41" s="725">
        <f t="shared" si="0"/>
        <v>0</v>
      </c>
      <c r="Y41" s="725">
        <f t="shared" si="1"/>
        <v>0</v>
      </c>
      <c r="Z41" s="725">
        <f t="shared" si="2"/>
        <v>0</v>
      </c>
      <c r="AA41" s="725">
        <f t="shared" si="3"/>
        <v>0</v>
      </c>
      <c r="AB41" s="725">
        <f t="shared" si="4"/>
        <v>0</v>
      </c>
      <c r="AC41" s="744">
        <f t="shared" si="5"/>
        <v>0</v>
      </c>
      <c r="AD41" s="745">
        <f t="shared" si="6"/>
        <v>0</v>
      </c>
      <c r="AE41" s="745">
        <f t="shared" si="7"/>
        <v>0</v>
      </c>
      <c r="AF41" s="745">
        <f t="shared" si="8"/>
        <v>0</v>
      </c>
      <c r="AG41" s="747">
        <f t="shared" si="9"/>
        <v>0</v>
      </c>
      <c r="AH41" s="340"/>
      <c r="AI41" s="340"/>
      <c r="AJ41" s="461"/>
    </row>
    <row r="42" spans="1:36" s="321" customFormat="1" ht="11.25" customHeight="1" x14ac:dyDescent="0.25">
      <c r="A42" s="323" t="s">
        <v>378</v>
      </c>
      <c r="B42" s="324" t="s">
        <v>934</v>
      </c>
      <c r="C42" s="324" t="s">
        <v>480</v>
      </c>
      <c r="D42" s="332" t="s">
        <v>1666</v>
      </c>
      <c r="E42" s="324" t="s">
        <v>1658</v>
      </c>
      <c r="F42" s="325" t="s">
        <v>464</v>
      </c>
      <c r="G42" s="456"/>
      <c r="H42" s="614">
        <v>13</v>
      </c>
      <c r="I42" s="332">
        <v>13</v>
      </c>
      <c r="J42" s="611"/>
      <c r="K42" s="611"/>
      <c r="L42" s="612"/>
      <c r="M42" s="610">
        <v>13</v>
      </c>
      <c r="N42" s="332">
        <v>13</v>
      </c>
      <c r="O42" s="332"/>
      <c r="P42" s="332"/>
      <c r="Q42" s="332"/>
      <c r="R42" s="657" t="s">
        <v>1847</v>
      </c>
      <c r="S42" s="332"/>
      <c r="T42" s="332"/>
      <c r="U42" s="332"/>
      <c r="V42" s="332"/>
      <c r="W42" s="332"/>
      <c r="X42" s="725">
        <f t="shared" si="0"/>
        <v>0</v>
      </c>
      <c r="Y42" s="725">
        <f t="shared" si="1"/>
        <v>0</v>
      </c>
      <c r="Z42" s="725">
        <f t="shared" si="2"/>
        <v>0</v>
      </c>
      <c r="AA42" s="725">
        <f t="shared" si="3"/>
        <v>0</v>
      </c>
      <c r="AB42" s="725">
        <f t="shared" si="4"/>
        <v>0</v>
      </c>
      <c r="AC42" s="744">
        <f t="shared" si="5"/>
        <v>0</v>
      </c>
      <c r="AD42" s="745">
        <f t="shared" si="6"/>
        <v>0</v>
      </c>
      <c r="AE42" s="745">
        <f t="shared" si="7"/>
        <v>0</v>
      </c>
      <c r="AF42" s="745">
        <f t="shared" si="8"/>
        <v>0</v>
      </c>
      <c r="AG42" s="747">
        <f t="shared" si="9"/>
        <v>0</v>
      </c>
      <c r="AH42" s="340"/>
      <c r="AI42" s="340"/>
      <c r="AJ42" s="461"/>
    </row>
    <row r="43" spans="1:36" s="321" customFormat="1" ht="11.25" customHeight="1" x14ac:dyDescent="0.25">
      <c r="A43" s="323" t="s">
        <v>378</v>
      </c>
      <c r="B43" s="324" t="s">
        <v>1835</v>
      </c>
      <c r="C43" s="324" t="s">
        <v>480</v>
      </c>
      <c r="D43" s="332" t="s">
        <v>1156</v>
      </c>
      <c r="E43" s="324" t="s">
        <v>1159</v>
      </c>
      <c r="F43" s="325" t="s">
        <v>464</v>
      </c>
      <c r="G43" s="456" t="s">
        <v>1301</v>
      </c>
      <c r="H43" s="614">
        <v>6</v>
      </c>
      <c r="I43" s="611">
        <v>6</v>
      </c>
      <c r="J43" s="611"/>
      <c r="K43" s="611"/>
      <c r="L43" s="612"/>
      <c r="M43" s="610"/>
      <c r="N43" s="332"/>
      <c r="O43" s="332"/>
      <c r="P43" s="332"/>
      <c r="Q43" s="332"/>
      <c r="R43" s="657"/>
      <c r="S43" s="332"/>
      <c r="T43" s="332"/>
      <c r="U43" s="332"/>
      <c r="V43" s="332"/>
      <c r="W43" s="332"/>
      <c r="X43" s="725">
        <f t="shared" si="0"/>
        <v>6</v>
      </c>
      <c r="Y43" s="725">
        <f t="shared" si="1"/>
        <v>6</v>
      </c>
      <c r="Z43" s="725">
        <f t="shared" si="2"/>
        <v>0</v>
      </c>
      <c r="AA43" s="725">
        <f t="shared" si="3"/>
        <v>0</v>
      </c>
      <c r="AB43" s="725">
        <f t="shared" si="4"/>
        <v>0</v>
      </c>
      <c r="AC43" s="744">
        <f t="shared" si="5"/>
        <v>4705.8823529411766</v>
      </c>
      <c r="AD43" s="745">
        <f t="shared" si="6"/>
        <v>1568.6274509803923</v>
      </c>
      <c r="AE43" s="745">
        <f t="shared" si="7"/>
        <v>0</v>
      </c>
      <c r="AF43" s="745">
        <f t="shared" si="8"/>
        <v>0</v>
      </c>
      <c r="AG43" s="747">
        <f t="shared" si="9"/>
        <v>0</v>
      </c>
      <c r="AH43" s="340"/>
      <c r="AI43" s="340"/>
      <c r="AJ43" s="461"/>
    </row>
    <row r="44" spans="1:36" s="321" customFormat="1" ht="11.25" customHeight="1" x14ac:dyDescent="0.25">
      <c r="A44" s="326" t="s">
        <v>3</v>
      </c>
      <c r="B44" s="327"/>
      <c r="C44" s="327"/>
      <c r="D44" s="328"/>
      <c r="E44" s="329"/>
      <c r="F44" s="330"/>
      <c r="G44" s="464"/>
      <c r="H44" s="799">
        <f>SUM(H21:H43)</f>
        <v>138</v>
      </c>
      <c r="I44" s="799">
        <f t="shared" ref="I44:AI44" si="22">SUM(I21:I43)</f>
        <v>143</v>
      </c>
      <c r="J44" s="799">
        <f t="shared" si="22"/>
        <v>195</v>
      </c>
      <c r="K44" s="799">
        <f t="shared" si="22"/>
        <v>281</v>
      </c>
      <c r="L44" s="799">
        <f t="shared" si="22"/>
        <v>1</v>
      </c>
      <c r="M44" s="799">
        <f t="shared" si="22"/>
        <v>119</v>
      </c>
      <c r="N44" s="799">
        <f t="shared" si="22"/>
        <v>119</v>
      </c>
      <c r="O44" s="799">
        <f t="shared" si="22"/>
        <v>20</v>
      </c>
      <c r="P44" s="799">
        <f t="shared" si="22"/>
        <v>119</v>
      </c>
      <c r="Q44" s="799">
        <f t="shared" si="22"/>
        <v>0</v>
      </c>
      <c r="R44" s="331">
        <f t="shared" si="22"/>
        <v>0</v>
      </c>
      <c r="S44" s="331">
        <f t="shared" si="22"/>
        <v>0</v>
      </c>
      <c r="T44" s="331">
        <f t="shared" si="22"/>
        <v>0</v>
      </c>
      <c r="U44" s="331">
        <f t="shared" si="22"/>
        <v>0</v>
      </c>
      <c r="V44" s="331">
        <f t="shared" si="22"/>
        <v>0</v>
      </c>
      <c r="W44" s="331">
        <f t="shared" si="22"/>
        <v>0</v>
      </c>
      <c r="X44" s="331">
        <f t="shared" ref="X44" si="23">SUM(X21:X43)</f>
        <v>19</v>
      </c>
      <c r="Y44" s="331">
        <f t="shared" ref="Y44" si="24">SUM(Y21:Y43)</f>
        <v>24</v>
      </c>
      <c r="Z44" s="331">
        <f t="shared" ref="Z44" si="25">SUM(Z21:Z43)</f>
        <v>175</v>
      </c>
      <c r="AA44" s="331">
        <f t="shared" ref="AA44" si="26">SUM(AA21:AA43)</f>
        <v>162</v>
      </c>
      <c r="AB44" s="331">
        <f t="shared" ref="AB44:AG44" si="27">SUM(AB21:AB43)</f>
        <v>1</v>
      </c>
      <c r="AC44" s="746">
        <f t="shared" si="27"/>
        <v>14901.960784313726</v>
      </c>
      <c r="AD44" s="746">
        <f t="shared" si="27"/>
        <v>6274.5098039215691</v>
      </c>
      <c r="AE44" s="746">
        <f t="shared" si="27"/>
        <v>28594.771241830069</v>
      </c>
      <c r="AF44" s="746">
        <f t="shared" si="27"/>
        <v>5294.1176470588234</v>
      </c>
      <c r="AG44" s="746">
        <f t="shared" si="27"/>
        <v>1633.9869281045751</v>
      </c>
      <c r="AH44" s="331">
        <f t="shared" si="22"/>
        <v>0</v>
      </c>
      <c r="AI44" s="331">
        <f t="shared" si="22"/>
        <v>0</v>
      </c>
      <c r="AJ44" s="461"/>
    </row>
    <row r="45" spans="1:36" s="335" customFormat="1" ht="11.25" customHeight="1" x14ac:dyDescent="0.25">
      <c r="A45" s="323" t="s">
        <v>1310</v>
      </c>
      <c r="B45" s="324" t="s">
        <v>1817</v>
      </c>
      <c r="C45" s="324" t="s">
        <v>719</v>
      </c>
      <c r="D45" s="324" t="s">
        <v>1366</v>
      </c>
      <c r="E45" s="324" t="s">
        <v>1042</v>
      </c>
      <c r="F45" s="325" t="s">
        <v>464</v>
      </c>
      <c r="G45" s="456" t="s">
        <v>1263</v>
      </c>
      <c r="H45" s="615">
        <v>35</v>
      </c>
      <c r="I45" s="616">
        <v>35</v>
      </c>
      <c r="J45" s="616">
        <v>7</v>
      </c>
      <c r="K45" s="616">
        <v>0</v>
      </c>
      <c r="L45" s="617">
        <v>0</v>
      </c>
      <c r="M45" s="610">
        <v>25</v>
      </c>
      <c r="N45" s="332">
        <v>25</v>
      </c>
      <c r="O45" s="332"/>
      <c r="P45" s="332"/>
      <c r="Q45" s="332"/>
      <c r="R45" s="657" t="s">
        <v>778</v>
      </c>
      <c r="S45" s="332"/>
      <c r="T45" s="332"/>
      <c r="U45" s="332"/>
      <c r="V45" s="332"/>
      <c r="W45" s="332"/>
      <c r="X45" s="725">
        <f t="shared" si="0"/>
        <v>10</v>
      </c>
      <c r="Y45" s="725">
        <f t="shared" si="1"/>
        <v>10</v>
      </c>
      <c r="Z45" s="725">
        <f t="shared" si="2"/>
        <v>7</v>
      </c>
      <c r="AA45" s="725">
        <f t="shared" si="3"/>
        <v>0</v>
      </c>
      <c r="AB45" s="725">
        <f t="shared" si="4"/>
        <v>0</v>
      </c>
      <c r="AC45" s="744">
        <f t="shared" si="5"/>
        <v>7843.1372549019607</v>
      </c>
      <c r="AD45" s="745">
        <f t="shared" si="6"/>
        <v>2614.3790849673201</v>
      </c>
      <c r="AE45" s="745">
        <f t="shared" si="7"/>
        <v>1143.7908496732025</v>
      </c>
      <c r="AF45" s="745">
        <f t="shared" si="8"/>
        <v>0</v>
      </c>
      <c r="AG45" s="747">
        <f t="shared" si="9"/>
        <v>0</v>
      </c>
      <c r="AH45" s="340"/>
      <c r="AI45" s="340"/>
      <c r="AJ45" s="647"/>
    </row>
    <row r="46" spans="1:36" s="335" customFormat="1" ht="11.25" customHeight="1" x14ac:dyDescent="0.25">
      <c r="A46" s="326" t="s">
        <v>3</v>
      </c>
      <c r="B46" s="327"/>
      <c r="C46" s="327"/>
      <c r="D46" s="328"/>
      <c r="E46" s="329"/>
      <c r="F46" s="330"/>
      <c r="G46" s="464"/>
      <c r="H46" s="799">
        <f>SUM(H45)</f>
        <v>35</v>
      </c>
      <c r="I46" s="799">
        <f t="shared" ref="I46:AI46" si="28">SUM(I45)</f>
        <v>35</v>
      </c>
      <c r="J46" s="799">
        <f t="shared" si="28"/>
        <v>7</v>
      </c>
      <c r="K46" s="799">
        <f t="shared" si="28"/>
        <v>0</v>
      </c>
      <c r="L46" s="799">
        <f t="shared" si="28"/>
        <v>0</v>
      </c>
      <c r="M46" s="799">
        <f t="shared" si="28"/>
        <v>25</v>
      </c>
      <c r="N46" s="799">
        <f t="shared" si="28"/>
        <v>25</v>
      </c>
      <c r="O46" s="799">
        <f t="shared" si="28"/>
        <v>0</v>
      </c>
      <c r="P46" s="799">
        <f t="shared" si="28"/>
        <v>0</v>
      </c>
      <c r="Q46" s="799">
        <f t="shared" si="28"/>
        <v>0</v>
      </c>
      <c r="R46" s="331">
        <f t="shared" si="28"/>
        <v>0</v>
      </c>
      <c r="S46" s="331">
        <f t="shared" si="28"/>
        <v>0</v>
      </c>
      <c r="T46" s="331">
        <f t="shared" si="28"/>
        <v>0</v>
      </c>
      <c r="U46" s="331">
        <f t="shared" si="28"/>
        <v>0</v>
      </c>
      <c r="V46" s="331">
        <f t="shared" si="28"/>
        <v>0</v>
      </c>
      <c r="W46" s="331">
        <f t="shared" si="28"/>
        <v>0</v>
      </c>
      <c r="X46" s="331">
        <f t="shared" ref="X46" si="29">SUM(X45)</f>
        <v>10</v>
      </c>
      <c r="Y46" s="331">
        <f t="shared" ref="Y46" si="30">SUM(Y45)</f>
        <v>10</v>
      </c>
      <c r="Z46" s="331">
        <f t="shared" ref="Z46" si="31">SUM(Z45)</f>
        <v>7</v>
      </c>
      <c r="AA46" s="331">
        <f t="shared" ref="AA46" si="32">SUM(AA45)</f>
        <v>0</v>
      </c>
      <c r="AB46" s="331">
        <f t="shared" ref="AB46:AG46" si="33">SUM(AB45)</f>
        <v>0</v>
      </c>
      <c r="AC46" s="746">
        <f t="shared" si="33"/>
        <v>7843.1372549019607</v>
      </c>
      <c r="AD46" s="746">
        <f t="shared" si="33"/>
        <v>2614.3790849673201</v>
      </c>
      <c r="AE46" s="746">
        <f t="shared" si="33"/>
        <v>1143.7908496732025</v>
      </c>
      <c r="AF46" s="746">
        <f t="shared" si="33"/>
        <v>0</v>
      </c>
      <c r="AG46" s="746">
        <f t="shared" si="33"/>
        <v>0</v>
      </c>
      <c r="AH46" s="331">
        <f t="shared" si="28"/>
        <v>0</v>
      </c>
      <c r="AI46" s="331">
        <f t="shared" si="28"/>
        <v>0</v>
      </c>
      <c r="AJ46" s="647"/>
    </row>
    <row r="47" spans="1:36" s="321" customFormat="1" ht="11.25" customHeight="1" x14ac:dyDescent="0.25">
      <c r="A47" s="323" t="s">
        <v>1310</v>
      </c>
      <c r="B47" s="324" t="s">
        <v>1322</v>
      </c>
      <c r="C47" s="324" t="s">
        <v>1198</v>
      </c>
      <c r="D47" s="324" t="s">
        <v>1195</v>
      </c>
      <c r="E47" s="324"/>
      <c r="F47" s="325"/>
      <c r="G47" s="338"/>
      <c r="H47" s="615"/>
      <c r="I47" s="616"/>
      <c r="J47" s="616"/>
      <c r="K47" s="616"/>
      <c r="L47" s="617"/>
      <c r="M47" s="610"/>
      <c r="N47" s="332"/>
      <c r="O47" s="332"/>
      <c r="P47" s="332"/>
      <c r="Q47" s="332"/>
      <c r="R47" s="657"/>
      <c r="S47" s="332"/>
      <c r="T47" s="332"/>
      <c r="U47" s="332"/>
      <c r="V47" s="332"/>
      <c r="W47" s="332"/>
      <c r="X47" s="725">
        <f t="shared" si="0"/>
        <v>0</v>
      </c>
      <c r="Y47" s="725">
        <f t="shared" si="1"/>
        <v>0</v>
      </c>
      <c r="Z47" s="725">
        <f t="shared" si="2"/>
        <v>0</v>
      </c>
      <c r="AA47" s="725">
        <f t="shared" si="3"/>
        <v>0</v>
      </c>
      <c r="AB47" s="725">
        <f t="shared" si="4"/>
        <v>0</v>
      </c>
      <c r="AC47" s="744">
        <f t="shared" si="5"/>
        <v>0</v>
      </c>
      <c r="AD47" s="745">
        <f t="shared" si="6"/>
        <v>0</v>
      </c>
      <c r="AE47" s="745">
        <f t="shared" si="7"/>
        <v>0</v>
      </c>
      <c r="AF47" s="745">
        <f t="shared" si="8"/>
        <v>0</v>
      </c>
      <c r="AG47" s="747">
        <f t="shared" si="9"/>
        <v>0</v>
      </c>
      <c r="AH47" s="340"/>
      <c r="AI47" s="340"/>
      <c r="AJ47" s="461"/>
    </row>
    <row r="48" spans="1:36" s="335" customFormat="1" ht="11.25" customHeight="1" x14ac:dyDescent="0.25">
      <c r="A48" s="326" t="s">
        <v>3</v>
      </c>
      <c r="B48" s="327"/>
      <c r="C48" s="327"/>
      <c r="D48" s="328"/>
      <c r="E48" s="329"/>
      <c r="F48" s="330"/>
      <c r="G48" s="464"/>
      <c r="H48" s="799">
        <f>SUM(H47)</f>
        <v>0</v>
      </c>
      <c r="I48" s="799">
        <f t="shared" ref="I48:AI48" si="34">SUM(I47)</f>
        <v>0</v>
      </c>
      <c r="J48" s="799">
        <f t="shared" si="34"/>
        <v>0</v>
      </c>
      <c r="K48" s="799">
        <f t="shared" si="34"/>
        <v>0</v>
      </c>
      <c r="L48" s="799">
        <f t="shared" si="34"/>
        <v>0</v>
      </c>
      <c r="M48" s="799">
        <f t="shared" si="34"/>
        <v>0</v>
      </c>
      <c r="N48" s="799">
        <f t="shared" si="34"/>
        <v>0</v>
      </c>
      <c r="O48" s="799">
        <f t="shared" si="34"/>
        <v>0</v>
      </c>
      <c r="P48" s="799">
        <f t="shared" si="34"/>
        <v>0</v>
      </c>
      <c r="Q48" s="799">
        <f t="shared" si="34"/>
        <v>0</v>
      </c>
      <c r="R48" s="331">
        <f t="shared" si="34"/>
        <v>0</v>
      </c>
      <c r="S48" s="331">
        <f t="shared" si="34"/>
        <v>0</v>
      </c>
      <c r="T48" s="331">
        <f t="shared" si="34"/>
        <v>0</v>
      </c>
      <c r="U48" s="331">
        <f t="shared" si="34"/>
        <v>0</v>
      </c>
      <c r="V48" s="331">
        <f t="shared" si="34"/>
        <v>0</v>
      </c>
      <c r="W48" s="331">
        <f t="shared" si="34"/>
        <v>0</v>
      </c>
      <c r="X48" s="331">
        <f t="shared" ref="X48" si="35">SUM(X47)</f>
        <v>0</v>
      </c>
      <c r="Y48" s="331">
        <f t="shared" ref="Y48" si="36">SUM(Y47)</f>
        <v>0</v>
      </c>
      <c r="Z48" s="331">
        <f t="shared" ref="Z48" si="37">SUM(Z47)</f>
        <v>0</v>
      </c>
      <c r="AA48" s="331">
        <f t="shared" ref="AA48" si="38">SUM(AA47)</f>
        <v>0</v>
      </c>
      <c r="AB48" s="331">
        <f t="shared" ref="AB48:AG48" si="39">SUM(AB47)</f>
        <v>0</v>
      </c>
      <c r="AC48" s="766">
        <f t="shared" si="39"/>
        <v>0</v>
      </c>
      <c r="AD48" s="766">
        <f t="shared" si="39"/>
        <v>0</v>
      </c>
      <c r="AE48" s="766">
        <f t="shared" si="39"/>
        <v>0</v>
      </c>
      <c r="AF48" s="766">
        <f t="shared" si="39"/>
        <v>0</v>
      </c>
      <c r="AG48" s="766">
        <f t="shared" si="39"/>
        <v>0</v>
      </c>
      <c r="AH48" s="331">
        <f t="shared" ref="AH48" si="40">SUM(AH47)</f>
        <v>0</v>
      </c>
      <c r="AI48" s="331">
        <f t="shared" si="34"/>
        <v>0</v>
      </c>
      <c r="AJ48" s="647"/>
    </row>
    <row r="49" spans="1:36" s="321" customFormat="1" ht="11.25" customHeight="1" x14ac:dyDescent="0.25">
      <c r="A49" s="323" t="s">
        <v>1310</v>
      </c>
      <c r="B49" s="324" t="s">
        <v>1817</v>
      </c>
      <c r="C49" s="332" t="s">
        <v>146</v>
      </c>
      <c r="D49" s="332" t="s">
        <v>367</v>
      </c>
      <c r="E49" s="324" t="s">
        <v>381</v>
      </c>
      <c r="F49" s="325" t="s">
        <v>464</v>
      </c>
      <c r="G49" s="456"/>
      <c r="H49" s="614"/>
      <c r="I49" s="611"/>
      <c r="J49" s="611"/>
      <c r="K49" s="332"/>
      <c r="L49" s="612"/>
      <c r="M49" s="610"/>
      <c r="N49" s="332"/>
      <c r="O49" s="332"/>
      <c r="P49" s="332"/>
      <c r="Q49" s="332"/>
      <c r="R49" s="657"/>
      <c r="S49" s="332"/>
      <c r="T49" s="332"/>
      <c r="U49" s="332"/>
      <c r="V49" s="332"/>
      <c r="W49" s="332"/>
      <c r="X49" s="725">
        <f t="shared" si="0"/>
        <v>0</v>
      </c>
      <c r="Y49" s="725">
        <f t="shared" si="1"/>
        <v>0</v>
      </c>
      <c r="Z49" s="725">
        <f t="shared" si="2"/>
        <v>0</v>
      </c>
      <c r="AA49" s="725">
        <f t="shared" si="3"/>
        <v>0</v>
      </c>
      <c r="AB49" s="725">
        <f t="shared" si="4"/>
        <v>0</v>
      </c>
      <c r="AC49" s="744">
        <f t="shared" si="5"/>
        <v>0</v>
      </c>
      <c r="AD49" s="745">
        <f t="shared" si="6"/>
        <v>0</v>
      </c>
      <c r="AE49" s="745">
        <f t="shared" si="7"/>
        <v>0</v>
      </c>
      <c r="AF49" s="745">
        <f t="shared" si="8"/>
        <v>0</v>
      </c>
      <c r="AG49" s="747">
        <f t="shared" si="9"/>
        <v>0</v>
      </c>
      <c r="AH49" s="340"/>
      <c r="AI49" s="340"/>
      <c r="AJ49" s="461"/>
    </row>
    <row r="50" spans="1:36" s="321" customFormat="1" ht="11.25" customHeight="1" x14ac:dyDescent="0.25">
      <c r="A50" s="323" t="s">
        <v>1310</v>
      </c>
      <c r="B50" s="324" t="s">
        <v>1817</v>
      </c>
      <c r="C50" s="332" t="s">
        <v>146</v>
      </c>
      <c r="D50" s="332" t="s">
        <v>1230</v>
      </c>
      <c r="E50" s="324" t="s">
        <v>1229</v>
      </c>
      <c r="F50" s="325" t="s">
        <v>464</v>
      </c>
      <c r="G50" s="456" t="s">
        <v>1301</v>
      </c>
      <c r="H50" s="614"/>
      <c r="I50" s="611"/>
      <c r="J50" s="611">
        <v>0</v>
      </c>
      <c r="K50" s="332">
        <v>0</v>
      </c>
      <c r="L50" s="612"/>
      <c r="M50" s="610"/>
      <c r="N50" s="332"/>
      <c r="O50" s="332"/>
      <c r="P50" s="332"/>
      <c r="Q50" s="332"/>
      <c r="R50" s="657"/>
      <c r="S50" s="332"/>
      <c r="T50" s="332"/>
      <c r="U50" s="332"/>
      <c r="V50" s="332"/>
      <c r="W50" s="332"/>
      <c r="X50" s="725">
        <f t="shared" si="0"/>
        <v>0</v>
      </c>
      <c r="Y50" s="725">
        <f t="shared" si="1"/>
        <v>0</v>
      </c>
      <c r="Z50" s="725">
        <f t="shared" si="2"/>
        <v>0</v>
      </c>
      <c r="AA50" s="725">
        <f t="shared" si="3"/>
        <v>0</v>
      </c>
      <c r="AB50" s="725">
        <f t="shared" si="4"/>
        <v>0</v>
      </c>
      <c r="AC50" s="744">
        <f t="shared" si="5"/>
        <v>0</v>
      </c>
      <c r="AD50" s="745">
        <f t="shared" si="6"/>
        <v>0</v>
      </c>
      <c r="AE50" s="745">
        <f t="shared" si="7"/>
        <v>0</v>
      </c>
      <c r="AF50" s="745">
        <f t="shared" si="8"/>
        <v>0</v>
      </c>
      <c r="AG50" s="747">
        <f t="shared" si="9"/>
        <v>0</v>
      </c>
      <c r="AH50" s="340"/>
      <c r="AI50" s="340"/>
      <c r="AJ50" s="461" t="s">
        <v>1312</v>
      </c>
    </row>
    <row r="51" spans="1:36" s="321" customFormat="1" ht="11.25" customHeight="1" x14ac:dyDescent="0.25">
      <c r="A51" s="323" t="s">
        <v>1310</v>
      </c>
      <c r="B51" s="324" t="s">
        <v>1046</v>
      </c>
      <c r="C51" s="332" t="s">
        <v>146</v>
      </c>
      <c r="D51" s="332" t="s">
        <v>368</v>
      </c>
      <c r="E51" s="324" t="s">
        <v>382</v>
      </c>
      <c r="F51" s="325" t="s">
        <v>464</v>
      </c>
      <c r="G51" s="456"/>
      <c r="H51" s="614"/>
      <c r="I51" s="611"/>
      <c r="J51" s="611"/>
      <c r="K51" s="611"/>
      <c r="L51" s="612"/>
      <c r="M51" s="610"/>
      <c r="N51" s="332"/>
      <c r="O51" s="332"/>
      <c r="P51" s="332"/>
      <c r="Q51" s="332"/>
      <c r="R51" s="657"/>
      <c r="S51" s="332"/>
      <c r="T51" s="332"/>
      <c r="U51" s="332"/>
      <c r="V51" s="332"/>
      <c r="W51" s="332"/>
      <c r="X51" s="725">
        <f t="shared" si="0"/>
        <v>0</v>
      </c>
      <c r="Y51" s="725">
        <f t="shared" si="1"/>
        <v>0</v>
      </c>
      <c r="Z51" s="725">
        <f t="shared" si="2"/>
        <v>0</v>
      </c>
      <c r="AA51" s="725">
        <f t="shared" si="3"/>
        <v>0</v>
      </c>
      <c r="AB51" s="725">
        <f t="shared" si="4"/>
        <v>0</v>
      </c>
      <c r="AC51" s="744">
        <f t="shared" si="5"/>
        <v>0</v>
      </c>
      <c r="AD51" s="745">
        <f t="shared" si="6"/>
        <v>0</v>
      </c>
      <c r="AE51" s="745">
        <f t="shared" si="7"/>
        <v>0</v>
      </c>
      <c r="AF51" s="745">
        <f t="shared" si="8"/>
        <v>0</v>
      </c>
      <c r="AG51" s="747">
        <f t="shared" si="9"/>
        <v>0</v>
      </c>
      <c r="AH51" s="340"/>
      <c r="AI51" s="340"/>
      <c r="AJ51" s="461"/>
    </row>
    <row r="52" spans="1:36" s="321" customFormat="1" ht="11.25" customHeight="1" x14ac:dyDescent="0.25">
      <c r="A52" s="323" t="s">
        <v>1310</v>
      </c>
      <c r="B52" s="324" t="s">
        <v>1046</v>
      </c>
      <c r="C52" s="332" t="s">
        <v>146</v>
      </c>
      <c r="D52" s="324" t="s">
        <v>1589</v>
      </c>
      <c r="E52" s="324" t="s">
        <v>383</v>
      </c>
      <c r="F52" s="325" t="s">
        <v>464</v>
      </c>
      <c r="G52" s="456" t="s">
        <v>1451</v>
      </c>
      <c r="H52" s="610"/>
      <c r="I52" s="332"/>
      <c r="J52" s="611">
        <v>63</v>
      </c>
      <c r="K52" s="332">
        <v>63</v>
      </c>
      <c r="L52" s="612">
        <v>0</v>
      </c>
      <c r="M52" s="610"/>
      <c r="N52" s="332"/>
      <c r="O52" s="332"/>
      <c r="P52" s="332">
        <v>63</v>
      </c>
      <c r="Q52" s="332">
        <v>1</v>
      </c>
      <c r="R52" s="657" t="s">
        <v>1842</v>
      </c>
      <c r="S52" s="332"/>
      <c r="T52" s="332"/>
      <c r="U52" s="332"/>
      <c r="V52" s="332"/>
      <c r="W52" s="332"/>
      <c r="X52" s="725">
        <f t="shared" si="0"/>
        <v>0</v>
      </c>
      <c r="Y52" s="725">
        <f t="shared" si="1"/>
        <v>0</v>
      </c>
      <c r="Z52" s="725">
        <f t="shared" si="2"/>
        <v>63</v>
      </c>
      <c r="AA52" s="725">
        <f t="shared" si="3"/>
        <v>0</v>
      </c>
      <c r="AB52" s="725">
        <f t="shared" si="4"/>
        <v>-1</v>
      </c>
      <c r="AC52" s="744">
        <f t="shared" si="5"/>
        <v>0</v>
      </c>
      <c r="AD52" s="745">
        <f t="shared" si="6"/>
        <v>0</v>
      </c>
      <c r="AE52" s="745">
        <f t="shared" si="7"/>
        <v>10294.117647058823</v>
      </c>
      <c r="AF52" s="745">
        <f t="shared" si="8"/>
        <v>0</v>
      </c>
      <c r="AG52" s="747">
        <f t="shared" si="9"/>
        <v>-1633.9869281045751</v>
      </c>
      <c r="AH52" s="340"/>
      <c r="AI52" s="340"/>
      <c r="AJ52" s="461"/>
    </row>
    <row r="53" spans="1:36" s="321" customFormat="1" ht="11.25" customHeight="1" x14ac:dyDescent="0.25">
      <c r="A53" s="323" t="s">
        <v>1310</v>
      </c>
      <c r="B53" s="324" t="s">
        <v>1311</v>
      </c>
      <c r="C53" s="332" t="s">
        <v>146</v>
      </c>
      <c r="D53" s="332" t="s">
        <v>1313</v>
      </c>
      <c r="E53" s="324" t="s">
        <v>1238</v>
      </c>
      <c r="F53" s="325" t="s">
        <v>464</v>
      </c>
      <c r="G53" s="456" t="s">
        <v>1301</v>
      </c>
      <c r="H53" s="610"/>
      <c r="I53" s="332"/>
      <c r="J53" s="611"/>
      <c r="K53" s="332"/>
      <c r="L53" s="612"/>
      <c r="M53" s="610"/>
      <c r="N53" s="332"/>
      <c r="O53" s="332"/>
      <c r="P53" s="332"/>
      <c r="Q53" s="332"/>
      <c r="R53" s="657"/>
      <c r="S53" s="332"/>
      <c r="T53" s="332"/>
      <c r="U53" s="332"/>
      <c r="V53" s="332"/>
      <c r="W53" s="332"/>
      <c r="X53" s="725">
        <f t="shared" si="0"/>
        <v>0</v>
      </c>
      <c r="Y53" s="725">
        <f t="shared" si="1"/>
        <v>0</v>
      </c>
      <c r="Z53" s="725">
        <f t="shared" si="2"/>
        <v>0</v>
      </c>
      <c r="AA53" s="725">
        <f t="shared" si="3"/>
        <v>0</v>
      </c>
      <c r="AB53" s="725">
        <f t="shared" si="4"/>
        <v>0</v>
      </c>
      <c r="AC53" s="744">
        <f t="shared" si="5"/>
        <v>0</v>
      </c>
      <c r="AD53" s="745">
        <f t="shared" si="6"/>
        <v>0</v>
      </c>
      <c r="AE53" s="745">
        <f t="shared" si="7"/>
        <v>0</v>
      </c>
      <c r="AF53" s="745">
        <f t="shared" si="8"/>
        <v>0</v>
      </c>
      <c r="AG53" s="747">
        <f t="shared" si="9"/>
        <v>0</v>
      </c>
      <c r="AH53" s="340"/>
      <c r="AI53" s="340"/>
      <c r="AJ53" s="461" t="s">
        <v>1312</v>
      </c>
    </row>
    <row r="54" spans="1:36" s="321" customFormat="1" ht="11.25" customHeight="1" x14ac:dyDescent="0.25">
      <c r="A54" s="323" t="s">
        <v>1310</v>
      </c>
      <c r="B54" s="324" t="s">
        <v>1817</v>
      </c>
      <c r="C54" s="332" t="s">
        <v>146</v>
      </c>
      <c r="D54" s="332" t="s">
        <v>1314</v>
      </c>
      <c r="E54" s="324" t="s">
        <v>147</v>
      </c>
      <c r="F54" s="325" t="s">
        <v>464</v>
      </c>
      <c r="G54" s="456"/>
      <c r="H54" s="615"/>
      <c r="I54" s="616">
        <v>0</v>
      </c>
      <c r="J54" s="611">
        <v>60</v>
      </c>
      <c r="K54" s="611">
        <v>20</v>
      </c>
      <c r="L54" s="612">
        <v>0</v>
      </c>
      <c r="M54" s="610"/>
      <c r="N54" s="332"/>
      <c r="O54" s="332">
        <v>18</v>
      </c>
      <c r="P54" s="332">
        <v>16</v>
      </c>
      <c r="Q54" s="332"/>
      <c r="R54" s="657" t="s">
        <v>1928</v>
      </c>
      <c r="S54" s="332"/>
      <c r="T54" s="332"/>
      <c r="U54" s="332"/>
      <c r="V54" s="332"/>
      <c r="W54" s="332"/>
      <c r="X54" s="725">
        <f t="shared" si="0"/>
        <v>0</v>
      </c>
      <c r="Y54" s="725">
        <f t="shared" si="1"/>
        <v>0</v>
      </c>
      <c r="Z54" s="725">
        <f t="shared" si="2"/>
        <v>42</v>
      </c>
      <c r="AA54" s="725">
        <f t="shared" si="3"/>
        <v>4</v>
      </c>
      <c r="AB54" s="725">
        <f t="shared" si="4"/>
        <v>0</v>
      </c>
      <c r="AC54" s="744">
        <f t="shared" si="5"/>
        <v>0</v>
      </c>
      <c r="AD54" s="745">
        <f t="shared" si="6"/>
        <v>0</v>
      </c>
      <c r="AE54" s="745">
        <f t="shared" si="7"/>
        <v>6862.7450980392159</v>
      </c>
      <c r="AF54" s="745">
        <f t="shared" si="8"/>
        <v>130.718954248366</v>
      </c>
      <c r="AG54" s="747">
        <f t="shared" si="9"/>
        <v>0</v>
      </c>
      <c r="AH54" s="340"/>
      <c r="AI54" s="340"/>
      <c r="AJ54" s="461"/>
    </row>
    <row r="55" spans="1:36" s="321" customFormat="1" ht="11.25" customHeight="1" x14ac:dyDescent="0.25">
      <c r="A55" s="323" t="s">
        <v>1310</v>
      </c>
      <c r="B55" s="324" t="s">
        <v>1817</v>
      </c>
      <c r="C55" s="332" t="s">
        <v>146</v>
      </c>
      <c r="D55" s="332" t="s">
        <v>149</v>
      </c>
      <c r="E55" s="324" t="s">
        <v>148</v>
      </c>
      <c r="F55" s="325" t="s">
        <v>464</v>
      </c>
      <c r="G55" s="456"/>
      <c r="H55" s="614">
        <v>18</v>
      </c>
      <c r="I55" s="611">
        <v>0</v>
      </c>
      <c r="J55" s="611">
        <v>60</v>
      </c>
      <c r="K55" s="332"/>
      <c r="L55" s="612">
        <v>0</v>
      </c>
      <c r="M55" s="610">
        <v>18</v>
      </c>
      <c r="N55" s="332"/>
      <c r="O55" s="332"/>
      <c r="P55" s="332"/>
      <c r="Q55" s="332"/>
      <c r="R55" s="657" t="s">
        <v>1880</v>
      </c>
      <c r="S55" s="332"/>
      <c r="T55" s="332"/>
      <c r="U55" s="332"/>
      <c r="V55" s="332"/>
      <c r="W55" s="332"/>
      <c r="X55" s="725">
        <f t="shared" si="0"/>
        <v>0</v>
      </c>
      <c r="Y55" s="725">
        <f t="shared" si="1"/>
        <v>0</v>
      </c>
      <c r="Z55" s="725">
        <f t="shared" si="2"/>
        <v>60</v>
      </c>
      <c r="AA55" s="725">
        <f t="shared" si="3"/>
        <v>0</v>
      </c>
      <c r="AB55" s="725">
        <f t="shared" si="4"/>
        <v>0</v>
      </c>
      <c r="AC55" s="744">
        <f t="shared" si="5"/>
        <v>0</v>
      </c>
      <c r="AD55" s="745">
        <f t="shared" si="6"/>
        <v>0</v>
      </c>
      <c r="AE55" s="745">
        <f t="shared" si="7"/>
        <v>9803.9215686274511</v>
      </c>
      <c r="AF55" s="745">
        <f t="shared" si="8"/>
        <v>0</v>
      </c>
      <c r="AG55" s="747">
        <f t="shared" si="9"/>
        <v>0</v>
      </c>
      <c r="AH55" s="340"/>
      <c r="AI55" s="340"/>
      <c r="AJ55" s="461"/>
    </row>
    <row r="56" spans="1:36" s="321" customFormat="1" ht="11.25" customHeight="1" x14ac:dyDescent="0.25">
      <c r="A56" s="323" t="s">
        <v>1310</v>
      </c>
      <c r="B56" s="324" t="s">
        <v>1046</v>
      </c>
      <c r="C56" s="332" t="s">
        <v>146</v>
      </c>
      <c r="D56" s="324" t="s">
        <v>1590</v>
      </c>
      <c r="E56" s="324" t="s">
        <v>1119</v>
      </c>
      <c r="F56" s="325" t="s">
        <v>464</v>
      </c>
      <c r="G56" s="456"/>
      <c r="H56" s="614">
        <v>67</v>
      </c>
      <c r="I56" s="611">
        <v>67</v>
      </c>
      <c r="J56" s="611"/>
      <c r="K56" s="332"/>
      <c r="L56" s="612"/>
      <c r="M56" s="610"/>
      <c r="N56" s="332"/>
      <c r="O56" s="332"/>
      <c r="P56" s="332"/>
      <c r="Q56" s="332"/>
      <c r="R56" s="657"/>
      <c r="S56" s="332"/>
      <c r="T56" s="332"/>
      <c r="U56" s="332"/>
      <c r="V56" s="332"/>
      <c r="W56" s="332"/>
      <c r="X56" s="725">
        <f t="shared" si="0"/>
        <v>67</v>
      </c>
      <c r="Y56" s="725">
        <f t="shared" si="1"/>
        <v>67</v>
      </c>
      <c r="Z56" s="725">
        <f t="shared" si="2"/>
        <v>0</v>
      </c>
      <c r="AA56" s="725">
        <f t="shared" si="3"/>
        <v>0</v>
      </c>
      <c r="AB56" s="725">
        <f t="shared" si="4"/>
        <v>0</v>
      </c>
      <c r="AC56" s="744">
        <f t="shared" si="5"/>
        <v>52549.01960784314</v>
      </c>
      <c r="AD56" s="745">
        <f t="shared" si="6"/>
        <v>17516.339869281044</v>
      </c>
      <c r="AE56" s="745">
        <f t="shared" si="7"/>
        <v>0</v>
      </c>
      <c r="AF56" s="745">
        <f t="shared" si="8"/>
        <v>0</v>
      </c>
      <c r="AG56" s="747">
        <f t="shared" si="9"/>
        <v>0</v>
      </c>
      <c r="AH56" s="340"/>
      <c r="AI56" s="340"/>
      <c r="AJ56" s="461"/>
    </row>
    <row r="57" spans="1:36" s="321" customFormat="1" ht="11.25" customHeight="1" x14ac:dyDescent="0.25">
      <c r="A57" s="323" t="s">
        <v>1310</v>
      </c>
      <c r="B57" s="324" t="s">
        <v>1046</v>
      </c>
      <c r="C57" s="332" t="s">
        <v>146</v>
      </c>
      <c r="D57" s="332" t="s">
        <v>1523</v>
      </c>
      <c r="E57" s="324" t="s">
        <v>1539</v>
      </c>
      <c r="F57" s="325" t="s">
        <v>464</v>
      </c>
      <c r="G57" s="456"/>
      <c r="H57" s="614">
        <v>36</v>
      </c>
      <c r="I57" s="611">
        <v>36</v>
      </c>
      <c r="J57" s="611">
        <v>38</v>
      </c>
      <c r="K57" s="332"/>
      <c r="L57" s="612"/>
      <c r="M57" s="610">
        <v>20</v>
      </c>
      <c r="N57" s="332">
        <v>20</v>
      </c>
      <c r="O57" s="332"/>
      <c r="P57" s="332"/>
      <c r="Q57" s="332"/>
      <c r="R57" s="657" t="s">
        <v>1843</v>
      </c>
      <c r="S57" s="332"/>
      <c r="T57" s="332"/>
      <c r="U57" s="332"/>
      <c r="V57" s="332"/>
      <c r="W57" s="332"/>
      <c r="X57" s="725">
        <f t="shared" si="0"/>
        <v>16</v>
      </c>
      <c r="Y57" s="725">
        <f t="shared" si="1"/>
        <v>16</v>
      </c>
      <c r="Z57" s="725">
        <f t="shared" si="2"/>
        <v>38</v>
      </c>
      <c r="AA57" s="725">
        <f t="shared" si="3"/>
        <v>0</v>
      </c>
      <c r="AB57" s="725">
        <f t="shared" si="4"/>
        <v>0</v>
      </c>
      <c r="AC57" s="744">
        <f t="shared" si="5"/>
        <v>12549.019607843138</v>
      </c>
      <c r="AD57" s="745">
        <f t="shared" si="6"/>
        <v>4183.0065359477121</v>
      </c>
      <c r="AE57" s="745">
        <f t="shared" si="7"/>
        <v>6209.1503267973858</v>
      </c>
      <c r="AF57" s="745">
        <f t="shared" si="8"/>
        <v>0</v>
      </c>
      <c r="AG57" s="747">
        <f t="shared" si="9"/>
        <v>0</v>
      </c>
      <c r="AH57" s="340"/>
      <c r="AI57" s="340"/>
      <c r="AJ57" s="461"/>
    </row>
    <row r="58" spans="1:36" s="321" customFormat="1" ht="11.25" customHeight="1" x14ac:dyDescent="0.25">
      <c r="A58" s="323" t="s">
        <v>1310</v>
      </c>
      <c r="B58" s="324" t="s">
        <v>1046</v>
      </c>
      <c r="C58" s="332" t="s">
        <v>146</v>
      </c>
      <c r="D58" s="332" t="s">
        <v>1080</v>
      </c>
      <c r="E58" s="324" t="s">
        <v>1081</v>
      </c>
      <c r="F58" s="325" t="s">
        <v>464</v>
      </c>
      <c r="G58" s="456"/>
      <c r="H58" s="614">
        <v>7</v>
      </c>
      <c r="I58" s="611">
        <v>7</v>
      </c>
      <c r="J58" s="611"/>
      <c r="K58" s="332">
        <v>105</v>
      </c>
      <c r="L58" s="612"/>
      <c r="M58" s="610"/>
      <c r="N58" s="332"/>
      <c r="O58" s="332"/>
      <c r="P58" s="332">
        <v>46</v>
      </c>
      <c r="Q58" s="332"/>
      <c r="R58" s="657" t="s">
        <v>1842</v>
      </c>
      <c r="S58" s="332"/>
      <c r="T58" s="332"/>
      <c r="U58" s="332"/>
      <c r="V58" s="332"/>
      <c r="W58" s="332"/>
      <c r="X58" s="725">
        <f t="shared" si="0"/>
        <v>7</v>
      </c>
      <c r="Y58" s="725">
        <f t="shared" si="1"/>
        <v>7</v>
      </c>
      <c r="Z58" s="725">
        <f t="shared" si="2"/>
        <v>0</v>
      </c>
      <c r="AA58" s="725">
        <f t="shared" si="3"/>
        <v>59</v>
      </c>
      <c r="AB58" s="725">
        <f t="shared" si="4"/>
        <v>0</v>
      </c>
      <c r="AC58" s="744">
        <f t="shared" si="5"/>
        <v>5490.1960784313724</v>
      </c>
      <c r="AD58" s="745">
        <f t="shared" si="6"/>
        <v>1830.0653594771243</v>
      </c>
      <c r="AE58" s="745">
        <f t="shared" si="7"/>
        <v>0</v>
      </c>
      <c r="AF58" s="745">
        <f t="shared" si="8"/>
        <v>1928.1045751633987</v>
      </c>
      <c r="AG58" s="747">
        <f t="shared" si="9"/>
        <v>0</v>
      </c>
      <c r="AH58" s="340"/>
      <c r="AI58" s="340"/>
      <c r="AJ58" s="461"/>
    </row>
    <row r="59" spans="1:36" s="321" customFormat="1" ht="11.25" customHeight="1" x14ac:dyDescent="0.25">
      <c r="A59" s="323" t="s">
        <v>1310</v>
      </c>
      <c r="B59" s="324" t="s">
        <v>1046</v>
      </c>
      <c r="C59" s="332" t="s">
        <v>146</v>
      </c>
      <c r="D59" s="332" t="s">
        <v>1555</v>
      </c>
      <c r="E59" s="324" t="s">
        <v>1124</v>
      </c>
      <c r="F59" s="325" t="s">
        <v>464</v>
      </c>
      <c r="G59" s="456"/>
      <c r="H59" s="614"/>
      <c r="I59" s="611"/>
      <c r="J59" s="611"/>
      <c r="K59" s="332"/>
      <c r="L59" s="612"/>
      <c r="M59" s="610"/>
      <c r="N59" s="332"/>
      <c r="O59" s="332"/>
      <c r="P59" s="332"/>
      <c r="Q59" s="332"/>
      <c r="R59" s="657"/>
      <c r="S59" s="332"/>
      <c r="T59" s="332"/>
      <c r="U59" s="332"/>
      <c r="V59" s="332"/>
      <c r="W59" s="332"/>
      <c r="X59" s="725">
        <f t="shared" si="0"/>
        <v>0</v>
      </c>
      <c r="Y59" s="725">
        <f t="shared" si="1"/>
        <v>0</v>
      </c>
      <c r="Z59" s="725">
        <f t="shared" si="2"/>
        <v>0</v>
      </c>
      <c r="AA59" s="725">
        <f t="shared" si="3"/>
        <v>0</v>
      </c>
      <c r="AB59" s="725">
        <f t="shared" si="4"/>
        <v>0</v>
      </c>
      <c r="AC59" s="744">
        <f t="shared" si="5"/>
        <v>0</v>
      </c>
      <c r="AD59" s="745">
        <f t="shared" si="6"/>
        <v>0</v>
      </c>
      <c r="AE59" s="745">
        <f t="shared" si="7"/>
        <v>0</v>
      </c>
      <c r="AF59" s="745">
        <f t="shared" si="8"/>
        <v>0</v>
      </c>
      <c r="AG59" s="747">
        <f t="shared" si="9"/>
        <v>0</v>
      </c>
      <c r="AH59" s="340"/>
      <c r="AI59" s="340"/>
      <c r="AJ59" s="461"/>
    </row>
    <row r="60" spans="1:36" s="321" customFormat="1" ht="11.25" customHeight="1" x14ac:dyDescent="0.25">
      <c r="A60" s="323" t="s">
        <v>1310</v>
      </c>
      <c r="B60" s="324" t="s">
        <v>1817</v>
      </c>
      <c r="C60" s="332" t="s">
        <v>146</v>
      </c>
      <c r="D60" s="332" t="s">
        <v>1315</v>
      </c>
      <c r="E60" s="324" t="s">
        <v>838</v>
      </c>
      <c r="F60" s="325" t="s">
        <v>464</v>
      </c>
      <c r="G60" s="456" t="s">
        <v>1451</v>
      </c>
      <c r="H60" s="610">
        <v>62</v>
      </c>
      <c r="I60" s="332">
        <v>62</v>
      </c>
      <c r="J60" s="611">
        <v>0</v>
      </c>
      <c r="K60" s="611">
        <v>0</v>
      </c>
      <c r="L60" s="612">
        <v>0</v>
      </c>
      <c r="M60" s="610">
        <v>62</v>
      </c>
      <c r="N60" s="332">
        <v>62</v>
      </c>
      <c r="O60" s="332"/>
      <c r="P60" s="332"/>
      <c r="Q60" s="332"/>
      <c r="R60" s="657" t="s">
        <v>1917</v>
      </c>
      <c r="S60" s="332"/>
      <c r="T60" s="332"/>
      <c r="U60" s="332"/>
      <c r="V60" s="332"/>
      <c r="W60" s="332"/>
      <c r="X60" s="725">
        <f t="shared" si="0"/>
        <v>0</v>
      </c>
      <c r="Y60" s="725">
        <f t="shared" si="1"/>
        <v>0</v>
      </c>
      <c r="Z60" s="725">
        <f t="shared" si="2"/>
        <v>0</v>
      </c>
      <c r="AA60" s="725">
        <f t="shared" si="3"/>
        <v>0</v>
      </c>
      <c r="AB60" s="725">
        <f t="shared" si="4"/>
        <v>0</v>
      </c>
      <c r="AC60" s="744">
        <f t="shared" si="5"/>
        <v>0</v>
      </c>
      <c r="AD60" s="745">
        <f t="shared" si="6"/>
        <v>0</v>
      </c>
      <c r="AE60" s="745">
        <f t="shared" si="7"/>
        <v>0</v>
      </c>
      <c r="AF60" s="745">
        <f t="shared" si="8"/>
        <v>0</v>
      </c>
      <c r="AG60" s="747">
        <f t="shared" si="9"/>
        <v>0</v>
      </c>
      <c r="AH60" s="340"/>
      <c r="AI60" s="340"/>
      <c r="AJ60" s="461"/>
    </row>
    <row r="61" spans="1:36" s="321" customFormat="1" ht="11.25" customHeight="1" x14ac:dyDescent="0.25">
      <c r="A61" s="323" t="s">
        <v>1310</v>
      </c>
      <c r="B61" s="324" t="s">
        <v>1322</v>
      </c>
      <c r="C61" s="332" t="s">
        <v>146</v>
      </c>
      <c r="D61" s="332" t="s">
        <v>1144</v>
      </c>
      <c r="E61" s="324" t="s">
        <v>1126</v>
      </c>
      <c r="F61" s="325" t="s">
        <v>464</v>
      </c>
      <c r="G61" s="456"/>
      <c r="H61" s="610"/>
      <c r="I61" s="332"/>
      <c r="J61" s="611"/>
      <c r="K61" s="611"/>
      <c r="L61" s="612"/>
      <c r="M61" s="610"/>
      <c r="N61" s="332"/>
      <c r="O61" s="332"/>
      <c r="P61" s="332"/>
      <c r="Q61" s="332"/>
      <c r="R61" s="657"/>
      <c r="S61" s="332"/>
      <c r="T61" s="332"/>
      <c r="U61" s="332"/>
      <c r="V61" s="332"/>
      <c r="W61" s="332"/>
      <c r="X61" s="725">
        <f t="shared" si="0"/>
        <v>0</v>
      </c>
      <c r="Y61" s="725">
        <f t="shared" si="1"/>
        <v>0</v>
      </c>
      <c r="Z61" s="725">
        <f t="shared" si="2"/>
        <v>0</v>
      </c>
      <c r="AA61" s="725">
        <f t="shared" si="3"/>
        <v>0</v>
      </c>
      <c r="AB61" s="725">
        <f t="shared" si="4"/>
        <v>0</v>
      </c>
      <c r="AC61" s="744">
        <f t="shared" si="5"/>
        <v>0</v>
      </c>
      <c r="AD61" s="745">
        <f t="shared" si="6"/>
        <v>0</v>
      </c>
      <c r="AE61" s="745">
        <f t="shared" si="7"/>
        <v>0</v>
      </c>
      <c r="AF61" s="745">
        <f t="shared" si="8"/>
        <v>0</v>
      </c>
      <c r="AG61" s="747">
        <f t="shared" si="9"/>
        <v>0</v>
      </c>
      <c r="AH61" s="340"/>
      <c r="AI61" s="340"/>
      <c r="AJ61" s="461"/>
    </row>
    <row r="62" spans="1:36" s="321" customFormat="1" ht="11.25" customHeight="1" x14ac:dyDescent="0.25">
      <c r="A62" s="323" t="s">
        <v>1310</v>
      </c>
      <c r="B62" s="324" t="s">
        <v>1322</v>
      </c>
      <c r="C62" s="332" t="s">
        <v>146</v>
      </c>
      <c r="D62" s="332" t="s">
        <v>1727</v>
      </c>
      <c r="E62" s="324" t="s">
        <v>839</v>
      </c>
      <c r="F62" s="325" t="s">
        <v>464</v>
      </c>
      <c r="G62" s="456"/>
      <c r="H62" s="610">
        <v>24</v>
      </c>
      <c r="I62" s="332"/>
      <c r="J62" s="611"/>
      <c r="K62" s="611"/>
      <c r="L62" s="612"/>
      <c r="M62" s="610">
        <v>24</v>
      </c>
      <c r="N62" s="332"/>
      <c r="O62" s="332"/>
      <c r="P62" s="332"/>
      <c r="Q62" s="332"/>
      <c r="R62" s="657" t="s">
        <v>1899</v>
      </c>
      <c r="S62" s="332"/>
      <c r="T62" s="332"/>
      <c r="U62" s="332"/>
      <c r="V62" s="332"/>
      <c r="W62" s="332"/>
      <c r="X62" s="725">
        <f t="shared" si="0"/>
        <v>0</v>
      </c>
      <c r="Y62" s="725">
        <f t="shared" si="1"/>
        <v>0</v>
      </c>
      <c r="Z62" s="725">
        <f t="shared" si="2"/>
        <v>0</v>
      </c>
      <c r="AA62" s="725">
        <f t="shared" si="3"/>
        <v>0</v>
      </c>
      <c r="AB62" s="725">
        <f t="shared" si="4"/>
        <v>0</v>
      </c>
      <c r="AC62" s="744">
        <f t="shared" si="5"/>
        <v>0</v>
      </c>
      <c r="AD62" s="745">
        <f t="shared" si="6"/>
        <v>0</v>
      </c>
      <c r="AE62" s="745">
        <f t="shared" si="7"/>
        <v>0</v>
      </c>
      <c r="AF62" s="745">
        <f t="shared" si="8"/>
        <v>0</v>
      </c>
      <c r="AG62" s="747">
        <f t="shared" si="9"/>
        <v>0</v>
      </c>
      <c r="AH62" s="340"/>
      <c r="AI62" s="340"/>
      <c r="AJ62" s="461"/>
    </row>
    <row r="63" spans="1:36" s="321" customFormat="1" ht="11.25" customHeight="1" x14ac:dyDescent="0.25">
      <c r="A63" s="323" t="s">
        <v>1310</v>
      </c>
      <c r="B63" s="324" t="s">
        <v>1046</v>
      </c>
      <c r="C63" s="332" t="s">
        <v>146</v>
      </c>
      <c r="D63" s="332" t="s">
        <v>1724</v>
      </c>
      <c r="E63" s="324" t="s">
        <v>1721</v>
      </c>
      <c r="F63" s="325" t="s">
        <v>464</v>
      </c>
      <c r="G63" s="456"/>
      <c r="H63" s="610"/>
      <c r="I63" s="332"/>
      <c r="J63" s="611"/>
      <c r="K63" s="611"/>
      <c r="L63" s="612"/>
      <c r="M63" s="610"/>
      <c r="N63" s="332"/>
      <c r="O63" s="332"/>
      <c r="P63" s="332"/>
      <c r="Q63" s="332"/>
      <c r="R63" s="657"/>
      <c r="S63" s="332"/>
      <c r="T63" s="332"/>
      <c r="U63" s="332"/>
      <c r="V63" s="332"/>
      <c r="W63" s="332"/>
      <c r="X63" s="725">
        <f t="shared" si="0"/>
        <v>0</v>
      </c>
      <c r="Y63" s="725">
        <f t="shared" si="1"/>
        <v>0</v>
      </c>
      <c r="Z63" s="725">
        <f t="shared" si="2"/>
        <v>0</v>
      </c>
      <c r="AA63" s="725">
        <f t="shared" si="3"/>
        <v>0</v>
      </c>
      <c r="AB63" s="725">
        <f t="shared" si="4"/>
        <v>0</v>
      </c>
      <c r="AC63" s="744">
        <f t="shared" si="5"/>
        <v>0</v>
      </c>
      <c r="AD63" s="745">
        <f t="shared" si="6"/>
        <v>0</v>
      </c>
      <c r="AE63" s="745">
        <f t="shared" si="7"/>
        <v>0</v>
      </c>
      <c r="AF63" s="745">
        <f t="shared" si="8"/>
        <v>0</v>
      </c>
      <c r="AG63" s="747">
        <f t="shared" si="9"/>
        <v>0</v>
      </c>
      <c r="AH63" s="340"/>
      <c r="AI63" s="340"/>
      <c r="AJ63" s="461"/>
    </row>
    <row r="64" spans="1:36" s="321" customFormat="1" ht="11.25" customHeight="1" x14ac:dyDescent="0.25">
      <c r="A64" s="323" t="s">
        <v>1310</v>
      </c>
      <c r="B64" s="324" t="s">
        <v>1046</v>
      </c>
      <c r="C64" s="332" t="s">
        <v>146</v>
      </c>
      <c r="D64" s="332" t="s">
        <v>941</v>
      </c>
      <c r="E64" s="324" t="s">
        <v>940</v>
      </c>
      <c r="F64" s="325" t="s">
        <v>464</v>
      </c>
      <c r="G64" s="456"/>
      <c r="H64" s="615">
        <v>19</v>
      </c>
      <c r="I64" s="616">
        <v>19</v>
      </c>
      <c r="J64" s="616">
        <v>0</v>
      </c>
      <c r="K64" s="616"/>
      <c r="L64" s="617"/>
      <c r="M64" s="610">
        <v>19</v>
      </c>
      <c r="N64" s="332">
        <v>19</v>
      </c>
      <c r="O64" s="332"/>
      <c r="P64" s="332"/>
      <c r="Q64" s="332"/>
      <c r="R64" s="657" t="s">
        <v>1902</v>
      </c>
      <c r="S64" s="332"/>
      <c r="T64" s="332"/>
      <c r="U64" s="332"/>
      <c r="V64" s="332"/>
      <c r="W64" s="332"/>
      <c r="X64" s="725">
        <f t="shared" si="0"/>
        <v>0</v>
      </c>
      <c r="Y64" s="725">
        <f t="shared" si="1"/>
        <v>0</v>
      </c>
      <c r="Z64" s="725">
        <f t="shared" si="2"/>
        <v>0</v>
      </c>
      <c r="AA64" s="725">
        <f t="shared" si="3"/>
        <v>0</v>
      </c>
      <c r="AB64" s="725">
        <f t="shared" si="4"/>
        <v>0</v>
      </c>
      <c r="AC64" s="744">
        <f t="shared" si="5"/>
        <v>0</v>
      </c>
      <c r="AD64" s="745">
        <f t="shared" si="6"/>
        <v>0</v>
      </c>
      <c r="AE64" s="745">
        <f t="shared" si="7"/>
        <v>0</v>
      </c>
      <c r="AF64" s="745">
        <f t="shared" si="8"/>
        <v>0</v>
      </c>
      <c r="AG64" s="747">
        <f t="shared" si="9"/>
        <v>0</v>
      </c>
      <c r="AH64" s="340"/>
      <c r="AI64" s="340"/>
      <c r="AJ64" s="461"/>
    </row>
    <row r="65" spans="1:36" s="321" customFormat="1" ht="11.25" customHeight="1" x14ac:dyDescent="0.25">
      <c r="A65" s="326" t="s">
        <v>3</v>
      </c>
      <c r="B65" s="327"/>
      <c r="C65" s="327"/>
      <c r="D65" s="328"/>
      <c r="E65" s="329"/>
      <c r="F65" s="330"/>
      <c r="G65" s="464"/>
      <c r="H65" s="799">
        <f>SUM(H49:H64)</f>
        <v>233</v>
      </c>
      <c r="I65" s="799">
        <f t="shared" ref="I65:AI65" si="41">SUM(I49:I64)</f>
        <v>191</v>
      </c>
      <c r="J65" s="799">
        <f t="shared" si="41"/>
        <v>221</v>
      </c>
      <c r="K65" s="799">
        <f t="shared" si="41"/>
        <v>188</v>
      </c>
      <c r="L65" s="799">
        <f t="shared" si="41"/>
        <v>0</v>
      </c>
      <c r="M65" s="799">
        <f t="shared" si="41"/>
        <v>143</v>
      </c>
      <c r="N65" s="799">
        <f t="shared" si="41"/>
        <v>101</v>
      </c>
      <c r="O65" s="799">
        <f t="shared" si="41"/>
        <v>18</v>
      </c>
      <c r="P65" s="799">
        <f t="shared" si="41"/>
        <v>125</v>
      </c>
      <c r="Q65" s="799">
        <f t="shared" si="41"/>
        <v>1</v>
      </c>
      <c r="R65" s="331">
        <f t="shared" si="41"/>
        <v>0</v>
      </c>
      <c r="S65" s="331">
        <f t="shared" si="41"/>
        <v>0</v>
      </c>
      <c r="T65" s="331">
        <f t="shared" si="41"/>
        <v>0</v>
      </c>
      <c r="U65" s="331">
        <f t="shared" si="41"/>
        <v>0</v>
      </c>
      <c r="V65" s="331">
        <f t="shared" si="41"/>
        <v>0</v>
      </c>
      <c r="W65" s="331">
        <f t="shared" si="41"/>
        <v>0</v>
      </c>
      <c r="X65" s="331">
        <f t="shared" ref="X65" si="42">SUM(X49:X64)</f>
        <v>90</v>
      </c>
      <c r="Y65" s="331">
        <f t="shared" ref="Y65" si="43">SUM(Y49:Y64)</f>
        <v>90</v>
      </c>
      <c r="Z65" s="331">
        <f t="shared" ref="Z65" si="44">SUM(Z49:Z64)</f>
        <v>203</v>
      </c>
      <c r="AA65" s="331">
        <f t="shared" ref="AA65" si="45">SUM(AA49:AA64)</f>
        <v>63</v>
      </c>
      <c r="AB65" s="331">
        <f t="shared" ref="AB65:AG65" si="46">SUM(AB49:AB64)</f>
        <v>-1</v>
      </c>
      <c r="AC65" s="746">
        <f t="shared" si="46"/>
        <v>70588.23529411765</v>
      </c>
      <c r="AD65" s="746">
        <f t="shared" si="46"/>
        <v>23529.411764705881</v>
      </c>
      <c r="AE65" s="746">
        <f t="shared" si="46"/>
        <v>33169.934640522872</v>
      </c>
      <c r="AF65" s="746">
        <f t="shared" si="46"/>
        <v>2058.8235294117649</v>
      </c>
      <c r="AG65" s="331">
        <f t="shared" si="46"/>
        <v>-1633.9869281045751</v>
      </c>
      <c r="AH65" s="331">
        <f t="shared" si="41"/>
        <v>0</v>
      </c>
      <c r="AI65" s="331">
        <f t="shared" si="41"/>
        <v>0</v>
      </c>
      <c r="AJ65" s="461"/>
    </row>
    <row r="66" spans="1:36" s="321" customFormat="1" ht="11.25" customHeight="1" x14ac:dyDescent="0.25">
      <c r="A66" s="323" t="s">
        <v>378</v>
      </c>
      <c r="B66" s="324" t="s">
        <v>933</v>
      </c>
      <c r="C66" s="324" t="s">
        <v>151</v>
      </c>
      <c r="D66" s="336" t="s">
        <v>1316</v>
      </c>
      <c r="E66" s="333" t="s">
        <v>187</v>
      </c>
      <c r="F66" s="337" t="s">
        <v>466</v>
      </c>
      <c r="G66" s="459"/>
      <c r="H66" s="610">
        <v>135</v>
      </c>
      <c r="I66" s="332">
        <v>185</v>
      </c>
      <c r="J66" s="611">
        <v>75</v>
      </c>
      <c r="K66" s="611">
        <v>0</v>
      </c>
      <c r="L66" s="612"/>
      <c r="M66" s="610"/>
      <c r="N66" s="332"/>
      <c r="O66" s="332"/>
      <c r="P66" s="332"/>
      <c r="Q66" s="332"/>
      <c r="R66" s="657"/>
      <c r="S66" s="332"/>
      <c r="T66" s="332"/>
      <c r="U66" s="332"/>
      <c r="V66" s="332"/>
      <c r="W66" s="332"/>
      <c r="X66" s="725">
        <f t="shared" si="0"/>
        <v>135</v>
      </c>
      <c r="Y66" s="725">
        <f t="shared" si="1"/>
        <v>185</v>
      </c>
      <c r="Z66" s="725">
        <f t="shared" si="2"/>
        <v>75</v>
      </c>
      <c r="AA66" s="725">
        <f t="shared" si="3"/>
        <v>0</v>
      </c>
      <c r="AB66" s="725">
        <f t="shared" si="4"/>
        <v>0</v>
      </c>
      <c r="AC66" s="744">
        <f t="shared" si="5"/>
        <v>105882.35294117648</v>
      </c>
      <c r="AD66" s="745">
        <f t="shared" si="6"/>
        <v>48366.013071895424</v>
      </c>
      <c r="AE66" s="745">
        <f t="shared" si="7"/>
        <v>12254.901960784313</v>
      </c>
      <c r="AF66" s="745">
        <f t="shared" si="8"/>
        <v>0</v>
      </c>
      <c r="AG66" s="747">
        <f t="shared" si="9"/>
        <v>0</v>
      </c>
      <c r="AH66" s="340"/>
      <c r="AI66" s="340"/>
      <c r="AJ66" s="461" t="s">
        <v>1684</v>
      </c>
    </row>
    <row r="67" spans="1:36" s="321" customFormat="1" ht="11.25" customHeight="1" x14ac:dyDescent="0.25">
      <c r="A67" s="323" t="s">
        <v>378</v>
      </c>
      <c r="B67" s="324" t="s">
        <v>1834</v>
      </c>
      <c r="C67" s="324" t="s">
        <v>151</v>
      </c>
      <c r="D67" s="332" t="s">
        <v>1317</v>
      </c>
      <c r="E67" s="324" t="s">
        <v>812</v>
      </c>
      <c r="F67" s="325" t="s">
        <v>464</v>
      </c>
      <c r="G67" s="456" t="s">
        <v>1451</v>
      </c>
      <c r="H67" s="614"/>
      <c r="I67" s="332">
        <v>30</v>
      </c>
      <c r="J67" s="611">
        <v>32</v>
      </c>
      <c r="K67" s="611">
        <v>40</v>
      </c>
      <c r="L67" s="612"/>
      <c r="M67" s="610"/>
      <c r="N67" s="332">
        <v>20</v>
      </c>
      <c r="O67" s="332">
        <v>3</v>
      </c>
      <c r="P67" s="332">
        <v>10</v>
      </c>
      <c r="Q67" s="332"/>
      <c r="R67" s="657" t="s">
        <v>1907</v>
      </c>
      <c r="S67" s="332"/>
      <c r="T67" s="332"/>
      <c r="U67" s="332"/>
      <c r="V67" s="332"/>
      <c r="W67" s="332"/>
      <c r="X67" s="725">
        <f t="shared" si="0"/>
        <v>0</v>
      </c>
      <c r="Y67" s="725">
        <f t="shared" si="1"/>
        <v>10</v>
      </c>
      <c r="Z67" s="725">
        <f t="shared" si="2"/>
        <v>29</v>
      </c>
      <c r="AA67" s="725">
        <f t="shared" si="3"/>
        <v>30</v>
      </c>
      <c r="AB67" s="725">
        <f t="shared" si="4"/>
        <v>0</v>
      </c>
      <c r="AC67" s="744">
        <f t="shared" si="5"/>
        <v>0</v>
      </c>
      <c r="AD67" s="745">
        <f t="shared" si="6"/>
        <v>2614.3790849673201</v>
      </c>
      <c r="AE67" s="745">
        <f t="shared" si="7"/>
        <v>4738.5620915032678</v>
      </c>
      <c r="AF67" s="745">
        <f t="shared" si="8"/>
        <v>980.39215686274508</v>
      </c>
      <c r="AG67" s="747">
        <f t="shared" si="9"/>
        <v>0</v>
      </c>
      <c r="AH67" s="340"/>
      <c r="AI67" s="340"/>
      <c r="AJ67" s="461"/>
    </row>
    <row r="68" spans="1:36" s="321" customFormat="1" ht="11.25" customHeight="1" x14ac:dyDescent="0.25">
      <c r="A68" s="323" t="s">
        <v>378</v>
      </c>
      <c r="B68" s="324" t="s">
        <v>933</v>
      </c>
      <c r="C68" s="324" t="s">
        <v>151</v>
      </c>
      <c r="D68" s="332" t="s">
        <v>845</v>
      </c>
      <c r="E68" s="324" t="s">
        <v>844</v>
      </c>
      <c r="F68" s="325" t="s">
        <v>464</v>
      </c>
      <c r="G68" s="456"/>
      <c r="H68" s="614">
        <v>25</v>
      </c>
      <c r="I68" s="611">
        <v>25</v>
      </c>
      <c r="J68" s="611">
        <v>30</v>
      </c>
      <c r="K68" s="611"/>
      <c r="L68" s="612">
        <v>0</v>
      </c>
      <c r="M68" s="610">
        <v>20</v>
      </c>
      <c r="N68" s="332">
        <v>20</v>
      </c>
      <c r="O68" s="332"/>
      <c r="P68" s="332"/>
      <c r="Q68" s="332"/>
      <c r="R68" s="657" t="s">
        <v>1846</v>
      </c>
      <c r="S68" s="332"/>
      <c r="T68" s="332"/>
      <c r="U68" s="332"/>
      <c r="V68" s="332"/>
      <c r="W68" s="332"/>
      <c r="X68" s="725">
        <f t="shared" si="0"/>
        <v>5</v>
      </c>
      <c r="Y68" s="725">
        <f t="shared" si="1"/>
        <v>5</v>
      </c>
      <c r="Z68" s="725">
        <f t="shared" si="2"/>
        <v>30</v>
      </c>
      <c r="AA68" s="725">
        <f t="shared" si="3"/>
        <v>0</v>
      </c>
      <c r="AB68" s="725">
        <f t="shared" si="4"/>
        <v>0</v>
      </c>
      <c r="AC68" s="744">
        <f t="shared" si="5"/>
        <v>3921.5686274509803</v>
      </c>
      <c r="AD68" s="745">
        <f t="shared" si="6"/>
        <v>1307.18954248366</v>
      </c>
      <c r="AE68" s="745">
        <f t="shared" si="7"/>
        <v>4901.9607843137255</v>
      </c>
      <c r="AF68" s="745">
        <f t="shared" si="8"/>
        <v>0</v>
      </c>
      <c r="AG68" s="747">
        <f t="shared" si="9"/>
        <v>0</v>
      </c>
      <c r="AH68" s="340"/>
      <c r="AI68" s="340"/>
      <c r="AJ68" s="461" t="s">
        <v>1318</v>
      </c>
    </row>
    <row r="69" spans="1:36" s="321" customFormat="1" ht="11.25" customHeight="1" x14ac:dyDescent="0.25">
      <c r="A69" s="323" t="s">
        <v>378</v>
      </c>
      <c r="B69" s="324" t="s">
        <v>1817</v>
      </c>
      <c r="C69" s="324" t="s">
        <v>151</v>
      </c>
      <c r="D69" s="332" t="s">
        <v>160</v>
      </c>
      <c r="E69" s="324" t="s">
        <v>159</v>
      </c>
      <c r="F69" s="325" t="s">
        <v>464</v>
      </c>
      <c r="G69" s="456" t="s">
        <v>1263</v>
      </c>
      <c r="H69" s="610">
        <v>21</v>
      </c>
      <c r="I69" s="332">
        <v>21</v>
      </c>
      <c r="J69" s="332">
        <v>78</v>
      </c>
      <c r="K69" s="611">
        <v>0</v>
      </c>
      <c r="L69" s="612"/>
      <c r="M69" s="610"/>
      <c r="N69" s="332"/>
      <c r="O69" s="332"/>
      <c r="P69" s="332"/>
      <c r="Q69" s="332"/>
      <c r="R69" s="657"/>
      <c r="S69" s="332"/>
      <c r="T69" s="332"/>
      <c r="U69" s="332"/>
      <c r="V69" s="332"/>
      <c r="W69" s="332"/>
      <c r="X69" s="725">
        <f t="shared" si="0"/>
        <v>21</v>
      </c>
      <c r="Y69" s="725">
        <f t="shared" si="1"/>
        <v>21</v>
      </c>
      <c r="Z69" s="725">
        <f t="shared" si="2"/>
        <v>78</v>
      </c>
      <c r="AA69" s="725">
        <f t="shared" si="3"/>
        <v>0</v>
      </c>
      <c r="AB69" s="725">
        <f t="shared" si="4"/>
        <v>0</v>
      </c>
      <c r="AC69" s="744">
        <f t="shared" si="5"/>
        <v>16470.588235294119</v>
      </c>
      <c r="AD69" s="745">
        <f t="shared" si="6"/>
        <v>5490.1960784313724</v>
      </c>
      <c r="AE69" s="745">
        <f t="shared" si="7"/>
        <v>12745.098039215687</v>
      </c>
      <c r="AF69" s="745">
        <f t="shared" si="8"/>
        <v>0</v>
      </c>
      <c r="AG69" s="747">
        <f t="shared" si="9"/>
        <v>0</v>
      </c>
      <c r="AH69" s="340"/>
      <c r="AI69" s="340"/>
      <c r="AJ69" s="461"/>
    </row>
    <row r="70" spans="1:36" s="321" customFormat="1" ht="11.25" customHeight="1" x14ac:dyDescent="0.25">
      <c r="A70" s="323" t="s">
        <v>378</v>
      </c>
      <c r="B70" s="324" t="s">
        <v>933</v>
      </c>
      <c r="C70" s="324" t="s">
        <v>151</v>
      </c>
      <c r="D70" s="332" t="s">
        <v>1319</v>
      </c>
      <c r="E70" s="324" t="s">
        <v>153</v>
      </c>
      <c r="F70" s="325" t="s">
        <v>464</v>
      </c>
      <c r="G70" s="456"/>
      <c r="H70" s="610">
        <v>20</v>
      </c>
      <c r="I70" s="332">
        <v>20</v>
      </c>
      <c r="J70" s="611">
        <v>230</v>
      </c>
      <c r="K70" s="332">
        <v>60</v>
      </c>
      <c r="L70" s="612">
        <v>0</v>
      </c>
      <c r="M70" s="610">
        <v>20</v>
      </c>
      <c r="N70" s="332">
        <v>20</v>
      </c>
      <c r="O70" s="332"/>
      <c r="P70" s="332">
        <v>60</v>
      </c>
      <c r="Q70" s="332"/>
      <c r="R70" s="657" t="s">
        <v>2095</v>
      </c>
      <c r="S70" s="332"/>
      <c r="T70" s="332"/>
      <c r="U70" s="332"/>
      <c r="V70" s="332"/>
      <c r="W70" s="332"/>
      <c r="X70" s="725">
        <f t="shared" ref="X70:X132" si="47">H70-M70</f>
        <v>0</v>
      </c>
      <c r="Y70" s="725">
        <f t="shared" ref="Y70:Y132" si="48">I70-N70</f>
        <v>0</v>
      </c>
      <c r="Z70" s="725">
        <f t="shared" ref="Z70:Z132" si="49">J70-O70</f>
        <v>230</v>
      </c>
      <c r="AA70" s="725">
        <f t="shared" ref="AA70:AA132" si="50">K70-P70</f>
        <v>0</v>
      </c>
      <c r="AB70" s="725">
        <f t="shared" ref="AB70:AB132" si="51">L70-Q70</f>
        <v>0</v>
      </c>
      <c r="AC70" s="744">
        <f t="shared" ref="AC70:AC132" si="52">(X70*1200000)/1530</f>
        <v>0</v>
      </c>
      <c r="AD70" s="745">
        <f t="shared" ref="AD70:AD132" si="53">(Y70*400000)/1530</f>
        <v>0</v>
      </c>
      <c r="AE70" s="745">
        <f t="shared" ref="AE70:AE132" si="54">(Z70*250000)/1530</f>
        <v>37581.699346405228</v>
      </c>
      <c r="AF70" s="745">
        <f t="shared" ref="AF70:AF132" si="55">(AA70*50000)/1530</f>
        <v>0</v>
      </c>
      <c r="AG70" s="747">
        <f t="shared" ref="AG70:AG132" si="56">(AB70*2500000)/1530</f>
        <v>0</v>
      </c>
      <c r="AH70" s="340"/>
      <c r="AI70" s="340"/>
      <c r="AJ70" s="461" t="s">
        <v>1557</v>
      </c>
    </row>
    <row r="71" spans="1:36" s="321" customFormat="1" ht="11.25" customHeight="1" x14ac:dyDescent="0.25">
      <c r="A71" s="323" t="s">
        <v>378</v>
      </c>
      <c r="B71" s="324" t="s">
        <v>933</v>
      </c>
      <c r="C71" s="324" t="s">
        <v>151</v>
      </c>
      <c r="D71" s="332" t="s">
        <v>1320</v>
      </c>
      <c r="E71" s="324" t="s">
        <v>910</v>
      </c>
      <c r="F71" s="325" t="s">
        <v>464</v>
      </c>
      <c r="G71" s="456"/>
      <c r="H71" s="610"/>
      <c r="I71" s="332">
        <v>0</v>
      </c>
      <c r="J71" s="611">
        <v>0</v>
      </c>
      <c r="K71" s="332"/>
      <c r="L71" s="612">
        <v>0</v>
      </c>
      <c r="M71" s="610"/>
      <c r="N71" s="332"/>
      <c r="O71" s="332"/>
      <c r="P71" s="332"/>
      <c r="Q71" s="332"/>
      <c r="R71" s="657"/>
      <c r="S71" s="332"/>
      <c r="T71" s="332"/>
      <c r="U71" s="332"/>
      <c r="V71" s="332"/>
      <c r="W71" s="332"/>
      <c r="X71" s="725">
        <f t="shared" si="47"/>
        <v>0</v>
      </c>
      <c r="Y71" s="725">
        <f t="shared" si="48"/>
        <v>0</v>
      </c>
      <c r="Z71" s="725">
        <f t="shared" si="49"/>
        <v>0</v>
      </c>
      <c r="AA71" s="725">
        <f t="shared" si="50"/>
        <v>0</v>
      </c>
      <c r="AB71" s="725">
        <f t="shared" si="51"/>
        <v>0</v>
      </c>
      <c r="AC71" s="744">
        <f t="shared" si="52"/>
        <v>0</v>
      </c>
      <c r="AD71" s="745">
        <f t="shared" si="53"/>
        <v>0</v>
      </c>
      <c r="AE71" s="745">
        <f t="shared" si="54"/>
        <v>0</v>
      </c>
      <c r="AF71" s="745">
        <f t="shared" si="55"/>
        <v>0</v>
      </c>
      <c r="AG71" s="747">
        <f t="shared" si="56"/>
        <v>0</v>
      </c>
      <c r="AH71" s="340"/>
      <c r="AI71" s="340"/>
      <c r="AJ71" s="461"/>
    </row>
    <row r="72" spans="1:36" s="321" customFormat="1" ht="11.25" customHeight="1" x14ac:dyDescent="0.25">
      <c r="A72" s="323" t="s">
        <v>378</v>
      </c>
      <c r="B72" s="324" t="s">
        <v>1834</v>
      </c>
      <c r="C72" s="324" t="s">
        <v>151</v>
      </c>
      <c r="D72" s="336" t="s">
        <v>152</v>
      </c>
      <c r="E72" s="333" t="s">
        <v>150</v>
      </c>
      <c r="F72" s="325" t="s">
        <v>464</v>
      </c>
      <c r="G72" s="459"/>
      <c r="H72" s="614">
        <v>40</v>
      </c>
      <c r="I72" s="332">
        <v>40</v>
      </c>
      <c r="J72" s="611">
        <v>50</v>
      </c>
      <c r="K72" s="347">
        <v>30</v>
      </c>
      <c r="L72" s="612">
        <v>0</v>
      </c>
      <c r="M72" s="610">
        <v>40</v>
      </c>
      <c r="N72" s="332">
        <v>40</v>
      </c>
      <c r="O72" s="332">
        <v>11</v>
      </c>
      <c r="P72" s="332">
        <v>15</v>
      </c>
      <c r="Q72" s="332"/>
      <c r="R72" s="657" t="s">
        <v>1907</v>
      </c>
      <c r="S72" s="332"/>
      <c r="T72" s="332"/>
      <c r="U72" s="332"/>
      <c r="V72" s="332"/>
      <c r="W72" s="332"/>
      <c r="X72" s="725">
        <f t="shared" si="47"/>
        <v>0</v>
      </c>
      <c r="Y72" s="725">
        <f t="shared" si="48"/>
        <v>0</v>
      </c>
      <c r="Z72" s="725">
        <f t="shared" si="49"/>
        <v>39</v>
      </c>
      <c r="AA72" s="725">
        <f t="shared" si="50"/>
        <v>15</v>
      </c>
      <c r="AB72" s="725">
        <f t="shared" si="51"/>
        <v>0</v>
      </c>
      <c r="AC72" s="744">
        <f t="shared" si="52"/>
        <v>0</v>
      </c>
      <c r="AD72" s="745">
        <f t="shared" si="53"/>
        <v>0</v>
      </c>
      <c r="AE72" s="745">
        <f t="shared" si="54"/>
        <v>6372.5490196078435</v>
      </c>
      <c r="AF72" s="745">
        <f t="shared" si="55"/>
        <v>490.19607843137254</v>
      </c>
      <c r="AG72" s="747">
        <f t="shared" si="56"/>
        <v>0</v>
      </c>
      <c r="AH72" s="340"/>
      <c r="AI72" s="340"/>
      <c r="AJ72" s="461"/>
    </row>
    <row r="73" spans="1:36" s="321" customFormat="1" ht="11.25" customHeight="1" x14ac:dyDescent="0.25">
      <c r="A73" s="323" t="s">
        <v>378</v>
      </c>
      <c r="B73" s="324" t="s">
        <v>933</v>
      </c>
      <c r="C73" s="324" t="s">
        <v>151</v>
      </c>
      <c r="D73" s="332" t="s">
        <v>1321</v>
      </c>
      <c r="E73" s="324" t="s">
        <v>197</v>
      </c>
      <c r="F73" s="325" t="s">
        <v>466</v>
      </c>
      <c r="G73" s="456"/>
      <c r="H73" s="610">
        <v>260</v>
      </c>
      <c r="I73" s="332">
        <v>260</v>
      </c>
      <c r="J73" s="332"/>
      <c r="K73" s="332"/>
      <c r="L73" s="612"/>
      <c r="M73" s="610"/>
      <c r="N73" s="332"/>
      <c r="O73" s="332"/>
      <c r="P73" s="332"/>
      <c r="Q73" s="332"/>
      <c r="R73" s="657"/>
      <c r="S73" s="332"/>
      <c r="T73" s="332"/>
      <c r="U73" s="332"/>
      <c r="V73" s="332"/>
      <c r="W73" s="332"/>
      <c r="X73" s="725">
        <f t="shared" si="47"/>
        <v>260</v>
      </c>
      <c r="Y73" s="725">
        <f t="shared" si="48"/>
        <v>260</v>
      </c>
      <c r="Z73" s="725">
        <f t="shared" si="49"/>
        <v>0</v>
      </c>
      <c r="AA73" s="725">
        <f t="shared" si="50"/>
        <v>0</v>
      </c>
      <c r="AB73" s="725">
        <f t="shared" si="51"/>
        <v>0</v>
      </c>
      <c r="AC73" s="744">
        <f t="shared" si="52"/>
        <v>203921.56862745099</v>
      </c>
      <c r="AD73" s="745">
        <f t="shared" si="53"/>
        <v>67973.856209150326</v>
      </c>
      <c r="AE73" s="745">
        <f t="shared" si="54"/>
        <v>0</v>
      </c>
      <c r="AF73" s="745">
        <f t="shared" si="55"/>
        <v>0</v>
      </c>
      <c r="AG73" s="747">
        <f t="shared" si="56"/>
        <v>0</v>
      </c>
      <c r="AH73" s="340"/>
      <c r="AI73" s="340"/>
      <c r="AJ73" s="461" t="s">
        <v>1679</v>
      </c>
    </row>
    <row r="74" spans="1:36" s="321" customFormat="1" ht="11.25" customHeight="1" x14ac:dyDescent="0.25">
      <c r="A74" s="323" t="s">
        <v>378</v>
      </c>
      <c r="B74" s="324" t="s">
        <v>1817</v>
      </c>
      <c r="C74" s="324" t="s">
        <v>151</v>
      </c>
      <c r="D74" s="336" t="s">
        <v>936</v>
      </c>
      <c r="E74" s="324" t="s">
        <v>937</v>
      </c>
      <c r="F74" s="325" t="s">
        <v>464</v>
      </c>
      <c r="G74" s="459" t="s">
        <v>1263</v>
      </c>
      <c r="H74" s="610">
        <v>38</v>
      </c>
      <c r="I74" s="332">
        <v>38</v>
      </c>
      <c r="J74" s="332"/>
      <c r="K74" s="611">
        <v>20</v>
      </c>
      <c r="L74" s="612">
        <v>0</v>
      </c>
      <c r="M74" s="610"/>
      <c r="N74" s="332"/>
      <c r="O74" s="332"/>
      <c r="P74" s="332"/>
      <c r="Q74" s="332"/>
      <c r="R74" s="657"/>
      <c r="S74" s="332"/>
      <c r="T74" s="332"/>
      <c r="U74" s="332"/>
      <c r="V74" s="332"/>
      <c r="W74" s="332"/>
      <c r="X74" s="725">
        <f t="shared" si="47"/>
        <v>38</v>
      </c>
      <c r="Y74" s="725">
        <f t="shared" si="48"/>
        <v>38</v>
      </c>
      <c r="Z74" s="725">
        <f t="shared" si="49"/>
        <v>0</v>
      </c>
      <c r="AA74" s="725">
        <f t="shared" si="50"/>
        <v>20</v>
      </c>
      <c r="AB74" s="725">
        <f t="shared" si="51"/>
        <v>0</v>
      </c>
      <c r="AC74" s="744">
        <f t="shared" si="52"/>
        <v>29803.921568627451</v>
      </c>
      <c r="AD74" s="745">
        <f t="shared" si="53"/>
        <v>9934.6405228758176</v>
      </c>
      <c r="AE74" s="745">
        <f t="shared" si="54"/>
        <v>0</v>
      </c>
      <c r="AF74" s="745">
        <f t="shared" si="55"/>
        <v>653.59477124183002</v>
      </c>
      <c r="AG74" s="747">
        <f t="shared" si="56"/>
        <v>0</v>
      </c>
      <c r="AH74" s="340"/>
      <c r="AI74" s="340"/>
      <c r="AJ74" s="461"/>
    </row>
    <row r="75" spans="1:36" s="321" customFormat="1" ht="11.25" customHeight="1" x14ac:dyDescent="0.25">
      <c r="A75" s="326" t="s">
        <v>3</v>
      </c>
      <c r="B75" s="327"/>
      <c r="C75" s="327"/>
      <c r="D75" s="328"/>
      <c r="E75" s="329"/>
      <c r="F75" s="330"/>
      <c r="G75" s="464"/>
      <c r="H75" s="799">
        <f>SUM(H66:H74)</f>
        <v>539</v>
      </c>
      <c r="I75" s="799">
        <f t="shared" ref="I75:AI75" si="57">SUM(I66:I74)</f>
        <v>619</v>
      </c>
      <c r="J75" s="799">
        <f t="shared" si="57"/>
        <v>495</v>
      </c>
      <c r="K75" s="799">
        <f t="shared" si="57"/>
        <v>150</v>
      </c>
      <c r="L75" s="799">
        <f t="shared" si="57"/>
        <v>0</v>
      </c>
      <c r="M75" s="799">
        <f t="shared" si="57"/>
        <v>80</v>
      </c>
      <c r="N75" s="799">
        <f t="shared" si="57"/>
        <v>100</v>
      </c>
      <c r="O75" s="799">
        <f t="shared" si="57"/>
        <v>14</v>
      </c>
      <c r="P75" s="799">
        <f t="shared" si="57"/>
        <v>85</v>
      </c>
      <c r="Q75" s="799">
        <f t="shared" si="57"/>
        <v>0</v>
      </c>
      <c r="R75" s="331">
        <f t="shared" si="57"/>
        <v>0</v>
      </c>
      <c r="S75" s="331">
        <f t="shared" si="57"/>
        <v>0</v>
      </c>
      <c r="T75" s="331">
        <f t="shared" si="57"/>
        <v>0</v>
      </c>
      <c r="U75" s="331">
        <f t="shared" si="57"/>
        <v>0</v>
      </c>
      <c r="V75" s="331">
        <f t="shared" si="57"/>
        <v>0</v>
      </c>
      <c r="W75" s="331">
        <f t="shared" si="57"/>
        <v>0</v>
      </c>
      <c r="X75" s="331">
        <f t="shared" ref="X75" si="58">SUM(X66:X74)</f>
        <v>459</v>
      </c>
      <c r="Y75" s="331">
        <f t="shared" ref="Y75" si="59">SUM(Y66:Y74)</f>
        <v>519</v>
      </c>
      <c r="Z75" s="331">
        <f t="shared" ref="Z75" si="60">SUM(Z66:Z74)</f>
        <v>481</v>
      </c>
      <c r="AA75" s="331">
        <f t="shared" ref="AA75" si="61">SUM(AA66:AA74)</f>
        <v>65</v>
      </c>
      <c r="AB75" s="331">
        <f t="shared" ref="AB75:AG75" si="62">SUM(AB66:AB74)</f>
        <v>0</v>
      </c>
      <c r="AC75" s="746">
        <f t="shared" si="62"/>
        <v>360000</v>
      </c>
      <c r="AD75" s="746">
        <f t="shared" si="62"/>
        <v>135686.27450980392</v>
      </c>
      <c r="AE75" s="746">
        <f t="shared" si="62"/>
        <v>78594.771241830065</v>
      </c>
      <c r="AF75" s="746">
        <f t="shared" si="62"/>
        <v>2124.1830065359477</v>
      </c>
      <c r="AG75" s="746">
        <f t="shared" si="62"/>
        <v>0</v>
      </c>
      <c r="AH75" s="331">
        <f t="shared" si="57"/>
        <v>0</v>
      </c>
      <c r="AI75" s="331">
        <f t="shared" si="57"/>
        <v>0</v>
      </c>
      <c r="AJ75" s="461"/>
    </row>
    <row r="76" spans="1:36" s="321" customFormat="1" ht="11.25" customHeight="1" x14ac:dyDescent="0.25">
      <c r="A76" s="323" t="s">
        <v>1310</v>
      </c>
      <c r="B76" s="324" t="s">
        <v>1817</v>
      </c>
      <c r="C76" s="324" t="s">
        <v>166</v>
      </c>
      <c r="D76" s="324" t="s">
        <v>167</v>
      </c>
      <c r="E76" s="324" t="s">
        <v>279</v>
      </c>
      <c r="F76" s="325" t="s">
        <v>464</v>
      </c>
      <c r="G76" s="456"/>
      <c r="H76" s="614">
        <v>0</v>
      </c>
      <c r="I76" s="332">
        <v>0</v>
      </c>
      <c r="J76" s="332"/>
      <c r="K76" s="611"/>
      <c r="L76" s="612">
        <v>0</v>
      </c>
      <c r="M76" s="610"/>
      <c r="N76" s="332"/>
      <c r="O76" s="332"/>
      <c r="P76" s="332"/>
      <c r="Q76" s="332"/>
      <c r="R76" s="657"/>
      <c r="S76" s="332"/>
      <c r="T76" s="332"/>
      <c r="U76" s="332"/>
      <c r="V76" s="332"/>
      <c r="W76" s="332"/>
      <c r="X76" s="725">
        <f t="shared" si="47"/>
        <v>0</v>
      </c>
      <c r="Y76" s="725">
        <f t="shared" si="48"/>
        <v>0</v>
      </c>
      <c r="Z76" s="725">
        <f t="shared" si="49"/>
        <v>0</v>
      </c>
      <c r="AA76" s="725">
        <f t="shared" si="50"/>
        <v>0</v>
      </c>
      <c r="AB76" s="725">
        <f t="shared" si="51"/>
        <v>0</v>
      </c>
      <c r="AC76" s="744">
        <f t="shared" si="52"/>
        <v>0</v>
      </c>
      <c r="AD76" s="745">
        <f t="shared" si="53"/>
        <v>0</v>
      </c>
      <c r="AE76" s="745">
        <f t="shared" si="54"/>
        <v>0</v>
      </c>
      <c r="AF76" s="745">
        <f t="shared" si="55"/>
        <v>0</v>
      </c>
      <c r="AG76" s="747">
        <f t="shared" si="56"/>
        <v>0</v>
      </c>
      <c r="AH76" s="340"/>
      <c r="AI76" s="340"/>
      <c r="AJ76" s="461"/>
    </row>
    <row r="77" spans="1:36" s="321" customFormat="1" ht="11.25" customHeight="1" x14ac:dyDescent="0.25">
      <c r="A77" s="323" t="s">
        <v>1310</v>
      </c>
      <c r="B77" s="324" t="s">
        <v>1046</v>
      </c>
      <c r="C77" s="324" t="s">
        <v>166</v>
      </c>
      <c r="D77" s="324" t="s">
        <v>1323</v>
      </c>
      <c r="E77" s="324" t="s">
        <v>761</v>
      </c>
      <c r="F77" s="325" t="s">
        <v>464</v>
      </c>
      <c r="G77" s="456"/>
      <c r="H77" s="614">
        <v>4</v>
      </c>
      <c r="I77" s="332">
        <v>4</v>
      </c>
      <c r="J77" s="332">
        <v>0</v>
      </c>
      <c r="K77" s="611">
        <v>29</v>
      </c>
      <c r="L77" s="612"/>
      <c r="M77" s="610"/>
      <c r="N77" s="332"/>
      <c r="O77" s="332"/>
      <c r="P77" s="332">
        <v>11</v>
      </c>
      <c r="Q77" s="332"/>
      <c r="R77" s="657" t="s">
        <v>1842</v>
      </c>
      <c r="S77" s="332"/>
      <c r="T77" s="332"/>
      <c r="U77" s="332"/>
      <c r="V77" s="332"/>
      <c r="W77" s="332"/>
      <c r="X77" s="725">
        <f t="shared" si="47"/>
        <v>4</v>
      </c>
      <c r="Y77" s="725">
        <f t="shared" si="48"/>
        <v>4</v>
      </c>
      <c r="Z77" s="725">
        <f t="shared" si="49"/>
        <v>0</v>
      </c>
      <c r="AA77" s="725">
        <f t="shared" si="50"/>
        <v>18</v>
      </c>
      <c r="AB77" s="725">
        <f t="shared" si="51"/>
        <v>0</v>
      </c>
      <c r="AC77" s="744">
        <f t="shared" si="52"/>
        <v>3137.2549019607845</v>
      </c>
      <c r="AD77" s="745">
        <f t="shared" si="53"/>
        <v>1045.751633986928</v>
      </c>
      <c r="AE77" s="745">
        <f t="shared" si="54"/>
        <v>0</v>
      </c>
      <c r="AF77" s="745">
        <f t="shared" si="55"/>
        <v>588.23529411764707</v>
      </c>
      <c r="AG77" s="747">
        <f t="shared" si="56"/>
        <v>0</v>
      </c>
      <c r="AH77" s="340"/>
      <c r="AI77" s="340"/>
      <c r="AJ77" s="461"/>
    </row>
    <row r="78" spans="1:36" s="321" customFormat="1" ht="11.25" customHeight="1" x14ac:dyDescent="0.25">
      <c r="A78" s="326" t="s">
        <v>3</v>
      </c>
      <c r="B78" s="327"/>
      <c r="C78" s="327"/>
      <c r="D78" s="328"/>
      <c r="E78" s="329"/>
      <c r="F78" s="330"/>
      <c r="G78" s="464"/>
      <c r="H78" s="799">
        <f t="shared" ref="H78:AI78" si="63">SUM(H76:H77)</f>
        <v>4</v>
      </c>
      <c r="I78" s="799">
        <f t="shared" si="63"/>
        <v>4</v>
      </c>
      <c r="J78" s="799">
        <f t="shared" si="63"/>
        <v>0</v>
      </c>
      <c r="K78" s="799">
        <f t="shared" si="63"/>
        <v>29</v>
      </c>
      <c r="L78" s="799">
        <f t="shared" si="63"/>
        <v>0</v>
      </c>
      <c r="M78" s="799">
        <f t="shared" si="63"/>
        <v>0</v>
      </c>
      <c r="N78" s="799">
        <f t="shared" si="63"/>
        <v>0</v>
      </c>
      <c r="O78" s="799">
        <f t="shared" si="63"/>
        <v>0</v>
      </c>
      <c r="P78" s="799">
        <f t="shared" si="63"/>
        <v>11</v>
      </c>
      <c r="Q78" s="799">
        <f t="shared" si="63"/>
        <v>0</v>
      </c>
      <c r="R78" s="331">
        <f t="shared" si="63"/>
        <v>0</v>
      </c>
      <c r="S78" s="331">
        <f t="shared" si="63"/>
        <v>0</v>
      </c>
      <c r="T78" s="331">
        <f t="shared" si="63"/>
        <v>0</v>
      </c>
      <c r="U78" s="331">
        <f t="shared" si="63"/>
        <v>0</v>
      </c>
      <c r="V78" s="331">
        <f t="shared" si="63"/>
        <v>0</v>
      </c>
      <c r="W78" s="331">
        <f t="shared" si="63"/>
        <v>0</v>
      </c>
      <c r="X78" s="331">
        <f t="shared" si="63"/>
        <v>4</v>
      </c>
      <c r="Y78" s="331">
        <f t="shared" si="63"/>
        <v>4</v>
      </c>
      <c r="Z78" s="331">
        <f t="shared" si="63"/>
        <v>0</v>
      </c>
      <c r="AA78" s="331">
        <f t="shared" si="63"/>
        <v>18</v>
      </c>
      <c r="AB78" s="331">
        <f t="shared" si="63"/>
        <v>0</v>
      </c>
      <c r="AC78" s="746">
        <f t="shared" si="63"/>
        <v>3137.2549019607845</v>
      </c>
      <c r="AD78" s="746">
        <f t="shared" si="63"/>
        <v>1045.751633986928</v>
      </c>
      <c r="AE78" s="746">
        <f t="shared" si="63"/>
        <v>0</v>
      </c>
      <c r="AF78" s="746">
        <f t="shared" si="63"/>
        <v>588.23529411764707</v>
      </c>
      <c r="AG78" s="746">
        <f t="shared" si="63"/>
        <v>0</v>
      </c>
      <c r="AH78" s="331">
        <f t="shared" si="63"/>
        <v>0</v>
      </c>
      <c r="AI78" s="331">
        <f t="shared" si="63"/>
        <v>0</v>
      </c>
      <c r="AJ78" s="461"/>
    </row>
    <row r="79" spans="1:36" s="321" customFormat="1" ht="11.25" customHeight="1" x14ac:dyDescent="0.25">
      <c r="A79" s="323" t="s">
        <v>378</v>
      </c>
      <c r="B79" s="324" t="s">
        <v>1835</v>
      </c>
      <c r="C79" s="324" t="s">
        <v>173</v>
      </c>
      <c r="D79" s="332" t="s">
        <v>1324</v>
      </c>
      <c r="E79" s="324" t="s">
        <v>172</v>
      </c>
      <c r="F79" s="325" t="s">
        <v>464</v>
      </c>
      <c r="G79" s="456" t="s">
        <v>1301</v>
      </c>
      <c r="H79" s="614"/>
      <c r="I79" s="611"/>
      <c r="J79" s="611">
        <v>0</v>
      </c>
      <c r="K79" s="611">
        <v>5</v>
      </c>
      <c r="L79" s="612">
        <v>0</v>
      </c>
      <c r="M79" s="610"/>
      <c r="N79" s="332"/>
      <c r="O79" s="332"/>
      <c r="P79" s="332"/>
      <c r="Q79" s="332"/>
      <c r="R79" s="755"/>
      <c r="S79" s="332"/>
      <c r="T79" s="332"/>
      <c r="U79" s="332"/>
      <c r="V79" s="332"/>
      <c r="W79" s="332"/>
      <c r="X79" s="725">
        <f t="shared" si="47"/>
        <v>0</v>
      </c>
      <c r="Y79" s="725">
        <f t="shared" si="48"/>
        <v>0</v>
      </c>
      <c r="Z79" s="725">
        <f t="shared" si="49"/>
        <v>0</v>
      </c>
      <c r="AA79" s="725">
        <f t="shared" si="50"/>
        <v>5</v>
      </c>
      <c r="AB79" s="725">
        <f t="shared" si="51"/>
        <v>0</v>
      </c>
      <c r="AC79" s="744">
        <f t="shared" si="52"/>
        <v>0</v>
      </c>
      <c r="AD79" s="745">
        <f t="shared" si="53"/>
        <v>0</v>
      </c>
      <c r="AE79" s="745">
        <f t="shared" si="54"/>
        <v>0</v>
      </c>
      <c r="AF79" s="745">
        <f t="shared" si="55"/>
        <v>163.3986928104575</v>
      </c>
      <c r="AG79" s="747">
        <f t="shared" si="56"/>
        <v>0</v>
      </c>
      <c r="AH79" s="340"/>
      <c r="AI79" s="340"/>
      <c r="AJ79" s="461" t="s">
        <v>1325</v>
      </c>
    </row>
    <row r="80" spans="1:36" s="321" customFormat="1" ht="11.25" customHeight="1" x14ac:dyDescent="0.25">
      <c r="A80" s="323" t="s">
        <v>378</v>
      </c>
      <c r="B80" s="324" t="s">
        <v>1835</v>
      </c>
      <c r="C80" s="324" t="s">
        <v>173</v>
      </c>
      <c r="D80" s="332" t="s">
        <v>176</v>
      </c>
      <c r="E80" s="324" t="s">
        <v>175</v>
      </c>
      <c r="F80" s="325" t="s">
        <v>464</v>
      </c>
      <c r="G80" s="456" t="s">
        <v>1301</v>
      </c>
      <c r="H80" s="611">
        <v>5</v>
      </c>
      <c r="I80" s="611">
        <v>5</v>
      </c>
      <c r="J80" s="611">
        <v>0</v>
      </c>
      <c r="K80" s="611">
        <v>5</v>
      </c>
      <c r="L80" s="612">
        <v>0</v>
      </c>
      <c r="M80" s="610"/>
      <c r="N80" s="332"/>
      <c r="O80" s="332"/>
      <c r="P80" s="332"/>
      <c r="Q80" s="332"/>
      <c r="R80" s="755"/>
      <c r="S80" s="332"/>
      <c r="T80" s="332"/>
      <c r="U80" s="332"/>
      <c r="V80" s="332"/>
      <c r="W80" s="332"/>
      <c r="X80" s="725">
        <f t="shared" si="47"/>
        <v>5</v>
      </c>
      <c r="Y80" s="725">
        <f t="shared" si="48"/>
        <v>5</v>
      </c>
      <c r="Z80" s="725">
        <f t="shared" si="49"/>
        <v>0</v>
      </c>
      <c r="AA80" s="725">
        <f t="shared" si="50"/>
        <v>5</v>
      </c>
      <c r="AB80" s="725">
        <f t="shared" si="51"/>
        <v>0</v>
      </c>
      <c r="AC80" s="744">
        <f t="shared" si="52"/>
        <v>3921.5686274509803</v>
      </c>
      <c r="AD80" s="745">
        <f t="shared" si="53"/>
        <v>1307.18954248366</v>
      </c>
      <c r="AE80" s="745">
        <f t="shared" si="54"/>
        <v>0</v>
      </c>
      <c r="AF80" s="745">
        <f t="shared" si="55"/>
        <v>163.3986928104575</v>
      </c>
      <c r="AG80" s="747">
        <f t="shared" si="56"/>
        <v>0</v>
      </c>
      <c r="AH80" s="340"/>
      <c r="AI80" s="340"/>
      <c r="AJ80" s="461" t="s">
        <v>1325</v>
      </c>
    </row>
    <row r="81" spans="1:36" s="321" customFormat="1" ht="11.25" customHeight="1" x14ac:dyDescent="0.25">
      <c r="A81" s="323" t="s">
        <v>378</v>
      </c>
      <c r="B81" s="324" t="s">
        <v>934</v>
      </c>
      <c r="C81" s="324" t="s">
        <v>173</v>
      </c>
      <c r="D81" s="332" t="s">
        <v>1626</v>
      </c>
      <c r="E81" s="324" t="s">
        <v>1614</v>
      </c>
      <c r="F81" s="325" t="s">
        <v>464</v>
      </c>
      <c r="G81" s="456" t="s">
        <v>1301</v>
      </c>
      <c r="H81" s="611"/>
      <c r="I81" s="611"/>
      <c r="J81" s="611"/>
      <c r="K81" s="611"/>
      <c r="L81" s="612"/>
      <c r="M81" s="610"/>
      <c r="N81" s="332"/>
      <c r="O81" s="332"/>
      <c r="P81" s="332"/>
      <c r="Q81" s="332"/>
      <c r="R81" s="755"/>
      <c r="S81" s="332"/>
      <c r="T81" s="332"/>
      <c r="U81" s="332"/>
      <c r="V81" s="332"/>
      <c r="W81" s="332"/>
      <c r="X81" s="725">
        <f t="shared" si="47"/>
        <v>0</v>
      </c>
      <c r="Y81" s="725">
        <f t="shared" si="48"/>
        <v>0</v>
      </c>
      <c r="Z81" s="725">
        <f t="shared" si="49"/>
        <v>0</v>
      </c>
      <c r="AA81" s="725">
        <f t="shared" si="50"/>
        <v>0</v>
      </c>
      <c r="AB81" s="725">
        <f t="shared" si="51"/>
        <v>0</v>
      </c>
      <c r="AC81" s="744">
        <f t="shared" si="52"/>
        <v>0</v>
      </c>
      <c r="AD81" s="745">
        <f t="shared" si="53"/>
        <v>0</v>
      </c>
      <c r="AE81" s="745">
        <f t="shared" si="54"/>
        <v>0</v>
      </c>
      <c r="AF81" s="745">
        <f t="shared" si="55"/>
        <v>0</v>
      </c>
      <c r="AG81" s="747">
        <f t="shared" si="56"/>
        <v>0</v>
      </c>
      <c r="AH81" s="340"/>
      <c r="AI81" s="340"/>
      <c r="AJ81" s="461"/>
    </row>
    <row r="82" spans="1:36" s="321" customFormat="1" ht="11.25" customHeight="1" x14ac:dyDescent="0.25">
      <c r="A82" s="323" t="s">
        <v>378</v>
      </c>
      <c r="B82" s="324" t="s">
        <v>934</v>
      </c>
      <c r="C82" s="324" t="s">
        <v>173</v>
      </c>
      <c r="D82" s="332" t="s">
        <v>1627</v>
      </c>
      <c r="E82" s="324" t="s">
        <v>1615</v>
      </c>
      <c r="F82" s="325" t="s">
        <v>464</v>
      </c>
      <c r="G82" s="456" t="s">
        <v>1301</v>
      </c>
      <c r="H82" s="611">
        <v>79</v>
      </c>
      <c r="I82" s="611">
        <v>79</v>
      </c>
      <c r="J82" s="611"/>
      <c r="K82" s="611"/>
      <c r="L82" s="612"/>
      <c r="M82" s="610">
        <v>79</v>
      </c>
      <c r="N82" s="332">
        <v>79</v>
      </c>
      <c r="O82" s="332"/>
      <c r="P82" s="332"/>
      <c r="Q82" s="332"/>
      <c r="R82" s="657" t="s">
        <v>1847</v>
      </c>
      <c r="S82" s="332"/>
      <c r="T82" s="332"/>
      <c r="U82" s="332"/>
      <c r="V82" s="332"/>
      <c r="W82" s="332"/>
      <c r="X82" s="725">
        <f t="shared" si="47"/>
        <v>0</v>
      </c>
      <c r="Y82" s="725">
        <f t="shared" si="48"/>
        <v>0</v>
      </c>
      <c r="Z82" s="725">
        <f t="shared" si="49"/>
        <v>0</v>
      </c>
      <c r="AA82" s="725">
        <f t="shared" si="50"/>
        <v>0</v>
      </c>
      <c r="AB82" s="725">
        <f t="shared" si="51"/>
        <v>0</v>
      </c>
      <c r="AC82" s="744">
        <f t="shared" si="52"/>
        <v>0</v>
      </c>
      <c r="AD82" s="745">
        <f t="shared" si="53"/>
        <v>0</v>
      </c>
      <c r="AE82" s="745">
        <f t="shared" si="54"/>
        <v>0</v>
      </c>
      <c r="AF82" s="745">
        <f t="shared" si="55"/>
        <v>0</v>
      </c>
      <c r="AG82" s="747">
        <f t="shared" si="56"/>
        <v>0</v>
      </c>
      <c r="AH82" s="340"/>
      <c r="AI82" s="340"/>
      <c r="AJ82" s="461"/>
    </row>
    <row r="83" spans="1:36" s="321" customFormat="1" ht="11.25" customHeight="1" x14ac:dyDescent="0.25">
      <c r="A83" s="323" t="s">
        <v>378</v>
      </c>
      <c r="B83" s="324" t="s">
        <v>1835</v>
      </c>
      <c r="C83" s="324" t="s">
        <v>173</v>
      </c>
      <c r="D83" s="332" t="s">
        <v>1687</v>
      </c>
      <c r="E83" s="324" t="s">
        <v>1616</v>
      </c>
      <c r="F83" s="325" t="s">
        <v>464</v>
      </c>
      <c r="G83" s="456" t="s">
        <v>1301</v>
      </c>
      <c r="H83" s="611">
        <v>112</v>
      </c>
      <c r="I83" s="611">
        <v>112</v>
      </c>
      <c r="J83" s="611">
        <v>1</v>
      </c>
      <c r="K83" s="611"/>
      <c r="L83" s="612">
        <v>2</v>
      </c>
      <c r="M83" s="610">
        <v>112</v>
      </c>
      <c r="N83" s="332">
        <v>112</v>
      </c>
      <c r="O83" s="332">
        <v>1</v>
      </c>
      <c r="P83" s="332"/>
      <c r="Q83" s="332"/>
      <c r="R83" s="657" t="s">
        <v>1728</v>
      </c>
      <c r="S83" s="332"/>
      <c r="T83" s="332"/>
      <c r="U83" s="332"/>
      <c r="V83" s="332"/>
      <c r="W83" s="332"/>
      <c r="X83" s="725">
        <f t="shared" si="47"/>
        <v>0</v>
      </c>
      <c r="Y83" s="725">
        <f t="shared" si="48"/>
        <v>0</v>
      </c>
      <c r="Z83" s="725">
        <f t="shared" si="49"/>
        <v>0</v>
      </c>
      <c r="AA83" s="725">
        <f t="shared" si="50"/>
        <v>0</v>
      </c>
      <c r="AB83" s="725">
        <f t="shared" si="51"/>
        <v>2</v>
      </c>
      <c r="AC83" s="744">
        <f t="shared" si="52"/>
        <v>0</v>
      </c>
      <c r="AD83" s="745">
        <f t="shared" si="53"/>
        <v>0</v>
      </c>
      <c r="AE83" s="745">
        <f t="shared" si="54"/>
        <v>0</v>
      </c>
      <c r="AF83" s="745">
        <f t="shared" si="55"/>
        <v>0</v>
      </c>
      <c r="AG83" s="747">
        <f t="shared" si="56"/>
        <v>3267.9738562091502</v>
      </c>
      <c r="AH83" s="340"/>
      <c r="AI83" s="340"/>
      <c r="AJ83" s="461"/>
    </row>
    <row r="84" spans="1:36" s="321" customFormat="1" ht="11.25" customHeight="1" x14ac:dyDescent="0.25">
      <c r="A84" s="323" t="s">
        <v>378</v>
      </c>
      <c r="B84" s="324" t="s">
        <v>1322</v>
      </c>
      <c r="C84" s="324" t="s">
        <v>173</v>
      </c>
      <c r="D84" s="332" t="s">
        <v>1629</v>
      </c>
      <c r="E84" s="324" t="s">
        <v>1617</v>
      </c>
      <c r="F84" s="325" t="s">
        <v>464</v>
      </c>
      <c r="G84" s="456" t="s">
        <v>1301</v>
      </c>
      <c r="H84" s="611">
        <v>30</v>
      </c>
      <c r="I84" s="611">
        <v>30</v>
      </c>
      <c r="J84" s="611"/>
      <c r="K84" s="611"/>
      <c r="L84" s="612"/>
      <c r="M84" s="610">
        <v>30</v>
      </c>
      <c r="N84" s="332">
        <v>30</v>
      </c>
      <c r="O84" s="332"/>
      <c r="P84" s="332"/>
      <c r="Q84" s="332"/>
      <c r="R84" s="657" t="s">
        <v>1847</v>
      </c>
      <c r="S84" s="332"/>
      <c r="T84" s="332"/>
      <c r="U84" s="332"/>
      <c r="V84" s="332"/>
      <c r="W84" s="332"/>
      <c r="X84" s="725">
        <f t="shared" si="47"/>
        <v>0</v>
      </c>
      <c r="Y84" s="725">
        <f t="shared" si="48"/>
        <v>0</v>
      </c>
      <c r="Z84" s="725">
        <f t="shared" si="49"/>
        <v>0</v>
      </c>
      <c r="AA84" s="725">
        <f t="shared" si="50"/>
        <v>0</v>
      </c>
      <c r="AB84" s="725">
        <f t="shared" si="51"/>
        <v>0</v>
      </c>
      <c r="AC84" s="744">
        <f t="shared" si="52"/>
        <v>0</v>
      </c>
      <c r="AD84" s="745">
        <f t="shared" si="53"/>
        <v>0</v>
      </c>
      <c r="AE84" s="745">
        <f t="shared" si="54"/>
        <v>0</v>
      </c>
      <c r="AF84" s="745">
        <f t="shared" si="55"/>
        <v>0</v>
      </c>
      <c r="AG84" s="747">
        <f t="shared" si="56"/>
        <v>0</v>
      </c>
      <c r="AH84" s="340"/>
      <c r="AI84" s="340"/>
      <c r="AJ84" s="461"/>
    </row>
    <row r="85" spans="1:36" s="321" customFormat="1" ht="11.25" customHeight="1" x14ac:dyDescent="0.25">
      <c r="A85" s="323" t="s">
        <v>378</v>
      </c>
      <c r="B85" s="324" t="s">
        <v>1835</v>
      </c>
      <c r="C85" s="324" t="s">
        <v>173</v>
      </c>
      <c r="D85" s="332" t="s">
        <v>1326</v>
      </c>
      <c r="E85" s="324" t="s">
        <v>1054</v>
      </c>
      <c r="F85" s="325" t="s">
        <v>464</v>
      </c>
      <c r="G85" s="456" t="s">
        <v>1301</v>
      </c>
      <c r="H85" s="611"/>
      <c r="I85" s="611">
        <v>0</v>
      </c>
      <c r="J85" s="611">
        <v>0</v>
      </c>
      <c r="K85" s="611">
        <v>20</v>
      </c>
      <c r="L85" s="612">
        <v>0</v>
      </c>
      <c r="M85" s="610"/>
      <c r="N85" s="332"/>
      <c r="O85" s="332"/>
      <c r="P85" s="332">
        <v>20</v>
      </c>
      <c r="Q85" s="332"/>
      <c r="R85" s="657" t="s">
        <v>1841</v>
      </c>
      <c r="S85" s="332"/>
      <c r="T85" s="332"/>
      <c r="U85" s="332"/>
      <c r="V85" s="332"/>
      <c r="W85" s="332"/>
      <c r="X85" s="725">
        <f t="shared" si="47"/>
        <v>0</v>
      </c>
      <c r="Y85" s="725">
        <f t="shared" si="48"/>
        <v>0</v>
      </c>
      <c r="Z85" s="725">
        <f t="shared" si="49"/>
        <v>0</v>
      </c>
      <c r="AA85" s="725">
        <f t="shared" si="50"/>
        <v>0</v>
      </c>
      <c r="AB85" s="725">
        <f t="shared" si="51"/>
        <v>0</v>
      </c>
      <c r="AC85" s="744">
        <f t="shared" si="52"/>
        <v>0</v>
      </c>
      <c r="AD85" s="745">
        <f t="shared" si="53"/>
        <v>0</v>
      </c>
      <c r="AE85" s="745">
        <f t="shared" si="54"/>
        <v>0</v>
      </c>
      <c r="AF85" s="745">
        <f t="shared" si="55"/>
        <v>0</v>
      </c>
      <c r="AG85" s="747">
        <f t="shared" si="56"/>
        <v>0</v>
      </c>
      <c r="AH85" s="340"/>
      <c r="AI85" s="340"/>
      <c r="AJ85" s="461"/>
    </row>
    <row r="86" spans="1:36" s="321" customFormat="1" ht="11.25" customHeight="1" x14ac:dyDescent="0.25">
      <c r="A86" s="610" t="s">
        <v>378</v>
      </c>
      <c r="B86" s="324" t="s">
        <v>1835</v>
      </c>
      <c r="C86" s="332" t="s">
        <v>173</v>
      </c>
      <c r="D86" s="332" t="s">
        <v>1327</v>
      </c>
      <c r="E86" s="324" t="s">
        <v>177</v>
      </c>
      <c r="F86" s="325" t="s">
        <v>464</v>
      </c>
      <c r="G86" s="456" t="s">
        <v>1301</v>
      </c>
      <c r="H86" s="614"/>
      <c r="I86" s="611"/>
      <c r="J86" s="611">
        <v>0</v>
      </c>
      <c r="K86" s="611">
        <v>20</v>
      </c>
      <c r="L86" s="612">
        <v>0</v>
      </c>
      <c r="M86" s="610"/>
      <c r="N86" s="332"/>
      <c r="O86" s="332"/>
      <c r="P86" s="332"/>
      <c r="Q86" s="332"/>
      <c r="R86" s="755"/>
      <c r="S86" s="332"/>
      <c r="T86" s="332"/>
      <c r="U86" s="332"/>
      <c r="V86" s="332"/>
      <c r="W86" s="332"/>
      <c r="X86" s="725">
        <f t="shared" si="47"/>
        <v>0</v>
      </c>
      <c r="Y86" s="725">
        <f t="shared" si="48"/>
        <v>0</v>
      </c>
      <c r="Z86" s="725">
        <f t="shared" si="49"/>
        <v>0</v>
      </c>
      <c r="AA86" s="725">
        <f t="shared" si="50"/>
        <v>20</v>
      </c>
      <c r="AB86" s="725">
        <f t="shared" si="51"/>
        <v>0</v>
      </c>
      <c r="AC86" s="744">
        <f t="shared" si="52"/>
        <v>0</v>
      </c>
      <c r="AD86" s="745">
        <f t="shared" si="53"/>
        <v>0</v>
      </c>
      <c r="AE86" s="745">
        <f t="shared" si="54"/>
        <v>0</v>
      </c>
      <c r="AF86" s="745">
        <f t="shared" si="55"/>
        <v>653.59477124183002</v>
      </c>
      <c r="AG86" s="747">
        <f t="shared" si="56"/>
        <v>0</v>
      </c>
      <c r="AH86" s="340"/>
      <c r="AI86" s="340"/>
      <c r="AJ86" s="461" t="s">
        <v>1325</v>
      </c>
    </row>
    <row r="87" spans="1:36" s="321" customFormat="1" ht="11.25" customHeight="1" x14ac:dyDescent="0.25">
      <c r="A87" s="326" t="s">
        <v>3</v>
      </c>
      <c r="B87" s="327"/>
      <c r="C87" s="327"/>
      <c r="D87" s="328"/>
      <c r="E87" s="329"/>
      <c r="F87" s="330"/>
      <c r="G87" s="464"/>
      <c r="H87" s="799">
        <f>SUM(H79:H86)</f>
        <v>226</v>
      </c>
      <c r="I87" s="799">
        <f t="shared" ref="I87:AI87" si="64">SUM(I79:I86)</f>
        <v>226</v>
      </c>
      <c r="J87" s="799">
        <f t="shared" si="64"/>
        <v>1</v>
      </c>
      <c r="K87" s="799">
        <f t="shared" si="64"/>
        <v>50</v>
      </c>
      <c r="L87" s="799">
        <f t="shared" si="64"/>
        <v>2</v>
      </c>
      <c r="M87" s="799">
        <f t="shared" si="64"/>
        <v>221</v>
      </c>
      <c r="N87" s="799">
        <f t="shared" si="64"/>
        <v>221</v>
      </c>
      <c r="O87" s="799">
        <f t="shared" si="64"/>
        <v>1</v>
      </c>
      <c r="P87" s="799">
        <f t="shared" si="64"/>
        <v>20</v>
      </c>
      <c r="Q87" s="799">
        <f t="shared" si="64"/>
        <v>0</v>
      </c>
      <c r="R87" s="331">
        <f t="shared" si="64"/>
        <v>0</v>
      </c>
      <c r="S87" s="331">
        <f t="shared" si="64"/>
        <v>0</v>
      </c>
      <c r="T87" s="331">
        <f t="shared" si="64"/>
        <v>0</v>
      </c>
      <c r="U87" s="331">
        <f t="shared" si="64"/>
        <v>0</v>
      </c>
      <c r="V87" s="331">
        <f t="shared" si="64"/>
        <v>0</v>
      </c>
      <c r="W87" s="331">
        <f t="shared" si="64"/>
        <v>0</v>
      </c>
      <c r="X87" s="331">
        <f t="shared" ref="X87" si="65">SUM(X79:X86)</f>
        <v>5</v>
      </c>
      <c r="Y87" s="331">
        <f t="shared" ref="Y87" si="66">SUM(Y79:Y86)</f>
        <v>5</v>
      </c>
      <c r="Z87" s="331">
        <f t="shared" ref="Z87" si="67">SUM(Z79:Z86)</f>
        <v>0</v>
      </c>
      <c r="AA87" s="331">
        <f t="shared" ref="AA87" si="68">SUM(AA79:AA86)</f>
        <v>30</v>
      </c>
      <c r="AB87" s="331">
        <f t="shared" ref="AB87:AH87" si="69">SUM(AB79:AB86)</f>
        <v>2</v>
      </c>
      <c r="AC87" s="746">
        <f t="shared" si="69"/>
        <v>3921.5686274509803</v>
      </c>
      <c r="AD87" s="746">
        <f t="shared" si="69"/>
        <v>1307.18954248366</v>
      </c>
      <c r="AE87" s="746">
        <f t="shared" si="69"/>
        <v>0</v>
      </c>
      <c r="AF87" s="746">
        <f t="shared" si="69"/>
        <v>980.39215686274497</v>
      </c>
      <c r="AG87" s="746">
        <f t="shared" si="69"/>
        <v>3267.9738562091502</v>
      </c>
      <c r="AH87" s="331">
        <f t="shared" si="69"/>
        <v>0</v>
      </c>
      <c r="AI87" s="331">
        <f t="shared" si="64"/>
        <v>0</v>
      </c>
      <c r="AJ87" s="461"/>
    </row>
    <row r="88" spans="1:36" s="321" customFormat="1" ht="11.25" customHeight="1" x14ac:dyDescent="0.25">
      <c r="A88" s="323" t="s">
        <v>378</v>
      </c>
      <c r="B88" s="324" t="s">
        <v>1835</v>
      </c>
      <c r="C88" s="324" t="s">
        <v>180</v>
      </c>
      <c r="D88" s="324" t="s">
        <v>1328</v>
      </c>
      <c r="E88" s="324" t="s">
        <v>285</v>
      </c>
      <c r="F88" s="325" t="s">
        <v>464</v>
      </c>
      <c r="G88" s="456"/>
      <c r="H88" s="689"/>
      <c r="I88" s="332"/>
      <c r="J88" s="690"/>
      <c r="K88" s="690"/>
      <c r="L88" s="691"/>
      <c r="M88" s="610"/>
      <c r="N88" s="332"/>
      <c r="O88" s="332"/>
      <c r="P88" s="332"/>
      <c r="Q88" s="332"/>
      <c r="R88" s="657"/>
      <c r="S88" s="332"/>
      <c r="T88" s="332"/>
      <c r="U88" s="332"/>
      <c r="V88" s="332"/>
      <c r="W88" s="332"/>
      <c r="X88" s="725">
        <f t="shared" si="47"/>
        <v>0</v>
      </c>
      <c r="Y88" s="725">
        <f t="shared" si="48"/>
        <v>0</v>
      </c>
      <c r="Z88" s="725">
        <f t="shared" si="49"/>
        <v>0</v>
      </c>
      <c r="AA88" s="725">
        <f t="shared" si="50"/>
        <v>0</v>
      </c>
      <c r="AB88" s="725">
        <f t="shared" si="51"/>
        <v>0</v>
      </c>
      <c r="AC88" s="744">
        <f t="shared" si="52"/>
        <v>0</v>
      </c>
      <c r="AD88" s="745">
        <f t="shared" si="53"/>
        <v>0</v>
      </c>
      <c r="AE88" s="745">
        <f t="shared" si="54"/>
        <v>0</v>
      </c>
      <c r="AF88" s="745">
        <f t="shared" si="55"/>
        <v>0</v>
      </c>
      <c r="AG88" s="747">
        <f t="shared" si="56"/>
        <v>0</v>
      </c>
      <c r="AH88" s="340"/>
      <c r="AI88" s="340"/>
      <c r="AJ88" s="461" t="s">
        <v>1325</v>
      </c>
    </row>
    <row r="89" spans="1:36" s="321" customFormat="1" ht="11.25" customHeight="1" x14ac:dyDescent="0.25">
      <c r="A89" s="323" t="s">
        <v>378</v>
      </c>
      <c r="B89" s="324" t="s">
        <v>934</v>
      </c>
      <c r="C89" s="324" t="s">
        <v>180</v>
      </c>
      <c r="D89" s="324" t="s">
        <v>1329</v>
      </c>
      <c r="E89" s="324" t="s">
        <v>179</v>
      </c>
      <c r="F89" s="325" t="s">
        <v>464</v>
      </c>
      <c r="G89" s="456"/>
      <c r="H89" s="614"/>
      <c r="I89" s="611"/>
      <c r="J89" s="690"/>
      <c r="K89" s="690"/>
      <c r="L89" s="691"/>
      <c r="M89" s="610"/>
      <c r="N89" s="332"/>
      <c r="O89" s="332"/>
      <c r="P89" s="332"/>
      <c r="Q89" s="332"/>
      <c r="R89" s="657"/>
      <c r="S89" s="332"/>
      <c r="T89" s="332"/>
      <c r="U89" s="332"/>
      <c r="V89" s="332"/>
      <c r="W89" s="332"/>
      <c r="X89" s="725">
        <f t="shared" si="47"/>
        <v>0</v>
      </c>
      <c r="Y89" s="725">
        <f t="shared" si="48"/>
        <v>0</v>
      </c>
      <c r="Z89" s="725">
        <f t="shared" si="49"/>
        <v>0</v>
      </c>
      <c r="AA89" s="725">
        <f t="shared" si="50"/>
        <v>0</v>
      </c>
      <c r="AB89" s="725">
        <f t="shared" si="51"/>
        <v>0</v>
      </c>
      <c r="AC89" s="744">
        <f t="shared" si="52"/>
        <v>0</v>
      </c>
      <c r="AD89" s="745">
        <f t="shared" si="53"/>
        <v>0</v>
      </c>
      <c r="AE89" s="745">
        <f t="shared" si="54"/>
        <v>0</v>
      </c>
      <c r="AF89" s="745">
        <f t="shared" si="55"/>
        <v>0</v>
      </c>
      <c r="AG89" s="747">
        <f t="shared" si="56"/>
        <v>0</v>
      </c>
      <c r="AH89" s="340"/>
      <c r="AI89" s="340"/>
      <c r="AJ89" s="461"/>
    </row>
    <row r="90" spans="1:36" s="321" customFormat="1" ht="11.25" customHeight="1" x14ac:dyDescent="0.25">
      <c r="A90" s="326" t="s">
        <v>3</v>
      </c>
      <c r="B90" s="327"/>
      <c r="C90" s="327"/>
      <c r="D90" s="328"/>
      <c r="E90" s="329"/>
      <c r="F90" s="330"/>
      <c r="G90" s="464"/>
      <c r="H90" s="799">
        <f>SUM(H88:H89)</f>
        <v>0</v>
      </c>
      <c r="I90" s="799">
        <f t="shared" ref="I90:W90" si="70">SUM(I88:I89)</f>
        <v>0</v>
      </c>
      <c r="J90" s="799">
        <f t="shared" si="70"/>
        <v>0</v>
      </c>
      <c r="K90" s="799">
        <f t="shared" si="70"/>
        <v>0</v>
      </c>
      <c r="L90" s="799">
        <f t="shared" si="70"/>
        <v>0</v>
      </c>
      <c r="M90" s="799">
        <f t="shared" si="70"/>
        <v>0</v>
      </c>
      <c r="N90" s="799">
        <f t="shared" si="70"/>
        <v>0</v>
      </c>
      <c r="O90" s="799">
        <f t="shared" si="70"/>
        <v>0</v>
      </c>
      <c r="P90" s="799">
        <f t="shared" si="70"/>
        <v>0</v>
      </c>
      <c r="Q90" s="799">
        <f t="shared" si="70"/>
        <v>0</v>
      </c>
      <c r="R90" s="331">
        <f t="shared" si="70"/>
        <v>0</v>
      </c>
      <c r="S90" s="331">
        <f t="shared" si="70"/>
        <v>0</v>
      </c>
      <c r="T90" s="331">
        <f t="shared" si="70"/>
        <v>0</v>
      </c>
      <c r="U90" s="331">
        <f t="shared" si="70"/>
        <v>0</v>
      </c>
      <c r="V90" s="331">
        <f t="shared" si="70"/>
        <v>0</v>
      </c>
      <c r="W90" s="331">
        <f t="shared" si="70"/>
        <v>0</v>
      </c>
      <c r="X90" s="331">
        <f t="shared" ref="X90" si="71">SUM(X88:X89)</f>
        <v>0</v>
      </c>
      <c r="Y90" s="331">
        <f t="shared" ref="Y90" si="72">SUM(Y88:Y89)</f>
        <v>0</v>
      </c>
      <c r="Z90" s="331">
        <f t="shared" ref="Z90" si="73">SUM(Z88:Z89)</f>
        <v>0</v>
      </c>
      <c r="AA90" s="331">
        <f t="shared" ref="AA90" si="74">SUM(AA88:AA89)</f>
        <v>0</v>
      </c>
      <c r="AB90" s="331">
        <f t="shared" ref="AB90:AI90" si="75">SUM(AB88:AB89)</f>
        <v>0</v>
      </c>
      <c r="AC90" s="766">
        <f t="shared" si="75"/>
        <v>0</v>
      </c>
      <c r="AD90" s="766">
        <f t="shared" si="75"/>
        <v>0</v>
      </c>
      <c r="AE90" s="766">
        <f t="shared" si="75"/>
        <v>0</v>
      </c>
      <c r="AF90" s="766">
        <f t="shared" si="75"/>
        <v>0</v>
      </c>
      <c r="AG90" s="766">
        <f t="shared" si="75"/>
        <v>0</v>
      </c>
      <c r="AH90" s="331">
        <f t="shared" si="75"/>
        <v>0</v>
      </c>
      <c r="AI90" s="331">
        <f t="shared" si="75"/>
        <v>0</v>
      </c>
      <c r="AJ90" s="461"/>
    </row>
    <row r="91" spans="1:36" s="321" customFormat="1" ht="11.25" customHeight="1" x14ac:dyDescent="0.25">
      <c r="A91" s="323" t="s">
        <v>378</v>
      </c>
      <c r="B91" s="324" t="s">
        <v>934</v>
      </c>
      <c r="C91" s="324" t="s">
        <v>185</v>
      </c>
      <c r="D91" s="324" t="s">
        <v>523</v>
      </c>
      <c r="E91" s="324" t="s">
        <v>191</v>
      </c>
      <c r="F91" s="325" t="s">
        <v>466</v>
      </c>
      <c r="G91" s="456"/>
      <c r="H91" s="610"/>
      <c r="I91" s="332"/>
      <c r="J91" s="611">
        <v>0</v>
      </c>
      <c r="K91" s="611">
        <v>0</v>
      </c>
      <c r="L91" s="612">
        <v>1</v>
      </c>
      <c r="M91" s="610"/>
      <c r="N91" s="332"/>
      <c r="O91" s="332"/>
      <c r="P91" s="332"/>
      <c r="Q91" s="332"/>
      <c r="R91" s="657"/>
      <c r="S91" s="332"/>
      <c r="T91" s="332"/>
      <c r="U91" s="332"/>
      <c r="V91" s="332"/>
      <c r="W91" s="332"/>
      <c r="X91" s="725">
        <f t="shared" si="47"/>
        <v>0</v>
      </c>
      <c r="Y91" s="725">
        <f t="shared" si="48"/>
        <v>0</v>
      </c>
      <c r="Z91" s="725">
        <f t="shared" si="49"/>
        <v>0</v>
      </c>
      <c r="AA91" s="725">
        <f t="shared" si="50"/>
        <v>0</v>
      </c>
      <c r="AB91" s="725">
        <f t="shared" si="51"/>
        <v>1</v>
      </c>
      <c r="AC91" s="744">
        <f t="shared" si="52"/>
        <v>0</v>
      </c>
      <c r="AD91" s="745">
        <f t="shared" si="53"/>
        <v>0</v>
      </c>
      <c r="AE91" s="745">
        <f t="shared" si="54"/>
        <v>0</v>
      </c>
      <c r="AF91" s="745">
        <f t="shared" si="55"/>
        <v>0</v>
      </c>
      <c r="AG91" s="747">
        <f t="shared" si="56"/>
        <v>1633.9869281045751</v>
      </c>
      <c r="AH91" s="340"/>
      <c r="AI91" s="340"/>
      <c r="AJ91" s="461"/>
    </row>
    <row r="92" spans="1:36" s="321" customFormat="1" ht="11.25" customHeight="1" x14ac:dyDescent="0.25">
      <c r="A92" s="323" t="s">
        <v>378</v>
      </c>
      <c r="B92" s="324" t="s">
        <v>934</v>
      </c>
      <c r="C92" s="324" t="s">
        <v>185</v>
      </c>
      <c r="D92" s="324" t="s">
        <v>676</v>
      </c>
      <c r="E92" s="324" t="s">
        <v>193</v>
      </c>
      <c r="F92" s="325" t="s">
        <v>466</v>
      </c>
      <c r="G92" s="456" t="s">
        <v>1301</v>
      </c>
      <c r="H92" s="614">
        <v>146</v>
      </c>
      <c r="I92" s="611">
        <v>146</v>
      </c>
      <c r="J92" s="611">
        <v>126</v>
      </c>
      <c r="K92" s="611"/>
      <c r="L92" s="612">
        <v>1</v>
      </c>
      <c r="M92" s="610">
        <v>92</v>
      </c>
      <c r="N92" s="332">
        <v>92</v>
      </c>
      <c r="O92" s="332"/>
      <c r="P92" s="332"/>
      <c r="Q92" s="332"/>
      <c r="R92" s="657" t="s">
        <v>1847</v>
      </c>
      <c r="S92" s="332"/>
      <c r="T92" s="332"/>
      <c r="U92" s="332"/>
      <c r="V92" s="332"/>
      <c r="W92" s="332"/>
      <c r="X92" s="725">
        <f t="shared" si="47"/>
        <v>54</v>
      </c>
      <c r="Y92" s="725">
        <f t="shared" si="48"/>
        <v>54</v>
      </c>
      <c r="Z92" s="725">
        <f t="shared" si="49"/>
        <v>126</v>
      </c>
      <c r="AA92" s="725">
        <f t="shared" si="50"/>
        <v>0</v>
      </c>
      <c r="AB92" s="725">
        <f t="shared" si="51"/>
        <v>1</v>
      </c>
      <c r="AC92" s="744">
        <f t="shared" si="52"/>
        <v>42352.941176470587</v>
      </c>
      <c r="AD92" s="745">
        <f t="shared" si="53"/>
        <v>14117.64705882353</v>
      </c>
      <c r="AE92" s="745">
        <f t="shared" si="54"/>
        <v>20588.235294117647</v>
      </c>
      <c r="AF92" s="745">
        <f t="shared" si="55"/>
        <v>0</v>
      </c>
      <c r="AG92" s="747">
        <f t="shared" si="56"/>
        <v>1633.9869281045751</v>
      </c>
      <c r="AH92" s="340"/>
      <c r="AI92" s="340"/>
      <c r="AJ92" s="461"/>
    </row>
    <row r="93" spans="1:36" s="321" customFormat="1" ht="11.25" customHeight="1" x14ac:dyDescent="0.25">
      <c r="A93" s="323" t="s">
        <v>378</v>
      </c>
      <c r="B93" s="324" t="s">
        <v>934</v>
      </c>
      <c r="C93" s="324" t="s">
        <v>185</v>
      </c>
      <c r="D93" s="324" t="s">
        <v>1330</v>
      </c>
      <c r="E93" s="324" t="s">
        <v>195</v>
      </c>
      <c r="F93" s="325" t="s">
        <v>466</v>
      </c>
      <c r="G93" s="456"/>
      <c r="H93" s="614">
        <v>412</v>
      </c>
      <c r="I93" s="611">
        <v>412</v>
      </c>
      <c r="J93" s="611"/>
      <c r="K93" s="611">
        <v>40</v>
      </c>
      <c r="L93" s="612">
        <v>4</v>
      </c>
      <c r="M93" s="610">
        <v>100</v>
      </c>
      <c r="N93" s="332">
        <v>100</v>
      </c>
      <c r="O93" s="332"/>
      <c r="P93" s="332"/>
      <c r="Q93" s="332"/>
      <c r="R93" s="657" t="s">
        <v>1847</v>
      </c>
      <c r="S93" s="332"/>
      <c r="T93" s="332"/>
      <c r="U93" s="332"/>
      <c r="V93" s="332"/>
      <c r="W93" s="332"/>
      <c r="X93" s="725">
        <f t="shared" si="47"/>
        <v>312</v>
      </c>
      <c r="Y93" s="725">
        <f t="shared" si="48"/>
        <v>312</v>
      </c>
      <c r="Z93" s="725">
        <f t="shared" si="49"/>
        <v>0</v>
      </c>
      <c r="AA93" s="725">
        <f t="shared" si="50"/>
        <v>40</v>
      </c>
      <c r="AB93" s="725">
        <f t="shared" si="51"/>
        <v>4</v>
      </c>
      <c r="AC93" s="744">
        <f t="shared" si="52"/>
        <v>244705.88235294117</v>
      </c>
      <c r="AD93" s="745">
        <f t="shared" si="53"/>
        <v>81568.627450980392</v>
      </c>
      <c r="AE93" s="745">
        <f t="shared" si="54"/>
        <v>0</v>
      </c>
      <c r="AF93" s="745">
        <f t="shared" si="55"/>
        <v>1307.18954248366</v>
      </c>
      <c r="AG93" s="747">
        <f t="shared" si="56"/>
        <v>6535.9477124183004</v>
      </c>
      <c r="AH93" s="340"/>
      <c r="AI93" s="340"/>
      <c r="AJ93" s="461" t="s">
        <v>1572</v>
      </c>
    </row>
    <row r="94" spans="1:36" s="321" customFormat="1" ht="11.25" customHeight="1" x14ac:dyDescent="0.25">
      <c r="A94" s="323" t="s">
        <v>378</v>
      </c>
      <c r="B94" s="324" t="s">
        <v>1834</v>
      </c>
      <c r="C94" s="324" t="s">
        <v>185</v>
      </c>
      <c r="D94" s="324" t="s">
        <v>186</v>
      </c>
      <c r="E94" s="333" t="s">
        <v>184</v>
      </c>
      <c r="F94" s="325" t="s">
        <v>464</v>
      </c>
      <c r="G94" s="339" t="s">
        <v>1454</v>
      </c>
      <c r="H94" s="610">
        <v>27</v>
      </c>
      <c r="I94" s="332">
        <v>27</v>
      </c>
      <c r="J94" s="611">
        <v>20</v>
      </c>
      <c r="K94" s="611">
        <v>5</v>
      </c>
      <c r="L94" s="612">
        <v>0</v>
      </c>
      <c r="M94" s="610"/>
      <c r="N94" s="332"/>
      <c r="O94" s="332"/>
      <c r="P94" s="332"/>
      <c r="Q94" s="332"/>
      <c r="R94" s="657"/>
      <c r="S94" s="332"/>
      <c r="T94" s="332"/>
      <c r="U94" s="332"/>
      <c r="V94" s="332"/>
      <c r="W94" s="332"/>
      <c r="X94" s="725">
        <f t="shared" si="47"/>
        <v>27</v>
      </c>
      <c r="Y94" s="725">
        <f t="shared" si="48"/>
        <v>27</v>
      </c>
      <c r="Z94" s="725">
        <f t="shared" si="49"/>
        <v>20</v>
      </c>
      <c r="AA94" s="725">
        <f t="shared" si="50"/>
        <v>5</v>
      </c>
      <c r="AB94" s="725">
        <f t="shared" si="51"/>
        <v>0</v>
      </c>
      <c r="AC94" s="744">
        <f t="shared" si="52"/>
        <v>21176.470588235294</v>
      </c>
      <c r="AD94" s="745">
        <f t="shared" si="53"/>
        <v>7058.8235294117649</v>
      </c>
      <c r="AE94" s="745">
        <f t="shared" si="54"/>
        <v>3267.9738562091502</v>
      </c>
      <c r="AF94" s="745">
        <f t="shared" si="55"/>
        <v>163.3986928104575</v>
      </c>
      <c r="AG94" s="747">
        <f t="shared" si="56"/>
        <v>0</v>
      </c>
      <c r="AH94" s="340"/>
      <c r="AI94" s="340"/>
      <c r="AJ94" s="461"/>
    </row>
    <row r="95" spans="1:36" s="321" customFormat="1" ht="11.25" customHeight="1" x14ac:dyDescent="0.25">
      <c r="A95" s="323" t="s">
        <v>378</v>
      </c>
      <c r="B95" s="324" t="s">
        <v>933</v>
      </c>
      <c r="C95" s="324" t="s">
        <v>185</v>
      </c>
      <c r="D95" s="324" t="s">
        <v>1331</v>
      </c>
      <c r="E95" s="324" t="s">
        <v>222</v>
      </c>
      <c r="F95" s="325" t="s">
        <v>464</v>
      </c>
      <c r="G95" s="456"/>
      <c r="H95" s="614"/>
      <c r="I95" s="611"/>
      <c r="J95" s="611"/>
      <c r="K95" s="611"/>
      <c r="L95" s="612"/>
      <c r="M95" s="610"/>
      <c r="N95" s="332"/>
      <c r="O95" s="332"/>
      <c r="P95" s="332"/>
      <c r="Q95" s="332"/>
      <c r="R95" s="657"/>
      <c r="S95" s="332"/>
      <c r="T95" s="332"/>
      <c r="U95" s="332"/>
      <c r="V95" s="332"/>
      <c r="W95" s="332"/>
      <c r="X95" s="725">
        <f t="shared" si="47"/>
        <v>0</v>
      </c>
      <c r="Y95" s="725">
        <f t="shared" si="48"/>
        <v>0</v>
      </c>
      <c r="Z95" s="725">
        <f t="shared" si="49"/>
        <v>0</v>
      </c>
      <c r="AA95" s="725">
        <f t="shared" si="50"/>
        <v>0</v>
      </c>
      <c r="AB95" s="725">
        <f t="shared" si="51"/>
        <v>0</v>
      </c>
      <c r="AC95" s="744">
        <f t="shared" si="52"/>
        <v>0</v>
      </c>
      <c r="AD95" s="745">
        <f t="shared" si="53"/>
        <v>0</v>
      </c>
      <c r="AE95" s="745">
        <f t="shared" si="54"/>
        <v>0</v>
      </c>
      <c r="AF95" s="745">
        <f t="shared" si="55"/>
        <v>0</v>
      </c>
      <c r="AG95" s="747">
        <f t="shared" si="56"/>
        <v>0</v>
      </c>
      <c r="AH95" s="340"/>
      <c r="AI95" s="340"/>
      <c r="AJ95" s="461"/>
    </row>
    <row r="96" spans="1:36" s="321" customFormat="1" ht="11.25" customHeight="1" x14ac:dyDescent="0.25">
      <c r="A96" s="323" t="s">
        <v>378</v>
      </c>
      <c r="B96" s="324" t="s">
        <v>1834</v>
      </c>
      <c r="C96" s="324" t="s">
        <v>185</v>
      </c>
      <c r="D96" s="333" t="s">
        <v>190</v>
      </c>
      <c r="E96" s="333" t="s">
        <v>189</v>
      </c>
      <c r="F96" s="325" t="s">
        <v>464</v>
      </c>
      <c r="G96" s="459"/>
      <c r="H96" s="610">
        <v>48</v>
      </c>
      <c r="I96" s="332">
        <v>20</v>
      </c>
      <c r="J96" s="611">
        <v>90</v>
      </c>
      <c r="K96" s="611">
        <v>144</v>
      </c>
      <c r="L96" s="613"/>
      <c r="M96" s="610"/>
      <c r="N96" s="332"/>
      <c r="O96" s="332"/>
      <c r="P96" s="332"/>
      <c r="Q96" s="332"/>
      <c r="R96" s="657"/>
      <c r="S96" s="332"/>
      <c r="T96" s="332"/>
      <c r="U96" s="332"/>
      <c r="V96" s="332"/>
      <c r="W96" s="332"/>
      <c r="X96" s="725">
        <f t="shared" si="47"/>
        <v>48</v>
      </c>
      <c r="Y96" s="725">
        <f t="shared" si="48"/>
        <v>20</v>
      </c>
      <c r="Z96" s="725">
        <f t="shared" si="49"/>
        <v>90</v>
      </c>
      <c r="AA96" s="725">
        <f t="shared" si="50"/>
        <v>144</v>
      </c>
      <c r="AB96" s="725">
        <f t="shared" si="51"/>
        <v>0</v>
      </c>
      <c r="AC96" s="744">
        <f t="shared" si="52"/>
        <v>37647.058823529413</v>
      </c>
      <c r="AD96" s="745">
        <f t="shared" si="53"/>
        <v>5228.7581699346401</v>
      </c>
      <c r="AE96" s="745">
        <f t="shared" si="54"/>
        <v>14705.882352941177</v>
      </c>
      <c r="AF96" s="745">
        <f t="shared" si="55"/>
        <v>4705.8823529411766</v>
      </c>
      <c r="AG96" s="747">
        <f t="shared" si="56"/>
        <v>0</v>
      </c>
      <c r="AH96" s="340"/>
      <c r="AI96" s="340"/>
      <c r="AJ96" s="461"/>
    </row>
    <row r="97" spans="1:36" s="321" customFormat="1" ht="11.25" customHeight="1" x14ac:dyDescent="0.25">
      <c r="A97" s="323" t="s">
        <v>378</v>
      </c>
      <c r="B97" s="324" t="s">
        <v>1834</v>
      </c>
      <c r="C97" s="324" t="s">
        <v>185</v>
      </c>
      <c r="D97" s="324" t="s">
        <v>1334</v>
      </c>
      <c r="E97" s="324" t="s">
        <v>228</v>
      </c>
      <c r="F97" s="325" t="s">
        <v>464</v>
      </c>
      <c r="G97" s="456" t="s">
        <v>1301</v>
      </c>
      <c r="H97" s="610">
        <v>46</v>
      </c>
      <c r="I97" s="332">
        <v>46</v>
      </c>
      <c r="J97" s="611"/>
      <c r="K97" s="611"/>
      <c r="L97" s="613">
        <v>1</v>
      </c>
      <c r="M97" s="610">
        <v>35</v>
      </c>
      <c r="N97" s="332">
        <v>35</v>
      </c>
      <c r="O97" s="332"/>
      <c r="P97" s="332">
        <v>5</v>
      </c>
      <c r="Q97" s="332"/>
      <c r="R97" s="657" t="s">
        <v>1879</v>
      </c>
      <c r="S97" s="332"/>
      <c r="T97" s="332"/>
      <c r="U97" s="332"/>
      <c r="V97" s="332"/>
      <c r="W97" s="332"/>
      <c r="X97" s="725">
        <f t="shared" si="47"/>
        <v>11</v>
      </c>
      <c r="Y97" s="725">
        <f t="shared" si="48"/>
        <v>11</v>
      </c>
      <c r="Z97" s="725">
        <f t="shared" si="49"/>
        <v>0</v>
      </c>
      <c r="AA97" s="725">
        <f t="shared" si="50"/>
        <v>-5</v>
      </c>
      <c r="AB97" s="725">
        <f t="shared" si="51"/>
        <v>1</v>
      </c>
      <c r="AC97" s="744">
        <f t="shared" si="52"/>
        <v>8627.4509803921574</v>
      </c>
      <c r="AD97" s="745">
        <f t="shared" si="53"/>
        <v>2875.8169934640523</v>
      </c>
      <c r="AE97" s="745">
        <f t="shared" si="54"/>
        <v>0</v>
      </c>
      <c r="AF97" s="745">
        <f t="shared" si="55"/>
        <v>-163.3986928104575</v>
      </c>
      <c r="AG97" s="747">
        <f t="shared" si="56"/>
        <v>1633.9869281045751</v>
      </c>
      <c r="AH97" s="340"/>
      <c r="AI97" s="340"/>
      <c r="AJ97" s="461" t="s">
        <v>1325</v>
      </c>
    </row>
    <row r="98" spans="1:36" s="321" customFormat="1" ht="11.25" customHeight="1" x14ac:dyDescent="0.25">
      <c r="A98" s="323" t="s">
        <v>378</v>
      </c>
      <c r="B98" s="324" t="s">
        <v>933</v>
      </c>
      <c r="C98" s="324" t="s">
        <v>185</v>
      </c>
      <c r="D98" s="324" t="s">
        <v>202</v>
      </c>
      <c r="E98" s="324" t="s">
        <v>201</v>
      </c>
      <c r="F98" s="325" t="s">
        <v>464</v>
      </c>
      <c r="G98" s="456"/>
      <c r="H98" s="614">
        <v>76</v>
      </c>
      <c r="I98" s="611">
        <v>76</v>
      </c>
      <c r="J98" s="611">
        <v>0</v>
      </c>
      <c r="K98" s="611"/>
      <c r="L98" s="612">
        <v>0</v>
      </c>
      <c r="M98" s="610">
        <v>27</v>
      </c>
      <c r="N98" s="332">
        <v>27</v>
      </c>
      <c r="O98" s="332"/>
      <c r="P98" s="332"/>
      <c r="Q98" s="332"/>
      <c r="R98" s="657" t="s">
        <v>1844</v>
      </c>
      <c r="S98" s="332"/>
      <c r="T98" s="332"/>
      <c r="U98" s="332"/>
      <c r="V98" s="332"/>
      <c r="W98" s="332"/>
      <c r="X98" s="725">
        <f t="shared" si="47"/>
        <v>49</v>
      </c>
      <c r="Y98" s="725">
        <f t="shared" si="48"/>
        <v>49</v>
      </c>
      <c r="Z98" s="725">
        <f t="shared" si="49"/>
        <v>0</v>
      </c>
      <c r="AA98" s="725">
        <f t="shared" si="50"/>
        <v>0</v>
      </c>
      <c r="AB98" s="725">
        <f t="shared" si="51"/>
        <v>0</v>
      </c>
      <c r="AC98" s="744">
        <f t="shared" si="52"/>
        <v>38431.372549019608</v>
      </c>
      <c r="AD98" s="745">
        <f t="shared" si="53"/>
        <v>12810.457516339869</v>
      </c>
      <c r="AE98" s="745">
        <f t="shared" si="54"/>
        <v>0</v>
      </c>
      <c r="AF98" s="745">
        <f t="shared" si="55"/>
        <v>0</v>
      </c>
      <c r="AG98" s="747">
        <f t="shared" si="56"/>
        <v>0</v>
      </c>
      <c r="AH98" s="340"/>
      <c r="AI98" s="340"/>
      <c r="AJ98" s="461"/>
    </row>
    <row r="99" spans="1:36" s="321" customFormat="1" ht="11.25" customHeight="1" x14ac:dyDescent="0.25">
      <c r="A99" s="323" t="s">
        <v>378</v>
      </c>
      <c r="B99" s="324" t="s">
        <v>1834</v>
      </c>
      <c r="C99" s="324" t="s">
        <v>185</v>
      </c>
      <c r="D99" s="324" t="s">
        <v>209</v>
      </c>
      <c r="E99" s="324" t="s">
        <v>208</v>
      </c>
      <c r="F99" s="325" t="s">
        <v>464</v>
      </c>
      <c r="G99" s="456" t="s">
        <v>1301</v>
      </c>
      <c r="H99" s="614">
        <v>10</v>
      </c>
      <c r="I99" s="611">
        <v>10</v>
      </c>
      <c r="J99" s="611">
        <v>80</v>
      </c>
      <c r="K99" s="611">
        <v>38</v>
      </c>
      <c r="L99" s="612"/>
      <c r="M99" s="610">
        <v>10</v>
      </c>
      <c r="N99" s="332">
        <v>10</v>
      </c>
      <c r="O99" s="332">
        <v>12</v>
      </c>
      <c r="P99" s="332">
        <v>10</v>
      </c>
      <c r="Q99" s="332"/>
      <c r="R99" s="657" t="s">
        <v>1907</v>
      </c>
      <c r="S99" s="332"/>
      <c r="T99" s="332"/>
      <c r="U99" s="332"/>
      <c r="V99" s="332"/>
      <c r="W99" s="332"/>
      <c r="X99" s="725">
        <f t="shared" si="47"/>
        <v>0</v>
      </c>
      <c r="Y99" s="725">
        <f t="shared" si="48"/>
        <v>0</v>
      </c>
      <c r="Z99" s="725">
        <f t="shared" si="49"/>
        <v>68</v>
      </c>
      <c r="AA99" s="725">
        <f t="shared" si="50"/>
        <v>28</v>
      </c>
      <c r="AB99" s="725">
        <f t="shared" si="51"/>
        <v>0</v>
      </c>
      <c r="AC99" s="744">
        <f t="shared" si="52"/>
        <v>0</v>
      </c>
      <c r="AD99" s="745">
        <f t="shared" si="53"/>
        <v>0</v>
      </c>
      <c r="AE99" s="745">
        <f t="shared" si="54"/>
        <v>11111.111111111111</v>
      </c>
      <c r="AF99" s="745">
        <f t="shared" si="55"/>
        <v>915.03267973856214</v>
      </c>
      <c r="AG99" s="747">
        <f t="shared" si="56"/>
        <v>0</v>
      </c>
      <c r="AH99" s="340"/>
      <c r="AI99" s="340"/>
      <c r="AJ99" s="461" t="s">
        <v>1325</v>
      </c>
    </row>
    <row r="100" spans="1:36" s="321" customFormat="1" ht="11.25" customHeight="1" x14ac:dyDescent="0.25">
      <c r="A100" s="323" t="s">
        <v>378</v>
      </c>
      <c r="B100" s="324" t="s">
        <v>933</v>
      </c>
      <c r="C100" s="324" t="s">
        <v>185</v>
      </c>
      <c r="D100" s="324" t="s">
        <v>1333</v>
      </c>
      <c r="E100" s="324" t="s">
        <v>214</v>
      </c>
      <c r="F100" s="325" t="s">
        <v>466</v>
      </c>
      <c r="G100" s="456"/>
      <c r="H100" s="610">
        <v>334</v>
      </c>
      <c r="I100" s="332">
        <v>334</v>
      </c>
      <c r="J100" s="611">
        <v>353</v>
      </c>
      <c r="K100" s="611">
        <v>0</v>
      </c>
      <c r="L100" s="612">
        <v>0</v>
      </c>
      <c r="M100" s="610">
        <v>76</v>
      </c>
      <c r="N100" s="332">
        <v>76</v>
      </c>
      <c r="O100" s="332"/>
      <c r="P100" s="332"/>
      <c r="Q100" s="332"/>
      <c r="R100" s="657" t="s">
        <v>1845</v>
      </c>
      <c r="S100" s="332"/>
      <c r="T100" s="332"/>
      <c r="U100" s="332"/>
      <c r="V100" s="332"/>
      <c r="W100" s="332"/>
      <c r="X100" s="725">
        <f t="shared" si="47"/>
        <v>258</v>
      </c>
      <c r="Y100" s="725">
        <f t="shared" si="48"/>
        <v>258</v>
      </c>
      <c r="Z100" s="725">
        <f t="shared" si="49"/>
        <v>353</v>
      </c>
      <c r="AA100" s="725">
        <f t="shared" si="50"/>
        <v>0</v>
      </c>
      <c r="AB100" s="725">
        <f t="shared" si="51"/>
        <v>0</v>
      </c>
      <c r="AC100" s="744">
        <f t="shared" si="52"/>
        <v>202352.9411764706</v>
      </c>
      <c r="AD100" s="745">
        <f t="shared" si="53"/>
        <v>67450.980392156867</v>
      </c>
      <c r="AE100" s="745">
        <f t="shared" si="54"/>
        <v>57679.738562091501</v>
      </c>
      <c r="AF100" s="745">
        <f t="shared" si="55"/>
        <v>0</v>
      </c>
      <c r="AG100" s="747">
        <f t="shared" si="56"/>
        <v>0</v>
      </c>
      <c r="AH100" s="340"/>
      <c r="AI100" s="340"/>
      <c r="AJ100" s="461" t="s">
        <v>1574</v>
      </c>
    </row>
    <row r="101" spans="1:36" s="321" customFormat="1" ht="11.25" customHeight="1" x14ac:dyDescent="0.25">
      <c r="A101" s="323" t="s">
        <v>378</v>
      </c>
      <c r="B101" s="324" t="s">
        <v>933</v>
      </c>
      <c r="C101" s="324" t="s">
        <v>185</v>
      </c>
      <c r="D101" s="324" t="s">
        <v>1335</v>
      </c>
      <c r="E101" s="333" t="s">
        <v>218</v>
      </c>
      <c r="F101" s="337" t="s">
        <v>466</v>
      </c>
      <c r="G101" s="339"/>
      <c r="H101" s="610">
        <v>481</v>
      </c>
      <c r="I101" s="332">
        <v>481</v>
      </c>
      <c r="J101" s="611">
        <v>501</v>
      </c>
      <c r="K101" s="611"/>
      <c r="L101" s="612">
        <v>0</v>
      </c>
      <c r="M101" s="610"/>
      <c r="N101" s="332"/>
      <c r="O101" s="332"/>
      <c r="P101" s="332"/>
      <c r="Q101" s="332"/>
      <c r="R101" s="657"/>
      <c r="S101" s="332"/>
      <c r="T101" s="332"/>
      <c r="U101" s="332"/>
      <c r="V101" s="332"/>
      <c r="W101" s="332"/>
      <c r="X101" s="725">
        <f t="shared" si="47"/>
        <v>481</v>
      </c>
      <c r="Y101" s="725">
        <f t="shared" si="48"/>
        <v>481</v>
      </c>
      <c r="Z101" s="725">
        <f t="shared" si="49"/>
        <v>501</v>
      </c>
      <c r="AA101" s="725">
        <f t="shared" si="50"/>
        <v>0</v>
      </c>
      <c r="AB101" s="725">
        <f t="shared" si="51"/>
        <v>0</v>
      </c>
      <c r="AC101" s="744">
        <f t="shared" si="52"/>
        <v>377254.90196078434</v>
      </c>
      <c r="AD101" s="745">
        <f t="shared" si="53"/>
        <v>125751.63398692811</v>
      </c>
      <c r="AE101" s="745">
        <f t="shared" si="54"/>
        <v>81862.745098039217</v>
      </c>
      <c r="AF101" s="745">
        <f t="shared" si="55"/>
        <v>0</v>
      </c>
      <c r="AG101" s="747">
        <f t="shared" si="56"/>
        <v>0</v>
      </c>
      <c r="AH101" s="340"/>
      <c r="AI101" s="340"/>
      <c r="AJ101" s="461"/>
    </row>
    <row r="102" spans="1:36" s="321" customFormat="1" ht="11.25" customHeight="1" x14ac:dyDescent="0.25">
      <c r="A102" s="323" t="s">
        <v>378</v>
      </c>
      <c r="B102" s="324" t="s">
        <v>1834</v>
      </c>
      <c r="C102" s="324" t="s">
        <v>185</v>
      </c>
      <c r="D102" s="324" t="s">
        <v>1336</v>
      </c>
      <c r="E102" s="324" t="s">
        <v>224</v>
      </c>
      <c r="F102" s="325" t="s">
        <v>464</v>
      </c>
      <c r="G102" s="456"/>
      <c r="H102" s="614">
        <v>0</v>
      </c>
      <c r="I102" s="611">
        <v>0</v>
      </c>
      <c r="J102" s="611">
        <v>0</v>
      </c>
      <c r="K102" s="611">
        <v>30</v>
      </c>
      <c r="L102" s="612">
        <v>0</v>
      </c>
      <c r="M102" s="610"/>
      <c r="N102" s="332"/>
      <c r="O102" s="332"/>
      <c r="P102" s="332"/>
      <c r="Q102" s="332"/>
      <c r="R102" s="657"/>
      <c r="S102" s="332"/>
      <c r="T102" s="332"/>
      <c r="U102" s="332"/>
      <c r="V102" s="332"/>
      <c r="W102" s="332"/>
      <c r="X102" s="725">
        <f t="shared" si="47"/>
        <v>0</v>
      </c>
      <c r="Y102" s="725">
        <f t="shared" si="48"/>
        <v>0</v>
      </c>
      <c r="Z102" s="725">
        <f t="shared" si="49"/>
        <v>0</v>
      </c>
      <c r="AA102" s="725">
        <f t="shared" si="50"/>
        <v>30</v>
      </c>
      <c r="AB102" s="725">
        <f t="shared" si="51"/>
        <v>0</v>
      </c>
      <c r="AC102" s="744">
        <f t="shared" si="52"/>
        <v>0</v>
      </c>
      <c r="AD102" s="745">
        <f t="shared" si="53"/>
        <v>0</v>
      </c>
      <c r="AE102" s="745">
        <f t="shared" si="54"/>
        <v>0</v>
      </c>
      <c r="AF102" s="745">
        <f t="shared" si="55"/>
        <v>980.39215686274508</v>
      </c>
      <c r="AG102" s="747">
        <f t="shared" si="56"/>
        <v>0</v>
      </c>
      <c r="AH102" s="340"/>
      <c r="AI102" s="340"/>
      <c r="AJ102" s="461"/>
    </row>
    <row r="103" spans="1:36" s="321" customFormat="1" ht="11.25" customHeight="1" x14ac:dyDescent="0.25">
      <c r="A103" s="326" t="s">
        <v>3</v>
      </c>
      <c r="B103" s="327"/>
      <c r="C103" s="327"/>
      <c r="D103" s="328"/>
      <c r="E103" s="329"/>
      <c r="F103" s="330"/>
      <c r="G103" s="464"/>
      <c r="H103" s="799">
        <f>SUM(H91:H102)</f>
        <v>1580</v>
      </c>
      <c r="I103" s="799">
        <f t="shared" ref="I103:AI103" si="76">SUM(I91:I102)</f>
        <v>1552</v>
      </c>
      <c r="J103" s="799">
        <f t="shared" si="76"/>
        <v>1170</v>
      </c>
      <c r="K103" s="799">
        <f t="shared" si="76"/>
        <v>257</v>
      </c>
      <c r="L103" s="799">
        <f t="shared" si="76"/>
        <v>7</v>
      </c>
      <c r="M103" s="799">
        <f t="shared" si="76"/>
        <v>340</v>
      </c>
      <c r="N103" s="799">
        <f t="shared" si="76"/>
        <v>340</v>
      </c>
      <c r="O103" s="799">
        <f t="shared" si="76"/>
        <v>12</v>
      </c>
      <c r="P103" s="799">
        <f t="shared" si="76"/>
        <v>15</v>
      </c>
      <c r="Q103" s="799">
        <f t="shared" si="76"/>
        <v>0</v>
      </c>
      <c r="R103" s="331">
        <f t="shared" si="76"/>
        <v>0</v>
      </c>
      <c r="S103" s="331">
        <f t="shared" si="76"/>
        <v>0</v>
      </c>
      <c r="T103" s="331">
        <f t="shared" si="76"/>
        <v>0</v>
      </c>
      <c r="U103" s="331">
        <f t="shared" si="76"/>
        <v>0</v>
      </c>
      <c r="V103" s="331">
        <f t="shared" si="76"/>
        <v>0</v>
      </c>
      <c r="W103" s="331">
        <f t="shared" si="76"/>
        <v>0</v>
      </c>
      <c r="X103" s="331">
        <f t="shared" ref="X103" si="77">SUM(X91:X102)</f>
        <v>1240</v>
      </c>
      <c r="Y103" s="331">
        <f t="shared" ref="Y103" si="78">SUM(Y91:Y102)</f>
        <v>1212</v>
      </c>
      <c r="Z103" s="331">
        <f t="shared" ref="Z103" si="79">SUM(Z91:Z102)</f>
        <v>1158</v>
      </c>
      <c r="AA103" s="331">
        <f t="shared" ref="AA103" si="80">SUM(AA91:AA102)</f>
        <v>242</v>
      </c>
      <c r="AB103" s="331">
        <f t="shared" ref="AB103:AH103" si="81">SUM(AB91:AB102)</f>
        <v>7</v>
      </c>
      <c r="AC103" s="746">
        <f t="shared" si="81"/>
        <v>972549.01960784313</v>
      </c>
      <c r="AD103" s="746">
        <f t="shared" si="81"/>
        <v>316862.74509803922</v>
      </c>
      <c r="AE103" s="746">
        <f t="shared" si="81"/>
        <v>189215.68627450982</v>
      </c>
      <c r="AF103" s="746">
        <f t="shared" si="81"/>
        <v>7908.496732026143</v>
      </c>
      <c r="AG103" s="746">
        <f t="shared" si="81"/>
        <v>11437.908496732027</v>
      </c>
      <c r="AH103" s="331">
        <f t="shared" si="81"/>
        <v>0</v>
      </c>
      <c r="AI103" s="331">
        <f t="shared" si="76"/>
        <v>0</v>
      </c>
      <c r="AJ103" s="461"/>
    </row>
    <row r="104" spans="1:36" s="321" customFormat="1" ht="11.25" customHeight="1" x14ac:dyDescent="0.25">
      <c r="A104" s="323" t="s">
        <v>1310</v>
      </c>
      <c r="B104" s="324" t="s">
        <v>1817</v>
      </c>
      <c r="C104" s="324" t="s">
        <v>230</v>
      </c>
      <c r="D104" s="324" t="s">
        <v>901</v>
      </c>
      <c r="E104" s="324" t="s">
        <v>902</v>
      </c>
      <c r="F104" s="325" t="s">
        <v>464</v>
      </c>
      <c r="G104" s="456"/>
      <c r="H104" s="614">
        <v>15</v>
      </c>
      <c r="I104" s="611">
        <v>15</v>
      </c>
      <c r="J104" s="611">
        <v>0</v>
      </c>
      <c r="K104" s="611">
        <v>0</v>
      </c>
      <c r="L104" s="612">
        <v>0</v>
      </c>
      <c r="M104" s="610"/>
      <c r="N104" s="332"/>
      <c r="O104" s="332"/>
      <c r="P104" s="332"/>
      <c r="Q104" s="332"/>
      <c r="R104" s="657"/>
      <c r="S104" s="332"/>
      <c r="T104" s="332"/>
      <c r="U104" s="332"/>
      <c r="V104" s="332"/>
      <c r="W104" s="332"/>
      <c r="X104" s="725">
        <f t="shared" si="47"/>
        <v>15</v>
      </c>
      <c r="Y104" s="725">
        <f t="shared" si="48"/>
        <v>15</v>
      </c>
      <c r="Z104" s="725">
        <f t="shared" si="49"/>
        <v>0</v>
      </c>
      <c r="AA104" s="725">
        <f t="shared" si="50"/>
        <v>0</v>
      </c>
      <c r="AB104" s="725">
        <f t="shared" si="51"/>
        <v>0</v>
      </c>
      <c r="AC104" s="744">
        <f t="shared" si="52"/>
        <v>11764.705882352941</v>
      </c>
      <c r="AD104" s="745">
        <f t="shared" si="53"/>
        <v>3921.5686274509803</v>
      </c>
      <c r="AE104" s="745">
        <f t="shared" si="54"/>
        <v>0</v>
      </c>
      <c r="AF104" s="745">
        <f t="shared" si="55"/>
        <v>0</v>
      </c>
      <c r="AG104" s="747">
        <f t="shared" si="56"/>
        <v>0</v>
      </c>
      <c r="AH104" s="340"/>
      <c r="AI104" s="340"/>
      <c r="AJ104" s="461"/>
    </row>
    <row r="105" spans="1:36" s="321" customFormat="1" ht="11.25" customHeight="1" x14ac:dyDescent="0.25">
      <c r="A105" s="323" t="s">
        <v>1310</v>
      </c>
      <c r="B105" s="324" t="s">
        <v>1046</v>
      </c>
      <c r="C105" s="324" t="s">
        <v>230</v>
      </c>
      <c r="D105" s="324" t="s">
        <v>911</v>
      </c>
      <c r="E105" s="324" t="s">
        <v>912</v>
      </c>
      <c r="F105" s="325" t="s">
        <v>464</v>
      </c>
      <c r="G105" s="338"/>
      <c r="H105" s="614">
        <v>10</v>
      </c>
      <c r="I105" s="611">
        <v>10</v>
      </c>
      <c r="J105" s="611">
        <v>7</v>
      </c>
      <c r="K105" s="611"/>
      <c r="L105" s="612"/>
      <c r="M105" s="610">
        <v>10</v>
      </c>
      <c r="N105" s="332">
        <v>10</v>
      </c>
      <c r="O105" s="332">
        <v>7</v>
      </c>
      <c r="P105" s="332"/>
      <c r="Q105" s="332"/>
      <c r="R105" s="657" t="s">
        <v>1842</v>
      </c>
      <c r="S105" s="332"/>
      <c r="T105" s="332"/>
      <c r="U105" s="332"/>
      <c r="V105" s="332"/>
      <c r="W105" s="332"/>
      <c r="X105" s="725">
        <f t="shared" si="47"/>
        <v>0</v>
      </c>
      <c r="Y105" s="725">
        <f t="shared" si="48"/>
        <v>0</v>
      </c>
      <c r="Z105" s="725">
        <f t="shared" si="49"/>
        <v>0</v>
      </c>
      <c r="AA105" s="725">
        <f t="shared" si="50"/>
        <v>0</v>
      </c>
      <c r="AB105" s="725">
        <f t="shared" si="51"/>
        <v>0</v>
      </c>
      <c r="AC105" s="744">
        <f t="shared" si="52"/>
        <v>0</v>
      </c>
      <c r="AD105" s="745">
        <f t="shared" si="53"/>
        <v>0</v>
      </c>
      <c r="AE105" s="745">
        <f t="shared" si="54"/>
        <v>0</v>
      </c>
      <c r="AF105" s="745">
        <f t="shared" si="55"/>
        <v>0</v>
      </c>
      <c r="AG105" s="747">
        <f t="shared" si="56"/>
        <v>0</v>
      </c>
      <c r="AH105" s="340"/>
      <c r="AI105" s="340"/>
      <c r="AJ105" s="461"/>
    </row>
    <row r="106" spans="1:36" s="321" customFormat="1" ht="11.25" customHeight="1" x14ac:dyDescent="0.25">
      <c r="A106" s="324" t="s">
        <v>1310</v>
      </c>
      <c r="B106" s="324" t="s">
        <v>1817</v>
      </c>
      <c r="C106" s="324" t="s">
        <v>230</v>
      </c>
      <c r="D106" s="324" t="s">
        <v>716</v>
      </c>
      <c r="E106" s="324" t="s">
        <v>1241</v>
      </c>
      <c r="F106" s="325" t="s">
        <v>464</v>
      </c>
      <c r="G106" s="338" t="s">
        <v>1451</v>
      </c>
      <c r="H106" s="614">
        <v>63</v>
      </c>
      <c r="I106" s="611">
        <v>63</v>
      </c>
      <c r="J106" s="611"/>
      <c r="K106" s="611"/>
      <c r="L106" s="612"/>
      <c r="M106" s="610"/>
      <c r="N106" s="332"/>
      <c r="O106" s="332"/>
      <c r="P106" s="332"/>
      <c r="Q106" s="332"/>
      <c r="R106" s="657"/>
      <c r="S106" s="332"/>
      <c r="T106" s="332"/>
      <c r="U106" s="332"/>
      <c r="V106" s="332"/>
      <c r="W106" s="332"/>
      <c r="X106" s="725">
        <f t="shared" si="47"/>
        <v>63</v>
      </c>
      <c r="Y106" s="725">
        <f t="shared" si="48"/>
        <v>63</v>
      </c>
      <c r="Z106" s="725">
        <f t="shared" si="49"/>
        <v>0</v>
      </c>
      <c r="AA106" s="725">
        <f t="shared" si="50"/>
        <v>0</v>
      </c>
      <c r="AB106" s="725">
        <f t="shared" si="51"/>
        <v>0</v>
      </c>
      <c r="AC106" s="744">
        <f t="shared" si="52"/>
        <v>49411.76470588235</v>
      </c>
      <c r="AD106" s="745">
        <f t="shared" si="53"/>
        <v>16470.588235294119</v>
      </c>
      <c r="AE106" s="745">
        <f t="shared" si="54"/>
        <v>0</v>
      </c>
      <c r="AF106" s="745">
        <f t="shared" si="55"/>
        <v>0</v>
      </c>
      <c r="AG106" s="747">
        <f t="shared" si="56"/>
        <v>0</v>
      </c>
      <c r="AH106" s="340"/>
      <c r="AI106" s="340"/>
      <c r="AJ106" s="461"/>
    </row>
    <row r="107" spans="1:36" s="321" customFormat="1" ht="11.25" customHeight="1" x14ac:dyDescent="0.25">
      <c r="A107" s="326" t="s">
        <v>3</v>
      </c>
      <c r="B107" s="327"/>
      <c r="C107" s="327"/>
      <c r="D107" s="328"/>
      <c r="E107" s="329"/>
      <c r="F107" s="330"/>
      <c r="G107" s="464"/>
      <c r="H107" s="799">
        <f>SUM(H104:H106)</f>
        <v>88</v>
      </c>
      <c r="I107" s="799">
        <f t="shared" ref="I107:W107" si="82">SUM(I104:I106)</f>
        <v>88</v>
      </c>
      <c r="J107" s="799">
        <f t="shared" si="82"/>
        <v>7</v>
      </c>
      <c r="K107" s="799">
        <f t="shared" si="82"/>
        <v>0</v>
      </c>
      <c r="L107" s="799">
        <f t="shared" si="82"/>
        <v>0</v>
      </c>
      <c r="M107" s="799">
        <f t="shared" si="82"/>
        <v>10</v>
      </c>
      <c r="N107" s="799">
        <f t="shared" si="82"/>
        <v>10</v>
      </c>
      <c r="O107" s="799">
        <f t="shared" si="82"/>
        <v>7</v>
      </c>
      <c r="P107" s="799">
        <f t="shared" si="82"/>
        <v>0</v>
      </c>
      <c r="Q107" s="799">
        <f t="shared" si="82"/>
        <v>0</v>
      </c>
      <c r="R107" s="331">
        <f t="shared" si="82"/>
        <v>0</v>
      </c>
      <c r="S107" s="331">
        <f t="shared" si="82"/>
        <v>0</v>
      </c>
      <c r="T107" s="331">
        <f t="shared" si="82"/>
        <v>0</v>
      </c>
      <c r="U107" s="331">
        <f t="shared" si="82"/>
        <v>0</v>
      </c>
      <c r="V107" s="331">
        <f t="shared" si="82"/>
        <v>0</v>
      </c>
      <c r="W107" s="331">
        <f t="shared" si="82"/>
        <v>0</v>
      </c>
      <c r="X107" s="331">
        <f t="shared" ref="X107" si="83">SUM(X104:X106)</f>
        <v>78</v>
      </c>
      <c r="Y107" s="331">
        <f t="shared" ref="Y107" si="84">SUM(Y104:Y106)</f>
        <v>78</v>
      </c>
      <c r="Z107" s="331">
        <f t="shared" ref="Z107" si="85">SUM(Z104:Z106)</f>
        <v>0</v>
      </c>
      <c r="AA107" s="331">
        <f t="shared" ref="AA107" si="86">SUM(AA104:AA106)</f>
        <v>0</v>
      </c>
      <c r="AB107" s="331">
        <f t="shared" ref="AB107:AI107" si="87">SUM(AB104:AB106)</f>
        <v>0</v>
      </c>
      <c r="AC107" s="746">
        <f t="shared" si="87"/>
        <v>61176.470588235286</v>
      </c>
      <c r="AD107" s="746">
        <f t="shared" si="87"/>
        <v>20392.156862745098</v>
      </c>
      <c r="AE107" s="746">
        <f t="shared" si="87"/>
        <v>0</v>
      </c>
      <c r="AF107" s="746">
        <f t="shared" si="87"/>
        <v>0</v>
      </c>
      <c r="AG107" s="746">
        <f t="shared" si="87"/>
        <v>0</v>
      </c>
      <c r="AH107" s="331">
        <f t="shared" si="87"/>
        <v>0</v>
      </c>
      <c r="AI107" s="331">
        <f t="shared" si="87"/>
        <v>0</v>
      </c>
      <c r="AJ107" s="461"/>
    </row>
    <row r="108" spans="1:36" s="321" customFormat="1" ht="11.25" customHeight="1" x14ac:dyDescent="0.25">
      <c r="A108" s="323" t="s">
        <v>378</v>
      </c>
      <c r="B108" s="324" t="s">
        <v>1835</v>
      </c>
      <c r="C108" s="324" t="s">
        <v>237</v>
      </c>
      <c r="D108" s="324" t="s">
        <v>1337</v>
      </c>
      <c r="E108" s="324" t="s">
        <v>245</v>
      </c>
      <c r="F108" s="325" t="s">
        <v>464</v>
      </c>
      <c r="G108" s="456"/>
      <c r="H108" s="614">
        <v>6</v>
      </c>
      <c r="I108" s="611">
        <v>6</v>
      </c>
      <c r="J108" s="611">
        <v>21</v>
      </c>
      <c r="K108" s="611">
        <v>0</v>
      </c>
      <c r="L108" s="612">
        <v>1</v>
      </c>
      <c r="M108" s="610"/>
      <c r="N108" s="332"/>
      <c r="O108" s="332">
        <v>21</v>
      </c>
      <c r="P108" s="332"/>
      <c r="Q108" s="332"/>
      <c r="R108" s="657" t="s">
        <v>1838</v>
      </c>
      <c r="S108" s="332"/>
      <c r="T108" s="332"/>
      <c r="U108" s="332"/>
      <c r="V108" s="332"/>
      <c r="W108" s="332"/>
      <c r="X108" s="725">
        <f t="shared" si="47"/>
        <v>6</v>
      </c>
      <c r="Y108" s="725">
        <f t="shared" si="48"/>
        <v>6</v>
      </c>
      <c r="Z108" s="725">
        <f t="shared" si="49"/>
        <v>0</v>
      </c>
      <c r="AA108" s="725">
        <f t="shared" si="50"/>
        <v>0</v>
      </c>
      <c r="AB108" s="725">
        <f t="shared" si="51"/>
        <v>1</v>
      </c>
      <c r="AC108" s="744">
        <f t="shared" si="52"/>
        <v>4705.8823529411766</v>
      </c>
      <c r="AD108" s="745">
        <f t="shared" si="53"/>
        <v>1568.6274509803923</v>
      </c>
      <c r="AE108" s="745">
        <f t="shared" si="54"/>
        <v>0</v>
      </c>
      <c r="AF108" s="745">
        <f t="shared" si="55"/>
        <v>0</v>
      </c>
      <c r="AG108" s="747">
        <f t="shared" si="56"/>
        <v>1633.9869281045751</v>
      </c>
      <c r="AH108" s="340"/>
      <c r="AI108" s="340"/>
      <c r="AJ108" s="461"/>
    </row>
    <row r="109" spans="1:36" s="321" customFormat="1" ht="11.25" customHeight="1" x14ac:dyDescent="0.25">
      <c r="A109" s="323" t="s">
        <v>378</v>
      </c>
      <c r="B109" s="324" t="s">
        <v>1835</v>
      </c>
      <c r="C109" s="324" t="s">
        <v>237</v>
      </c>
      <c r="D109" s="324" t="s">
        <v>1338</v>
      </c>
      <c r="E109" s="324" t="s">
        <v>251</v>
      </c>
      <c r="F109" s="325" t="s">
        <v>464</v>
      </c>
      <c r="G109" s="338" t="s">
        <v>1301</v>
      </c>
      <c r="H109" s="614">
        <v>70</v>
      </c>
      <c r="I109" s="611">
        <v>70</v>
      </c>
      <c r="J109" s="611">
        <v>70</v>
      </c>
      <c r="K109" s="611">
        <v>108</v>
      </c>
      <c r="L109" s="612">
        <v>0</v>
      </c>
      <c r="M109" s="610"/>
      <c r="N109" s="332"/>
      <c r="O109" s="332">
        <v>70</v>
      </c>
      <c r="P109" s="332">
        <v>108</v>
      </c>
      <c r="Q109" s="332"/>
      <c r="R109" s="657" t="s">
        <v>1838</v>
      </c>
      <c r="S109" s="332"/>
      <c r="T109" s="332"/>
      <c r="U109" s="332"/>
      <c r="V109" s="332"/>
      <c r="W109" s="332"/>
      <c r="X109" s="725">
        <f t="shared" si="47"/>
        <v>70</v>
      </c>
      <c r="Y109" s="725">
        <f t="shared" si="48"/>
        <v>70</v>
      </c>
      <c r="Z109" s="725">
        <f t="shared" si="49"/>
        <v>0</v>
      </c>
      <c r="AA109" s="725">
        <f t="shared" si="50"/>
        <v>0</v>
      </c>
      <c r="AB109" s="725">
        <f t="shared" si="51"/>
        <v>0</v>
      </c>
      <c r="AC109" s="744">
        <f t="shared" si="52"/>
        <v>54901.960784313727</v>
      </c>
      <c r="AD109" s="745">
        <f t="shared" si="53"/>
        <v>18300.65359477124</v>
      </c>
      <c r="AE109" s="745">
        <f t="shared" si="54"/>
        <v>0</v>
      </c>
      <c r="AF109" s="745">
        <f t="shared" si="55"/>
        <v>0</v>
      </c>
      <c r="AG109" s="747">
        <f t="shared" si="56"/>
        <v>0</v>
      </c>
      <c r="AH109" s="340"/>
      <c r="AI109" s="340"/>
      <c r="AJ109" s="461"/>
    </row>
    <row r="110" spans="1:36" s="321" customFormat="1" ht="11.25" customHeight="1" x14ac:dyDescent="0.25">
      <c r="A110" s="323" t="s">
        <v>378</v>
      </c>
      <c r="B110" s="324" t="s">
        <v>934</v>
      </c>
      <c r="C110" s="324" t="s">
        <v>237</v>
      </c>
      <c r="D110" s="324" t="s">
        <v>1339</v>
      </c>
      <c r="E110" s="324" t="s">
        <v>253</v>
      </c>
      <c r="F110" s="325" t="s">
        <v>464</v>
      </c>
      <c r="G110" s="456"/>
      <c r="H110" s="614"/>
      <c r="I110" s="611">
        <v>0</v>
      </c>
      <c r="J110" s="611"/>
      <c r="K110" s="611">
        <v>0</v>
      </c>
      <c r="L110" s="612">
        <v>0</v>
      </c>
      <c r="M110" s="610"/>
      <c r="N110" s="332"/>
      <c r="O110" s="332"/>
      <c r="P110" s="332"/>
      <c r="Q110" s="332"/>
      <c r="R110" s="657"/>
      <c r="S110" s="332"/>
      <c r="T110" s="332"/>
      <c r="U110" s="332"/>
      <c r="V110" s="332"/>
      <c r="W110" s="332"/>
      <c r="X110" s="725">
        <f t="shared" si="47"/>
        <v>0</v>
      </c>
      <c r="Y110" s="725">
        <f t="shared" si="48"/>
        <v>0</v>
      </c>
      <c r="Z110" s="725">
        <f t="shared" si="49"/>
        <v>0</v>
      </c>
      <c r="AA110" s="725">
        <f t="shared" si="50"/>
        <v>0</v>
      </c>
      <c r="AB110" s="725">
        <f t="shared" si="51"/>
        <v>0</v>
      </c>
      <c r="AC110" s="744">
        <f t="shared" si="52"/>
        <v>0</v>
      </c>
      <c r="AD110" s="745">
        <f t="shared" si="53"/>
        <v>0</v>
      </c>
      <c r="AE110" s="745">
        <f t="shared" si="54"/>
        <v>0</v>
      </c>
      <c r="AF110" s="745">
        <f t="shared" si="55"/>
        <v>0</v>
      </c>
      <c r="AG110" s="747">
        <f t="shared" si="56"/>
        <v>0</v>
      </c>
      <c r="AH110" s="340"/>
      <c r="AI110" s="340"/>
      <c r="AJ110" s="461"/>
    </row>
    <row r="111" spans="1:36" s="321" customFormat="1" ht="11.25" customHeight="1" x14ac:dyDescent="0.25">
      <c r="A111" s="323" t="s">
        <v>378</v>
      </c>
      <c r="B111" s="324" t="s">
        <v>1835</v>
      </c>
      <c r="C111" s="324" t="s">
        <v>237</v>
      </c>
      <c r="D111" s="324" t="s">
        <v>256</v>
      </c>
      <c r="E111" s="324" t="s">
        <v>255</v>
      </c>
      <c r="F111" s="325" t="s">
        <v>464</v>
      </c>
      <c r="G111" s="339"/>
      <c r="H111" s="614"/>
      <c r="I111" s="611"/>
      <c r="J111" s="611"/>
      <c r="K111" s="611"/>
      <c r="L111" s="612"/>
      <c r="M111" s="610"/>
      <c r="N111" s="332"/>
      <c r="O111" s="332"/>
      <c r="P111" s="332"/>
      <c r="Q111" s="332"/>
      <c r="R111" s="657"/>
      <c r="S111" s="332"/>
      <c r="T111" s="332"/>
      <c r="U111" s="332"/>
      <c r="V111" s="332"/>
      <c r="W111" s="332"/>
      <c r="X111" s="725">
        <f t="shared" si="47"/>
        <v>0</v>
      </c>
      <c r="Y111" s="725">
        <f t="shared" si="48"/>
        <v>0</v>
      </c>
      <c r="Z111" s="725">
        <f t="shared" si="49"/>
        <v>0</v>
      </c>
      <c r="AA111" s="725">
        <f t="shared" si="50"/>
        <v>0</v>
      </c>
      <c r="AB111" s="725">
        <f t="shared" si="51"/>
        <v>0</v>
      </c>
      <c r="AC111" s="744">
        <f t="shared" si="52"/>
        <v>0</v>
      </c>
      <c r="AD111" s="745">
        <f t="shared" si="53"/>
        <v>0</v>
      </c>
      <c r="AE111" s="745">
        <f t="shared" si="54"/>
        <v>0</v>
      </c>
      <c r="AF111" s="745">
        <f t="shared" si="55"/>
        <v>0</v>
      </c>
      <c r="AG111" s="747">
        <f t="shared" si="56"/>
        <v>0</v>
      </c>
      <c r="AH111" s="340"/>
      <c r="AI111" s="340"/>
      <c r="AJ111" s="461"/>
    </row>
    <row r="112" spans="1:36" s="321" customFormat="1" ht="11.25" customHeight="1" x14ac:dyDescent="0.25">
      <c r="A112" s="323" t="s">
        <v>378</v>
      </c>
      <c r="B112" s="324" t="s">
        <v>1835</v>
      </c>
      <c r="C112" s="324" t="s">
        <v>237</v>
      </c>
      <c r="D112" s="324" t="s">
        <v>240</v>
      </c>
      <c r="E112" s="324" t="s">
        <v>239</v>
      </c>
      <c r="F112" s="325" t="s">
        <v>464</v>
      </c>
      <c r="G112" s="456"/>
      <c r="H112" s="614">
        <v>50</v>
      </c>
      <c r="I112" s="611">
        <v>50</v>
      </c>
      <c r="J112" s="611"/>
      <c r="K112" s="611"/>
      <c r="L112" s="612">
        <v>1</v>
      </c>
      <c r="M112" s="610">
        <v>50</v>
      </c>
      <c r="N112" s="332">
        <v>50</v>
      </c>
      <c r="O112" s="332"/>
      <c r="P112" s="332"/>
      <c r="Q112" s="332"/>
      <c r="R112" s="657" t="s">
        <v>1840</v>
      </c>
      <c r="S112" s="332"/>
      <c r="T112" s="332"/>
      <c r="U112" s="332"/>
      <c r="V112" s="332"/>
      <c r="W112" s="332"/>
      <c r="X112" s="725">
        <f t="shared" si="47"/>
        <v>0</v>
      </c>
      <c r="Y112" s="725">
        <f t="shared" si="48"/>
        <v>0</v>
      </c>
      <c r="Z112" s="725">
        <f t="shared" si="49"/>
        <v>0</v>
      </c>
      <c r="AA112" s="725">
        <f t="shared" si="50"/>
        <v>0</v>
      </c>
      <c r="AB112" s="725">
        <f t="shared" si="51"/>
        <v>1</v>
      </c>
      <c r="AC112" s="744">
        <f t="shared" si="52"/>
        <v>0</v>
      </c>
      <c r="AD112" s="745">
        <f t="shared" si="53"/>
        <v>0</v>
      </c>
      <c r="AE112" s="745">
        <f t="shared" si="54"/>
        <v>0</v>
      </c>
      <c r="AF112" s="745">
        <f t="shared" si="55"/>
        <v>0</v>
      </c>
      <c r="AG112" s="747">
        <f t="shared" si="56"/>
        <v>1633.9869281045751</v>
      </c>
      <c r="AH112" s="340"/>
      <c r="AI112" s="340"/>
      <c r="AJ112" s="461"/>
    </row>
    <row r="113" spans="1:36" s="321" customFormat="1" ht="11.25" customHeight="1" x14ac:dyDescent="0.25">
      <c r="A113" s="323" t="s">
        <v>378</v>
      </c>
      <c r="B113" s="324" t="s">
        <v>1835</v>
      </c>
      <c r="C113" s="324" t="s">
        <v>237</v>
      </c>
      <c r="D113" s="324" t="s">
        <v>1340</v>
      </c>
      <c r="E113" s="324" t="s">
        <v>283</v>
      </c>
      <c r="F113" s="325" t="s">
        <v>464</v>
      </c>
      <c r="G113" s="339" t="s">
        <v>1301</v>
      </c>
      <c r="H113" s="614"/>
      <c r="I113" s="611"/>
      <c r="J113" s="611">
        <v>15</v>
      </c>
      <c r="K113" s="611">
        <v>15</v>
      </c>
      <c r="L113" s="612"/>
      <c r="M113" s="610"/>
      <c r="N113" s="332"/>
      <c r="O113" s="332"/>
      <c r="P113" s="332">
        <v>15</v>
      </c>
      <c r="Q113" s="332"/>
      <c r="R113" s="657" t="s">
        <v>1838</v>
      </c>
      <c r="S113" s="332"/>
      <c r="T113" s="332"/>
      <c r="U113" s="332"/>
      <c r="V113" s="332"/>
      <c r="W113" s="332"/>
      <c r="X113" s="725">
        <f t="shared" si="47"/>
        <v>0</v>
      </c>
      <c r="Y113" s="725">
        <f t="shared" si="48"/>
        <v>0</v>
      </c>
      <c r="Z113" s="725">
        <f t="shared" si="49"/>
        <v>15</v>
      </c>
      <c r="AA113" s="725">
        <f t="shared" si="50"/>
        <v>0</v>
      </c>
      <c r="AB113" s="725">
        <f t="shared" si="51"/>
        <v>0</v>
      </c>
      <c r="AC113" s="744">
        <f t="shared" si="52"/>
        <v>0</v>
      </c>
      <c r="AD113" s="745">
        <f t="shared" si="53"/>
        <v>0</v>
      </c>
      <c r="AE113" s="745">
        <f t="shared" si="54"/>
        <v>2450.9803921568628</v>
      </c>
      <c r="AF113" s="745">
        <f t="shared" si="55"/>
        <v>0</v>
      </c>
      <c r="AG113" s="747">
        <f t="shared" si="56"/>
        <v>0</v>
      </c>
      <c r="AH113" s="340"/>
      <c r="AI113" s="340"/>
      <c r="AJ113" s="461"/>
    </row>
    <row r="114" spans="1:36" s="321" customFormat="1" ht="11.25" customHeight="1" x14ac:dyDescent="0.25">
      <c r="A114" s="323" t="s">
        <v>378</v>
      </c>
      <c r="B114" s="324" t="s">
        <v>1835</v>
      </c>
      <c r="C114" s="324" t="s">
        <v>237</v>
      </c>
      <c r="D114" s="324" t="s">
        <v>258</v>
      </c>
      <c r="E114" s="324" t="s">
        <v>257</v>
      </c>
      <c r="F114" s="325" t="s">
        <v>464</v>
      </c>
      <c r="G114" s="456" t="s">
        <v>1576</v>
      </c>
      <c r="H114" s="614"/>
      <c r="I114" s="611"/>
      <c r="J114" s="611"/>
      <c r="K114" s="611"/>
      <c r="L114" s="612">
        <v>1</v>
      </c>
      <c r="M114" s="610"/>
      <c r="N114" s="332"/>
      <c r="O114" s="332"/>
      <c r="P114" s="332"/>
      <c r="Q114" s="332"/>
      <c r="R114" s="657"/>
      <c r="S114" s="332"/>
      <c r="T114" s="332"/>
      <c r="U114" s="332"/>
      <c r="V114" s="332"/>
      <c r="W114" s="332"/>
      <c r="X114" s="725">
        <f t="shared" si="47"/>
        <v>0</v>
      </c>
      <c r="Y114" s="725">
        <f t="shared" si="48"/>
        <v>0</v>
      </c>
      <c r="Z114" s="725">
        <f t="shared" si="49"/>
        <v>0</v>
      </c>
      <c r="AA114" s="725">
        <f t="shared" si="50"/>
        <v>0</v>
      </c>
      <c r="AB114" s="725">
        <f t="shared" si="51"/>
        <v>1</v>
      </c>
      <c r="AC114" s="744">
        <f t="shared" si="52"/>
        <v>0</v>
      </c>
      <c r="AD114" s="745">
        <f t="shared" si="53"/>
        <v>0</v>
      </c>
      <c r="AE114" s="745">
        <f t="shared" si="54"/>
        <v>0</v>
      </c>
      <c r="AF114" s="745">
        <f t="shared" si="55"/>
        <v>0</v>
      </c>
      <c r="AG114" s="747">
        <f t="shared" si="56"/>
        <v>1633.9869281045751</v>
      </c>
      <c r="AH114" s="340"/>
      <c r="AI114" s="340"/>
      <c r="AJ114" s="461"/>
    </row>
    <row r="115" spans="1:36" s="321" customFormat="1" ht="11.25" customHeight="1" x14ac:dyDescent="0.25">
      <c r="A115" s="323" t="s">
        <v>378</v>
      </c>
      <c r="B115" s="324" t="s">
        <v>1835</v>
      </c>
      <c r="C115" s="324" t="s">
        <v>237</v>
      </c>
      <c r="D115" s="324" t="s">
        <v>260</v>
      </c>
      <c r="E115" s="324" t="s">
        <v>259</v>
      </c>
      <c r="F115" s="325" t="s">
        <v>464</v>
      </c>
      <c r="G115" s="338" t="s">
        <v>1301</v>
      </c>
      <c r="H115" s="614">
        <v>10</v>
      </c>
      <c r="I115" s="611">
        <v>10</v>
      </c>
      <c r="J115" s="611"/>
      <c r="K115" s="611">
        <v>30</v>
      </c>
      <c r="L115" s="612"/>
      <c r="M115" s="610"/>
      <c r="N115" s="332"/>
      <c r="O115" s="332"/>
      <c r="P115" s="332">
        <v>30</v>
      </c>
      <c r="Q115" s="332"/>
      <c r="R115" s="657" t="s">
        <v>1838</v>
      </c>
      <c r="S115" s="332"/>
      <c r="T115" s="332"/>
      <c r="U115" s="332"/>
      <c r="V115" s="332"/>
      <c r="W115" s="332"/>
      <c r="X115" s="725">
        <f t="shared" si="47"/>
        <v>10</v>
      </c>
      <c r="Y115" s="725">
        <f t="shared" si="48"/>
        <v>10</v>
      </c>
      <c r="Z115" s="725">
        <f t="shared" si="49"/>
        <v>0</v>
      </c>
      <c r="AA115" s="725">
        <f t="shared" si="50"/>
        <v>0</v>
      </c>
      <c r="AB115" s="725">
        <f t="shared" si="51"/>
        <v>0</v>
      </c>
      <c r="AC115" s="744">
        <f t="shared" si="52"/>
        <v>7843.1372549019607</v>
      </c>
      <c r="AD115" s="745">
        <f t="shared" si="53"/>
        <v>2614.3790849673201</v>
      </c>
      <c r="AE115" s="745">
        <f t="shared" si="54"/>
        <v>0</v>
      </c>
      <c r="AF115" s="745">
        <f t="shared" si="55"/>
        <v>0</v>
      </c>
      <c r="AG115" s="747">
        <f t="shared" si="56"/>
        <v>0</v>
      </c>
      <c r="AH115" s="340"/>
      <c r="AI115" s="340"/>
      <c r="AJ115" s="461"/>
    </row>
    <row r="116" spans="1:36" s="321" customFormat="1" ht="11.25" customHeight="1" x14ac:dyDescent="0.25">
      <c r="A116" s="323" t="s">
        <v>378</v>
      </c>
      <c r="B116" s="324" t="s">
        <v>462</v>
      </c>
      <c r="C116" s="324" t="s">
        <v>237</v>
      </c>
      <c r="D116" s="324" t="s">
        <v>262</v>
      </c>
      <c r="E116" s="324" t="s">
        <v>261</v>
      </c>
      <c r="F116" s="325" t="s">
        <v>464</v>
      </c>
      <c r="G116" s="456"/>
      <c r="H116" s="614">
        <v>0</v>
      </c>
      <c r="I116" s="611"/>
      <c r="J116" s="611"/>
      <c r="K116" s="611"/>
      <c r="L116" s="612"/>
      <c r="M116" s="610"/>
      <c r="N116" s="332"/>
      <c r="O116" s="332"/>
      <c r="P116" s="332"/>
      <c r="Q116" s="332"/>
      <c r="R116" s="657"/>
      <c r="S116" s="332"/>
      <c r="T116" s="332"/>
      <c r="U116" s="332"/>
      <c r="V116" s="332"/>
      <c r="W116" s="332"/>
      <c r="X116" s="725">
        <f t="shared" si="47"/>
        <v>0</v>
      </c>
      <c r="Y116" s="725">
        <f t="shared" si="48"/>
        <v>0</v>
      </c>
      <c r="Z116" s="725">
        <f t="shared" si="49"/>
        <v>0</v>
      </c>
      <c r="AA116" s="725">
        <f t="shared" si="50"/>
        <v>0</v>
      </c>
      <c r="AB116" s="725">
        <f t="shared" si="51"/>
        <v>0</v>
      </c>
      <c r="AC116" s="744">
        <f t="shared" si="52"/>
        <v>0</v>
      </c>
      <c r="AD116" s="745">
        <f t="shared" si="53"/>
        <v>0</v>
      </c>
      <c r="AE116" s="745">
        <f t="shared" si="54"/>
        <v>0</v>
      </c>
      <c r="AF116" s="745">
        <f t="shared" si="55"/>
        <v>0</v>
      </c>
      <c r="AG116" s="747">
        <f t="shared" si="56"/>
        <v>0</v>
      </c>
      <c r="AH116" s="340"/>
      <c r="AI116" s="340"/>
      <c r="AJ116" s="461"/>
    </row>
    <row r="117" spans="1:36" s="321" customFormat="1" ht="11.25" customHeight="1" x14ac:dyDescent="0.25">
      <c r="A117" s="323" t="s">
        <v>378</v>
      </c>
      <c r="B117" s="324" t="s">
        <v>462</v>
      </c>
      <c r="C117" s="324" t="s">
        <v>237</v>
      </c>
      <c r="D117" s="324" t="s">
        <v>264</v>
      </c>
      <c r="E117" s="324" t="s">
        <v>263</v>
      </c>
      <c r="F117" s="325" t="s">
        <v>464</v>
      </c>
      <c r="G117" s="338"/>
      <c r="H117" s="614">
        <v>21</v>
      </c>
      <c r="I117" s="611"/>
      <c r="J117" s="611">
        <v>0</v>
      </c>
      <c r="K117" s="611"/>
      <c r="L117" s="612">
        <v>0</v>
      </c>
      <c r="M117" s="610"/>
      <c r="N117" s="332"/>
      <c r="O117" s="332"/>
      <c r="P117" s="332"/>
      <c r="Q117" s="332"/>
      <c r="R117" s="657"/>
      <c r="S117" s="332"/>
      <c r="T117" s="332"/>
      <c r="U117" s="332"/>
      <c r="V117" s="332"/>
      <c r="W117" s="332"/>
      <c r="X117" s="725">
        <f t="shared" si="47"/>
        <v>21</v>
      </c>
      <c r="Y117" s="725">
        <f t="shared" si="48"/>
        <v>0</v>
      </c>
      <c r="Z117" s="725">
        <f t="shared" si="49"/>
        <v>0</v>
      </c>
      <c r="AA117" s="725">
        <f t="shared" si="50"/>
        <v>0</v>
      </c>
      <c r="AB117" s="725">
        <f t="shared" si="51"/>
        <v>0</v>
      </c>
      <c r="AC117" s="744">
        <f t="shared" si="52"/>
        <v>16470.588235294119</v>
      </c>
      <c r="AD117" s="745">
        <f t="shared" si="53"/>
        <v>0</v>
      </c>
      <c r="AE117" s="745">
        <f t="shared" si="54"/>
        <v>0</v>
      </c>
      <c r="AF117" s="745">
        <f t="shared" si="55"/>
        <v>0</v>
      </c>
      <c r="AG117" s="747">
        <f t="shared" si="56"/>
        <v>0</v>
      </c>
      <c r="AH117" s="340"/>
      <c r="AI117" s="340"/>
      <c r="AJ117" s="461"/>
    </row>
    <row r="118" spans="1:36" s="321" customFormat="1" ht="11.25" customHeight="1" x14ac:dyDescent="0.25">
      <c r="A118" s="323" t="s">
        <v>378</v>
      </c>
      <c r="B118" s="324" t="s">
        <v>934</v>
      </c>
      <c r="C118" s="324" t="s">
        <v>237</v>
      </c>
      <c r="D118" s="324" t="s">
        <v>1341</v>
      </c>
      <c r="E118" s="324" t="s">
        <v>269</v>
      </c>
      <c r="F118" s="325" t="s">
        <v>464</v>
      </c>
      <c r="G118" s="456" t="s">
        <v>1301</v>
      </c>
      <c r="H118" s="614">
        <v>0</v>
      </c>
      <c r="I118" s="611">
        <v>0</v>
      </c>
      <c r="J118" s="611">
        <v>0</v>
      </c>
      <c r="K118" s="611">
        <v>50</v>
      </c>
      <c r="L118" s="612">
        <v>0</v>
      </c>
      <c r="M118" s="610"/>
      <c r="N118" s="332"/>
      <c r="O118" s="332"/>
      <c r="P118" s="332"/>
      <c r="Q118" s="332"/>
      <c r="R118" s="657"/>
      <c r="S118" s="332"/>
      <c r="T118" s="332"/>
      <c r="U118" s="332"/>
      <c r="V118" s="332"/>
      <c r="W118" s="332"/>
      <c r="X118" s="725">
        <f t="shared" si="47"/>
        <v>0</v>
      </c>
      <c r="Y118" s="725">
        <f t="shared" si="48"/>
        <v>0</v>
      </c>
      <c r="Z118" s="725">
        <f t="shared" si="49"/>
        <v>0</v>
      </c>
      <c r="AA118" s="725">
        <f t="shared" si="50"/>
        <v>50</v>
      </c>
      <c r="AB118" s="725">
        <f t="shared" si="51"/>
        <v>0</v>
      </c>
      <c r="AC118" s="744">
        <f t="shared" si="52"/>
        <v>0</v>
      </c>
      <c r="AD118" s="745">
        <f t="shared" si="53"/>
        <v>0</v>
      </c>
      <c r="AE118" s="745">
        <f t="shared" si="54"/>
        <v>0</v>
      </c>
      <c r="AF118" s="745">
        <f t="shared" si="55"/>
        <v>1633.9869281045751</v>
      </c>
      <c r="AG118" s="747">
        <f t="shared" si="56"/>
        <v>0</v>
      </c>
      <c r="AH118" s="340"/>
      <c r="AI118" s="340"/>
      <c r="AJ118" s="461"/>
    </row>
    <row r="119" spans="1:36" s="321" customFormat="1" ht="11.25" customHeight="1" x14ac:dyDescent="0.25">
      <c r="A119" s="323" t="s">
        <v>378</v>
      </c>
      <c r="B119" s="324" t="s">
        <v>1835</v>
      </c>
      <c r="C119" s="324" t="s">
        <v>237</v>
      </c>
      <c r="D119" s="324" t="s">
        <v>1342</v>
      </c>
      <c r="E119" s="324" t="s">
        <v>267</v>
      </c>
      <c r="F119" s="325" t="s">
        <v>464</v>
      </c>
      <c r="G119" s="338"/>
      <c r="H119" s="614"/>
      <c r="I119" s="611"/>
      <c r="J119" s="611">
        <v>0</v>
      </c>
      <c r="K119" s="611">
        <v>0</v>
      </c>
      <c r="L119" s="612">
        <v>0</v>
      </c>
      <c r="M119" s="610"/>
      <c r="N119" s="332"/>
      <c r="O119" s="332"/>
      <c r="P119" s="332"/>
      <c r="Q119" s="332"/>
      <c r="R119" s="657"/>
      <c r="S119" s="332"/>
      <c r="T119" s="332"/>
      <c r="U119" s="332"/>
      <c r="V119" s="332"/>
      <c r="W119" s="332"/>
      <c r="X119" s="725">
        <f t="shared" si="47"/>
        <v>0</v>
      </c>
      <c r="Y119" s="725">
        <f t="shared" si="48"/>
        <v>0</v>
      </c>
      <c r="Z119" s="725">
        <f t="shared" si="49"/>
        <v>0</v>
      </c>
      <c r="AA119" s="725">
        <f t="shared" si="50"/>
        <v>0</v>
      </c>
      <c r="AB119" s="725">
        <f t="shared" si="51"/>
        <v>0</v>
      </c>
      <c r="AC119" s="744">
        <f t="shared" si="52"/>
        <v>0</v>
      </c>
      <c r="AD119" s="745">
        <f t="shared" si="53"/>
        <v>0</v>
      </c>
      <c r="AE119" s="745">
        <f t="shared" si="54"/>
        <v>0</v>
      </c>
      <c r="AF119" s="745">
        <f t="shared" si="55"/>
        <v>0</v>
      </c>
      <c r="AG119" s="747">
        <f t="shared" si="56"/>
        <v>0</v>
      </c>
      <c r="AH119" s="340"/>
      <c r="AI119" s="340"/>
      <c r="AJ119" s="461"/>
    </row>
    <row r="120" spans="1:36" s="321" customFormat="1" ht="11.25" customHeight="1" x14ac:dyDescent="0.25">
      <c r="A120" s="323" t="s">
        <v>378</v>
      </c>
      <c r="B120" s="324" t="s">
        <v>934</v>
      </c>
      <c r="C120" s="324" t="s">
        <v>237</v>
      </c>
      <c r="D120" s="324" t="s">
        <v>1343</v>
      </c>
      <c r="E120" s="324" t="s">
        <v>271</v>
      </c>
      <c r="F120" s="325" t="s">
        <v>464</v>
      </c>
      <c r="G120" s="456" t="s">
        <v>1301</v>
      </c>
      <c r="H120" s="614">
        <v>30</v>
      </c>
      <c r="I120" s="611">
        <v>30</v>
      </c>
      <c r="J120" s="611">
        <v>0</v>
      </c>
      <c r="K120" s="611">
        <v>31</v>
      </c>
      <c r="L120" s="612">
        <v>1</v>
      </c>
      <c r="M120" s="610"/>
      <c r="N120" s="332"/>
      <c r="O120" s="332"/>
      <c r="P120" s="332"/>
      <c r="Q120" s="332"/>
      <c r="R120" s="657"/>
      <c r="S120" s="332"/>
      <c r="T120" s="332"/>
      <c r="U120" s="332"/>
      <c r="V120" s="332"/>
      <c r="W120" s="332"/>
      <c r="X120" s="725">
        <f t="shared" si="47"/>
        <v>30</v>
      </c>
      <c r="Y120" s="725">
        <f t="shared" si="48"/>
        <v>30</v>
      </c>
      <c r="Z120" s="725">
        <f t="shared" si="49"/>
        <v>0</v>
      </c>
      <c r="AA120" s="725">
        <f t="shared" si="50"/>
        <v>31</v>
      </c>
      <c r="AB120" s="725">
        <f t="shared" si="51"/>
        <v>1</v>
      </c>
      <c r="AC120" s="744">
        <f t="shared" si="52"/>
        <v>23529.411764705881</v>
      </c>
      <c r="AD120" s="745">
        <f t="shared" si="53"/>
        <v>7843.1372549019607</v>
      </c>
      <c r="AE120" s="745">
        <f t="shared" si="54"/>
        <v>0</v>
      </c>
      <c r="AF120" s="745">
        <f t="shared" si="55"/>
        <v>1013.0718954248366</v>
      </c>
      <c r="AG120" s="747">
        <f t="shared" si="56"/>
        <v>1633.9869281045751</v>
      </c>
      <c r="AH120" s="340"/>
      <c r="AI120" s="340"/>
      <c r="AJ120" s="461"/>
    </row>
    <row r="121" spans="1:36" s="321" customFormat="1" ht="11.25" customHeight="1" x14ac:dyDescent="0.25">
      <c r="A121" s="323" t="s">
        <v>378</v>
      </c>
      <c r="B121" s="324" t="s">
        <v>934</v>
      </c>
      <c r="C121" s="324" t="s">
        <v>237</v>
      </c>
      <c r="D121" s="324" t="s">
        <v>1683</v>
      </c>
      <c r="E121" s="324" t="s">
        <v>650</v>
      </c>
      <c r="F121" s="325" t="s">
        <v>464</v>
      </c>
      <c r="G121" s="456"/>
      <c r="H121" s="614">
        <v>131</v>
      </c>
      <c r="I121" s="611">
        <v>131</v>
      </c>
      <c r="J121" s="611"/>
      <c r="K121" s="611"/>
      <c r="L121" s="612"/>
      <c r="M121" s="610"/>
      <c r="N121" s="332"/>
      <c r="O121" s="332"/>
      <c r="P121" s="332"/>
      <c r="Q121" s="332"/>
      <c r="R121" s="657"/>
      <c r="S121" s="332"/>
      <c r="T121" s="332"/>
      <c r="U121" s="332"/>
      <c r="V121" s="332"/>
      <c r="W121" s="332"/>
      <c r="X121" s="725">
        <f t="shared" si="47"/>
        <v>131</v>
      </c>
      <c r="Y121" s="725">
        <f t="shared" si="48"/>
        <v>131</v>
      </c>
      <c r="Z121" s="725">
        <f t="shared" si="49"/>
        <v>0</v>
      </c>
      <c r="AA121" s="725">
        <f t="shared" si="50"/>
        <v>0</v>
      </c>
      <c r="AB121" s="725">
        <f t="shared" si="51"/>
        <v>0</v>
      </c>
      <c r="AC121" s="744">
        <f t="shared" si="52"/>
        <v>102745.09803921569</v>
      </c>
      <c r="AD121" s="745">
        <f t="shared" si="53"/>
        <v>34248.366013071893</v>
      </c>
      <c r="AE121" s="745">
        <f t="shared" si="54"/>
        <v>0</v>
      </c>
      <c r="AF121" s="745">
        <f t="shared" si="55"/>
        <v>0</v>
      </c>
      <c r="AG121" s="747">
        <f t="shared" si="56"/>
        <v>0</v>
      </c>
      <c r="AH121" s="340"/>
      <c r="AI121" s="340"/>
      <c r="AJ121" s="461"/>
    </row>
    <row r="122" spans="1:36" s="321" customFormat="1" ht="11.25" customHeight="1" x14ac:dyDescent="0.25">
      <c r="A122" s="323" t="s">
        <v>378</v>
      </c>
      <c r="B122" s="324" t="s">
        <v>1835</v>
      </c>
      <c r="C122" s="324" t="s">
        <v>237</v>
      </c>
      <c r="D122" s="324" t="s">
        <v>276</v>
      </c>
      <c r="E122" s="324" t="s">
        <v>275</v>
      </c>
      <c r="F122" s="325" t="s">
        <v>464</v>
      </c>
      <c r="G122" s="339"/>
      <c r="H122" s="614"/>
      <c r="I122" s="611">
        <v>0</v>
      </c>
      <c r="J122" s="611"/>
      <c r="K122" s="611"/>
      <c r="L122" s="612">
        <v>1</v>
      </c>
      <c r="M122" s="610"/>
      <c r="N122" s="332"/>
      <c r="O122" s="332"/>
      <c r="P122" s="332"/>
      <c r="Q122" s="332"/>
      <c r="R122" s="657"/>
      <c r="S122" s="332"/>
      <c r="T122" s="332"/>
      <c r="U122" s="332"/>
      <c r="V122" s="332"/>
      <c r="W122" s="332"/>
      <c r="X122" s="725">
        <f t="shared" si="47"/>
        <v>0</v>
      </c>
      <c r="Y122" s="725">
        <f t="shared" si="48"/>
        <v>0</v>
      </c>
      <c r="Z122" s="725">
        <f t="shared" si="49"/>
        <v>0</v>
      </c>
      <c r="AA122" s="725">
        <f t="shared" si="50"/>
        <v>0</v>
      </c>
      <c r="AB122" s="725">
        <f t="shared" si="51"/>
        <v>1</v>
      </c>
      <c r="AC122" s="744">
        <f t="shared" si="52"/>
        <v>0</v>
      </c>
      <c r="AD122" s="745">
        <f t="shared" si="53"/>
        <v>0</v>
      </c>
      <c r="AE122" s="745">
        <f t="shared" si="54"/>
        <v>0</v>
      </c>
      <c r="AF122" s="745">
        <f t="shared" si="55"/>
        <v>0</v>
      </c>
      <c r="AG122" s="747">
        <f t="shared" si="56"/>
        <v>1633.9869281045751</v>
      </c>
      <c r="AH122" s="340"/>
      <c r="AI122" s="340"/>
      <c r="AJ122" s="461"/>
    </row>
    <row r="123" spans="1:36" s="321" customFormat="1" ht="11.25" customHeight="1" x14ac:dyDescent="0.25">
      <c r="A123" s="323" t="s">
        <v>378</v>
      </c>
      <c r="B123" s="324" t="s">
        <v>1835</v>
      </c>
      <c r="C123" s="324" t="s">
        <v>237</v>
      </c>
      <c r="D123" s="324" t="s">
        <v>280</v>
      </c>
      <c r="E123" s="324" t="s">
        <v>279</v>
      </c>
      <c r="F123" s="325" t="s">
        <v>464</v>
      </c>
      <c r="G123" s="456"/>
      <c r="H123" s="614"/>
      <c r="I123" s="611"/>
      <c r="J123" s="611">
        <v>70</v>
      </c>
      <c r="K123" s="611"/>
      <c r="L123" s="612">
        <v>0</v>
      </c>
      <c r="M123" s="610"/>
      <c r="N123" s="332"/>
      <c r="O123" s="332">
        <v>70</v>
      </c>
      <c r="P123" s="332"/>
      <c r="Q123" s="332"/>
      <c r="R123" s="657" t="s">
        <v>1838</v>
      </c>
      <c r="S123" s="332"/>
      <c r="T123" s="332"/>
      <c r="U123" s="332"/>
      <c r="V123" s="332"/>
      <c r="W123" s="332"/>
      <c r="X123" s="725">
        <f t="shared" si="47"/>
        <v>0</v>
      </c>
      <c r="Y123" s="725">
        <f t="shared" si="48"/>
        <v>0</v>
      </c>
      <c r="Z123" s="725">
        <f t="shared" si="49"/>
        <v>0</v>
      </c>
      <c r="AA123" s="725">
        <f t="shared" si="50"/>
        <v>0</v>
      </c>
      <c r="AB123" s="725">
        <f t="shared" si="51"/>
        <v>0</v>
      </c>
      <c r="AC123" s="744">
        <f t="shared" si="52"/>
        <v>0</v>
      </c>
      <c r="AD123" s="745">
        <f t="shared" si="53"/>
        <v>0</v>
      </c>
      <c r="AE123" s="745">
        <f t="shared" si="54"/>
        <v>0</v>
      </c>
      <c r="AF123" s="745">
        <f t="shared" si="55"/>
        <v>0</v>
      </c>
      <c r="AG123" s="747">
        <f t="shared" si="56"/>
        <v>0</v>
      </c>
      <c r="AH123" s="340"/>
      <c r="AI123" s="340"/>
      <c r="AJ123" s="461"/>
    </row>
    <row r="124" spans="1:36" s="321" customFormat="1" ht="11.25" customHeight="1" x14ac:dyDescent="0.25">
      <c r="A124" s="323" t="s">
        <v>378</v>
      </c>
      <c r="B124" s="324" t="s">
        <v>934</v>
      </c>
      <c r="C124" s="324" t="s">
        <v>237</v>
      </c>
      <c r="D124" s="324" t="s">
        <v>1506</v>
      </c>
      <c r="E124" s="324" t="s">
        <v>1536</v>
      </c>
      <c r="F124" s="325" t="s">
        <v>464</v>
      </c>
      <c r="G124" s="456" t="s">
        <v>1451</v>
      </c>
      <c r="H124" s="614"/>
      <c r="I124" s="611"/>
      <c r="J124" s="611"/>
      <c r="K124" s="611"/>
      <c r="L124" s="612"/>
      <c r="M124" s="610"/>
      <c r="N124" s="332"/>
      <c r="O124" s="332"/>
      <c r="P124" s="332"/>
      <c r="Q124" s="332"/>
      <c r="R124" s="657"/>
      <c r="S124" s="332"/>
      <c r="T124" s="332"/>
      <c r="U124" s="332"/>
      <c r="V124" s="332"/>
      <c r="W124" s="332"/>
      <c r="X124" s="725">
        <f t="shared" si="47"/>
        <v>0</v>
      </c>
      <c r="Y124" s="725">
        <f t="shared" si="48"/>
        <v>0</v>
      </c>
      <c r="Z124" s="725">
        <f t="shared" si="49"/>
        <v>0</v>
      </c>
      <c r="AA124" s="725">
        <f t="shared" si="50"/>
        <v>0</v>
      </c>
      <c r="AB124" s="725">
        <f t="shared" si="51"/>
        <v>0</v>
      </c>
      <c r="AC124" s="744">
        <f t="shared" si="52"/>
        <v>0</v>
      </c>
      <c r="AD124" s="745">
        <f t="shared" si="53"/>
        <v>0</v>
      </c>
      <c r="AE124" s="745">
        <f t="shared" si="54"/>
        <v>0</v>
      </c>
      <c r="AF124" s="745">
        <f t="shared" si="55"/>
        <v>0</v>
      </c>
      <c r="AG124" s="747">
        <f t="shared" si="56"/>
        <v>0</v>
      </c>
      <c r="AH124" s="340"/>
      <c r="AI124" s="340"/>
      <c r="AJ124" s="461"/>
    </row>
    <row r="125" spans="1:36" s="321" customFormat="1" ht="11.25" customHeight="1" x14ac:dyDescent="0.25">
      <c r="A125" s="323" t="s">
        <v>378</v>
      </c>
      <c r="B125" s="324" t="s">
        <v>1835</v>
      </c>
      <c r="C125" s="324" t="s">
        <v>237</v>
      </c>
      <c r="D125" s="324" t="s">
        <v>238</v>
      </c>
      <c r="E125" s="324" t="s">
        <v>236</v>
      </c>
      <c r="F125" s="325" t="s">
        <v>464</v>
      </c>
      <c r="G125" s="339"/>
      <c r="H125" s="614">
        <v>0</v>
      </c>
      <c r="I125" s="611">
        <v>0</v>
      </c>
      <c r="J125" s="611"/>
      <c r="K125" s="611">
        <v>33</v>
      </c>
      <c r="L125" s="612"/>
      <c r="M125" s="610"/>
      <c r="N125" s="332"/>
      <c r="O125" s="332"/>
      <c r="P125" s="332">
        <v>33</v>
      </c>
      <c r="Q125" s="332"/>
      <c r="R125" s="657" t="s">
        <v>1838</v>
      </c>
      <c r="S125" s="332"/>
      <c r="T125" s="332"/>
      <c r="U125" s="332"/>
      <c r="V125" s="332"/>
      <c r="W125" s="332"/>
      <c r="X125" s="725">
        <f t="shared" si="47"/>
        <v>0</v>
      </c>
      <c r="Y125" s="725">
        <f t="shared" si="48"/>
        <v>0</v>
      </c>
      <c r="Z125" s="725">
        <f t="shared" si="49"/>
        <v>0</v>
      </c>
      <c r="AA125" s="725">
        <f t="shared" si="50"/>
        <v>0</v>
      </c>
      <c r="AB125" s="725">
        <f t="shared" si="51"/>
        <v>0</v>
      </c>
      <c r="AC125" s="744">
        <f t="shared" si="52"/>
        <v>0</v>
      </c>
      <c r="AD125" s="745">
        <f t="shared" si="53"/>
        <v>0</v>
      </c>
      <c r="AE125" s="745">
        <f t="shared" si="54"/>
        <v>0</v>
      </c>
      <c r="AF125" s="745">
        <f t="shared" si="55"/>
        <v>0</v>
      </c>
      <c r="AG125" s="747">
        <f t="shared" si="56"/>
        <v>0</v>
      </c>
      <c r="AH125" s="340"/>
      <c r="AI125" s="340"/>
      <c r="AJ125" s="461"/>
    </row>
    <row r="126" spans="1:36" s="321" customFormat="1" ht="11.25" customHeight="1" x14ac:dyDescent="0.25">
      <c r="A126" s="323" t="s">
        <v>378</v>
      </c>
      <c r="B126" s="324" t="s">
        <v>462</v>
      </c>
      <c r="C126" s="324" t="s">
        <v>237</v>
      </c>
      <c r="D126" s="324" t="s">
        <v>1029</v>
      </c>
      <c r="E126" s="324" t="s">
        <v>241</v>
      </c>
      <c r="F126" s="325" t="s">
        <v>464</v>
      </c>
      <c r="G126" s="456"/>
      <c r="H126" s="614">
        <v>3</v>
      </c>
      <c r="I126" s="611">
        <v>3</v>
      </c>
      <c r="J126" s="611">
        <v>20</v>
      </c>
      <c r="K126" s="611">
        <v>8</v>
      </c>
      <c r="L126" s="612"/>
      <c r="M126" s="610"/>
      <c r="N126" s="332"/>
      <c r="O126" s="332"/>
      <c r="P126" s="332"/>
      <c r="Q126" s="332"/>
      <c r="R126" s="657"/>
      <c r="S126" s="332"/>
      <c r="T126" s="332"/>
      <c r="U126" s="332"/>
      <c r="V126" s="332"/>
      <c r="W126" s="332"/>
      <c r="X126" s="725">
        <f t="shared" si="47"/>
        <v>3</v>
      </c>
      <c r="Y126" s="725">
        <f t="shared" si="48"/>
        <v>3</v>
      </c>
      <c r="Z126" s="725">
        <f t="shared" si="49"/>
        <v>20</v>
      </c>
      <c r="AA126" s="725">
        <f t="shared" si="50"/>
        <v>8</v>
      </c>
      <c r="AB126" s="725">
        <f t="shared" si="51"/>
        <v>0</v>
      </c>
      <c r="AC126" s="744">
        <f t="shared" si="52"/>
        <v>2352.9411764705883</v>
      </c>
      <c r="AD126" s="745">
        <f t="shared" si="53"/>
        <v>784.31372549019613</v>
      </c>
      <c r="AE126" s="745">
        <f t="shared" si="54"/>
        <v>3267.9738562091502</v>
      </c>
      <c r="AF126" s="745">
        <f t="shared" si="55"/>
        <v>261.43790849673201</v>
      </c>
      <c r="AG126" s="747">
        <f t="shared" si="56"/>
        <v>0</v>
      </c>
      <c r="AH126" s="340"/>
      <c r="AI126" s="340"/>
      <c r="AJ126" s="461"/>
    </row>
    <row r="127" spans="1:36" s="321" customFormat="1" ht="11.25" customHeight="1" x14ac:dyDescent="0.25">
      <c r="A127" s="323" t="s">
        <v>378</v>
      </c>
      <c r="B127" s="324" t="s">
        <v>1835</v>
      </c>
      <c r="C127" s="324" t="s">
        <v>237</v>
      </c>
      <c r="D127" s="324" t="s">
        <v>1688</v>
      </c>
      <c r="E127" s="324" t="s">
        <v>1618</v>
      </c>
      <c r="F127" s="325" t="s">
        <v>464</v>
      </c>
      <c r="G127" s="456"/>
      <c r="H127" s="614"/>
      <c r="I127" s="614"/>
      <c r="J127" s="611"/>
      <c r="K127" s="611"/>
      <c r="L127" s="612"/>
      <c r="M127" s="610"/>
      <c r="N127" s="332"/>
      <c r="O127" s="332"/>
      <c r="P127" s="332"/>
      <c r="Q127" s="332"/>
      <c r="R127" s="657"/>
      <c r="S127" s="332"/>
      <c r="T127" s="332"/>
      <c r="U127" s="332"/>
      <c r="V127" s="332"/>
      <c r="W127" s="332"/>
      <c r="X127" s="725">
        <f t="shared" si="47"/>
        <v>0</v>
      </c>
      <c r="Y127" s="725">
        <f t="shared" si="48"/>
        <v>0</v>
      </c>
      <c r="Z127" s="725">
        <f t="shared" si="49"/>
        <v>0</v>
      </c>
      <c r="AA127" s="725">
        <f t="shared" si="50"/>
        <v>0</v>
      </c>
      <c r="AB127" s="725">
        <f t="shared" si="51"/>
        <v>0</v>
      </c>
      <c r="AC127" s="744">
        <f t="shared" si="52"/>
        <v>0</v>
      </c>
      <c r="AD127" s="745">
        <f t="shared" si="53"/>
        <v>0</v>
      </c>
      <c r="AE127" s="745">
        <f t="shared" si="54"/>
        <v>0</v>
      </c>
      <c r="AF127" s="745">
        <f t="shared" si="55"/>
        <v>0</v>
      </c>
      <c r="AG127" s="747">
        <f t="shared" si="56"/>
        <v>0</v>
      </c>
      <c r="AH127" s="340"/>
      <c r="AI127" s="340"/>
      <c r="AJ127" s="461" t="s">
        <v>1678</v>
      </c>
    </row>
    <row r="128" spans="1:36" s="321" customFormat="1" ht="11.25" customHeight="1" x14ac:dyDescent="0.25">
      <c r="A128" s="323" t="s">
        <v>378</v>
      </c>
      <c r="B128" s="324" t="s">
        <v>1322</v>
      </c>
      <c r="C128" s="324" t="s">
        <v>237</v>
      </c>
      <c r="D128" s="324" t="s">
        <v>1634</v>
      </c>
      <c r="E128" s="324" t="s">
        <v>1619</v>
      </c>
      <c r="F128" s="325" t="s">
        <v>464</v>
      </c>
      <c r="G128" s="456"/>
      <c r="H128" s="614"/>
      <c r="I128" s="614"/>
      <c r="J128" s="611"/>
      <c r="K128" s="611"/>
      <c r="L128" s="612"/>
      <c r="M128" s="610"/>
      <c r="N128" s="332"/>
      <c r="O128" s="332"/>
      <c r="P128" s="332"/>
      <c r="Q128" s="332"/>
      <c r="R128" s="657"/>
      <c r="S128" s="332"/>
      <c r="T128" s="332"/>
      <c r="U128" s="332"/>
      <c r="V128" s="332"/>
      <c r="W128" s="332"/>
      <c r="X128" s="725">
        <f t="shared" si="47"/>
        <v>0</v>
      </c>
      <c r="Y128" s="725">
        <f t="shared" si="48"/>
        <v>0</v>
      </c>
      <c r="Z128" s="725">
        <f t="shared" si="49"/>
        <v>0</v>
      </c>
      <c r="AA128" s="725">
        <f t="shared" si="50"/>
        <v>0</v>
      </c>
      <c r="AB128" s="725">
        <f t="shared" si="51"/>
        <v>0</v>
      </c>
      <c r="AC128" s="744">
        <f t="shared" si="52"/>
        <v>0</v>
      </c>
      <c r="AD128" s="745">
        <f t="shared" si="53"/>
        <v>0</v>
      </c>
      <c r="AE128" s="745">
        <f t="shared" si="54"/>
        <v>0</v>
      </c>
      <c r="AF128" s="745">
        <f t="shared" si="55"/>
        <v>0</v>
      </c>
      <c r="AG128" s="747">
        <f t="shared" si="56"/>
        <v>0</v>
      </c>
      <c r="AH128" s="340"/>
      <c r="AI128" s="340"/>
      <c r="AJ128" s="461"/>
    </row>
    <row r="129" spans="1:36" s="321" customFormat="1" ht="11.25" customHeight="1" x14ac:dyDescent="0.25">
      <c r="A129" s="323" t="s">
        <v>378</v>
      </c>
      <c r="B129" s="324" t="s">
        <v>462</v>
      </c>
      <c r="C129" s="324" t="s">
        <v>237</v>
      </c>
      <c r="D129" s="324" t="s">
        <v>248</v>
      </c>
      <c r="E129" s="324" t="s">
        <v>247</v>
      </c>
      <c r="F129" s="325" t="s">
        <v>464</v>
      </c>
      <c r="G129" s="339"/>
      <c r="H129" s="614">
        <v>0</v>
      </c>
      <c r="I129" s="611">
        <v>0</v>
      </c>
      <c r="J129" s="611"/>
      <c r="K129" s="611"/>
      <c r="L129" s="612"/>
      <c r="M129" s="610"/>
      <c r="N129" s="332"/>
      <c r="O129" s="332"/>
      <c r="P129" s="332"/>
      <c r="Q129" s="332"/>
      <c r="R129" s="657"/>
      <c r="S129" s="332"/>
      <c r="T129" s="332"/>
      <c r="U129" s="332"/>
      <c r="V129" s="332"/>
      <c r="W129" s="332"/>
      <c r="X129" s="725">
        <f t="shared" si="47"/>
        <v>0</v>
      </c>
      <c r="Y129" s="725">
        <f t="shared" si="48"/>
        <v>0</v>
      </c>
      <c r="Z129" s="725">
        <f t="shared" si="49"/>
        <v>0</v>
      </c>
      <c r="AA129" s="725">
        <f t="shared" si="50"/>
        <v>0</v>
      </c>
      <c r="AB129" s="725">
        <f t="shared" si="51"/>
        <v>0</v>
      </c>
      <c r="AC129" s="744">
        <f t="shared" si="52"/>
        <v>0</v>
      </c>
      <c r="AD129" s="745">
        <f t="shared" si="53"/>
        <v>0</v>
      </c>
      <c r="AE129" s="745">
        <f t="shared" si="54"/>
        <v>0</v>
      </c>
      <c r="AF129" s="745">
        <f t="shared" si="55"/>
        <v>0</v>
      </c>
      <c r="AG129" s="747">
        <f t="shared" si="56"/>
        <v>0</v>
      </c>
      <c r="AH129" s="340"/>
      <c r="AI129" s="340"/>
      <c r="AJ129" s="461"/>
    </row>
    <row r="130" spans="1:36" s="321" customFormat="1" ht="11.25" customHeight="1" x14ac:dyDescent="0.25">
      <c r="A130" s="323" t="s">
        <v>378</v>
      </c>
      <c r="B130" s="324" t="s">
        <v>1835</v>
      </c>
      <c r="C130" s="324" t="s">
        <v>237</v>
      </c>
      <c r="D130" s="324" t="s">
        <v>250</v>
      </c>
      <c r="E130" s="324" t="s">
        <v>249</v>
      </c>
      <c r="F130" s="325" t="s">
        <v>464</v>
      </c>
      <c r="G130" s="456"/>
      <c r="H130" s="614"/>
      <c r="I130" s="611"/>
      <c r="J130" s="611"/>
      <c r="K130" s="611">
        <v>9</v>
      </c>
      <c r="L130" s="612"/>
      <c r="M130" s="610"/>
      <c r="N130" s="332"/>
      <c r="O130" s="332">
        <v>9</v>
      </c>
      <c r="P130" s="332"/>
      <c r="Q130" s="332"/>
      <c r="R130" s="657" t="s">
        <v>1838</v>
      </c>
      <c r="S130" s="332"/>
      <c r="T130" s="332"/>
      <c r="U130" s="332"/>
      <c r="V130" s="332"/>
      <c r="W130" s="332"/>
      <c r="X130" s="725">
        <f t="shared" si="47"/>
        <v>0</v>
      </c>
      <c r="Y130" s="725">
        <f t="shared" si="48"/>
        <v>0</v>
      </c>
      <c r="Z130" s="725">
        <f t="shared" si="49"/>
        <v>-9</v>
      </c>
      <c r="AA130" s="725">
        <f t="shared" si="50"/>
        <v>9</v>
      </c>
      <c r="AB130" s="725">
        <f t="shared" si="51"/>
        <v>0</v>
      </c>
      <c r="AC130" s="744">
        <f t="shared" si="52"/>
        <v>0</v>
      </c>
      <c r="AD130" s="745">
        <f t="shared" si="53"/>
        <v>0</v>
      </c>
      <c r="AE130" s="745">
        <f t="shared" si="54"/>
        <v>-1470.5882352941176</v>
      </c>
      <c r="AF130" s="745">
        <f t="shared" si="55"/>
        <v>294.11764705882354</v>
      </c>
      <c r="AG130" s="747">
        <f t="shared" si="56"/>
        <v>0</v>
      </c>
      <c r="AH130" s="340"/>
      <c r="AI130" s="340"/>
      <c r="AJ130" s="461" t="s">
        <v>1325</v>
      </c>
    </row>
    <row r="131" spans="1:36" s="321" customFormat="1" ht="11.25" customHeight="1" x14ac:dyDescent="0.25">
      <c r="A131" s="323" t="s">
        <v>378</v>
      </c>
      <c r="B131" s="324" t="s">
        <v>1835</v>
      </c>
      <c r="C131" s="324" t="s">
        <v>237</v>
      </c>
      <c r="D131" s="324" t="s">
        <v>274</v>
      </c>
      <c r="E131" s="324" t="s">
        <v>273</v>
      </c>
      <c r="F131" s="325" t="s">
        <v>464</v>
      </c>
      <c r="G131" s="339" t="s">
        <v>1454</v>
      </c>
      <c r="H131" s="614">
        <v>32</v>
      </c>
      <c r="I131" s="611">
        <v>32</v>
      </c>
      <c r="J131" s="611"/>
      <c r="K131" s="611">
        <v>0</v>
      </c>
      <c r="L131" s="612">
        <v>1</v>
      </c>
      <c r="M131" s="610">
        <v>32</v>
      </c>
      <c r="N131" s="332">
        <v>32</v>
      </c>
      <c r="O131" s="332"/>
      <c r="P131" s="332"/>
      <c r="Q131" s="332">
        <v>1</v>
      </c>
      <c r="R131" s="657" t="s">
        <v>1930</v>
      </c>
      <c r="S131" s="332"/>
      <c r="T131" s="332"/>
      <c r="U131" s="332"/>
      <c r="V131" s="332"/>
      <c r="W131" s="332"/>
      <c r="X131" s="725">
        <f t="shared" si="47"/>
        <v>0</v>
      </c>
      <c r="Y131" s="725">
        <f t="shared" si="48"/>
        <v>0</v>
      </c>
      <c r="Z131" s="725">
        <f t="shared" si="49"/>
        <v>0</v>
      </c>
      <c r="AA131" s="725">
        <f t="shared" si="50"/>
        <v>0</v>
      </c>
      <c r="AB131" s="725">
        <f t="shared" si="51"/>
        <v>0</v>
      </c>
      <c r="AC131" s="744">
        <f t="shared" si="52"/>
        <v>0</v>
      </c>
      <c r="AD131" s="745">
        <f t="shared" si="53"/>
        <v>0</v>
      </c>
      <c r="AE131" s="745">
        <f t="shared" si="54"/>
        <v>0</v>
      </c>
      <c r="AF131" s="745">
        <f t="shared" si="55"/>
        <v>0</v>
      </c>
      <c r="AG131" s="747">
        <f t="shared" si="56"/>
        <v>0</v>
      </c>
      <c r="AH131" s="340"/>
      <c r="AI131" s="340"/>
      <c r="AJ131" s="461"/>
    </row>
    <row r="132" spans="1:36" s="321" customFormat="1" ht="11.25" customHeight="1" x14ac:dyDescent="0.25">
      <c r="A132" s="323" t="s">
        <v>378</v>
      </c>
      <c r="B132" s="324" t="s">
        <v>1835</v>
      </c>
      <c r="C132" s="324" t="s">
        <v>237</v>
      </c>
      <c r="D132" s="324" t="s">
        <v>1712</v>
      </c>
      <c r="E132" s="324" t="s">
        <v>1653</v>
      </c>
      <c r="F132" s="325" t="s">
        <v>464</v>
      </c>
      <c r="G132" s="339"/>
      <c r="H132" s="614">
        <v>30</v>
      </c>
      <c r="I132" s="611">
        <v>30</v>
      </c>
      <c r="J132" s="611"/>
      <c r="K132" s="611"/>
      <c r="L132" s="612">
        <v>1</v>
      </c>
      <c r="M132" s="610"/>
      <c r="N132" s="332"/>
      <c r="O132" s="332"/>
      <c r="P132" s="332"/>
      <c r="Q132" s="332"/>
      <c r="R132" s="657"/>
      <c r="S132" s="332"/>
      <c r="T132" s="332"/>
      <c r="U132" s="332"/>
      <c r="V132" s="332"/>
      <c r="W132" s="332"/>
      <c r="X132" s="725">
        <f t="shared" si="47"/>
        <v>30</v>
      </c>
      <c r="Y132" s="725">
        <f t="shared" si="48"/>
        <v>30</v>
      </c>
      <c r="Z132" s="725">
        <f t="shared" si="49"/>
        <v>0</v>
      </c>
      <c r="AA132" s="725">
        <f t="shared" si="50"/>
        <v>0</v>
      </c>
      <c r="AB132" s="725">
        <f t="shared" si="51"/>
        <v>1</v>
      </c>
      <c r="AC132" s="744">
        <f t="shared" si="52"/>
        <v>23529.411764705881</v>
      </c>
      <c r="AD132" s="745">
        <f t="shared" si="53"/>
        <v>7843.1372549019607</v>
      </c>
      <c r="AE132" s="745">
        <f t="shared" si="54"/>
        <v>0</v>
      </c>
      <c r="AF132" s="745">
        <f t="shared" si="55"/>
        <v>0</v>
      </c>
      <c r="AG132" s="747">
        <f t="shared" si="56"/>
        <v>1633.9869281045751</v>
      </c>
      <c r="AH132" s="340"/>
      <c r="AI132" s="340"/>
      <c r="AJ132" s="461"/>
    </row>
    <row r="133" spans="1:36" s="321" customFormat="1" ht="11.25" customHeight="1" x14ac:dyDescent="0.25">
      <c r="A133" s="323" t="s">
        <v>378</v>
      </c>
      <c r="B133" s="324" t="s">
        <v>1322</v>
      </c>
      <c r="C133" s="345" t="s">
        <v>237</v>
      </c>
      <c r="D133" s="324" t="s">
        <v>1660</v>
      </c>
      <c r="E133" s="324" t="s">
        <v>1655</v>
      </c>
      <c r="F133" s="325" t="s">
        <v>464</v>
      </c>
      <c r="G133" s="339"/>
      <c r="H133" s="614">
        <v>8</v>
      </c>
      <c r="I133" s="611">
        <v>8</v>
      </c>
      <c r="J133" s="611"/>
      <c r="K133" s="611"/>
      <c r="L133" s="612"/>
      <c r="M133" s="610"/>
      <c r="N133" s="332"/>
      <c r="O133" s="332"/>
      <c r="P133" s="332"/>
      <c r="Q133" s="332"/>
      <c r="R133" s="657"/>
      <c r="S133" s="332"/>
      <c r="T133" s="332"/>
      <c r="U133" s="332"/>
      <c r="V133" s="332"/>
      <c r="W133" s="332"/>
      <c r="X133" s="725">
        <f t="shared" ref="X133:X182" si="88">H133-M133</f>
        <v>8</v>
      </c>
      <c r="Y133" s="725">
        <f t="shared" ref="Y133:Y182" si="89">I133-N133</f>
        <v>8</v>
      </c>
      <c r="Z133" s="725">
        <f t="shared" ref="Z133:Z182" si="90">J133-O133</f>
        <v>0</v>
      </c>
      <c r="AA133" s="725">
        <f t="shared" ref="AA133:AA182" si="91">K133-P133</f>
        <v>0</v>
      </c>
      <c r="AB133" s="725">
        <f t="shared" ref="AB133:AB182" si="92">L133-Q133</f>
        <v>0</v>
      </c>
      <c r="AC133" s="744">
        <f t="shared" ref="AC133:AC182" si="93">(X133*1200000)/1530</f>
        <v>6274.5098039215691</v>
      </c>
      <c r="AD133" s="745">
        <f t="shared" ref="AD133:AD182" si="94">(Y133*400000)/1530</f>
        <v>2091.5032679738561</v>
      </c>
      <c r="AE133" s="745">
        <f t="shared" ref="AE133:AE182" si="95">(Z133*250000)/1530</f>
        <v>0</v>
      </c>
      <c r="AF133" s="745">
        <f t="shared" ref="AF133:AF182" si="96">(AA133*50000)/1530</f>
        <v>0</v>
      </c>
      <c r="AG133" s="747">
        <f t="shared" ref="AG133:AG182" si="97">(AB133*2500000)/1530</f>
        <v>0</v>
      </c>
      <c r="AH133" s="340"/>
      <c r="AI133" s="340"/>
      <c r="AJ133" s="461"/>
    </row>
    <row r="134" spans="1:36" s="321" customFormat="1" ht="11.25" customHeight="1" x14ac:dyDescent="0.25">
      <c r="A134" s="323" t="s">
        <v>378</v>
      </c>
      <c r="B134" s="324" t="s">
        <v>462</v>
      </c>
      <c r="C134" s="324" t="s">
        <v>237</v>
      </c>
      <c r="D134" s="324" t="s">
        <v>278</v>
      </c>
      <c r="E134" s="324" t="s">
        <v>277</v>
      </c>
      <c r="F134" s="325" t="s">
        <v>464</v>
      </c>
      <c r="G134" s="456"/>
      <c r="H134" s="614">
        <v>0</v>
      </c>
      <c r="I134" s="611">
        <v>0</v>
      </c>
      <c r="J134" s="611"/>
      <c r="K134" s="611">
        <v>5</v>
      </c>
      <c r="L134" s="612"/>
      <c r="M134" s="610"/>
      <c r="N134" s="332"/>
      <c r="O134" s="332"/>
      <c r="P134" s="332"/>
      <c r="Q134" s="332"/>
      <c r="R134" s="657"/>
      <c r="S134" s="332"/>
      <c r="T134" s="332"/>
      <c r="U134" s="332"/>
      <c r="V134" s="332"/>
      <c r="W134" s="332"/>
      <c r="X134" s="725">
        <f t="shared" si="88"/>
        <v>0</v>
      </c>
      <c r="Y134" s="725">
        <f t="shared" si="89"/>
        <v>0</v>
      </c>
      <c r="Z134" s="725">
        <f t="shared" si="90"/>
        <v>0</v>
      </c>
      <c r="AA134" s="725">
        <f t="shared" si="91"/>
        <v>5</v>
      </c>
      <c r="AB134" s="725">
        <f t="shared" si="92"/>
        <v>0</v>
      </c>
      <c r="AC134" s="744">
        <f t="shared" si="93"/>
        <v>0</v>
      </c>
      <c r="AD134" s="745">
        <f t="shared" si="94"/>
        <v>0</v>
      </c>
      <c r="AE134" s="745">
        <f t="shared" si="95"/>
        <v>0</v>
      </c>
      <c r="AF134" s="745">
        <f t="shared" si="96"/>
        <v>163.3986928104575</v>
      </c>
      <c r="AG134" s="747">
        <f t="shared" si="97"/>
        <v>0</v>
      </c>
      <c r="AH134" s="340"/>
      <c r="AI134" s="340"/>
      <c r="AJ134" s="461"/>
    </row>
    <row r="135" spans="1:36" s="321" customFormat="1" ht="11.25" customHeight="1" x14ac:dyDescent="0.25">
      <c r="A135" s="326" t="s">
        <v>3</v>
      </c>
      <c r="B135" s="327"/>
      <c r="C135" s="327"/>
      <c r="D135" s="328"/>
      <c r="E135" s="329"/>
      <c r="F135" s="330"/>
      <c r="G135" s="464"/>
      <c r="H135" s="799">
        <f>SUM(H108:H134)</f>
        <v>391</v>
      </c>
      <c r="I135" s="799">
        <f t="shared" ref="I135:AI135" si="98">SUM(I108:I134)</f>
        <v>370</v>
      </c>
      <c r="J135" s="799">
        <f t="shared" si="98"/>
        <v>196</v>
      </c>
      <c r="K135" s="799">
        <f t="shared" si="98"/>
        <v>289</v>
      </c>
      <c r="L135" s="799">
        <f t="shared" si="98"/>
        <v>7</v>
      </c>
      <c r="M135" s="799">
        <f t="shared" si="98"/>
        <v>82</v>
      </c>
      <c r="N135" s="799">
        <f t="shared" si="98"/>
        <v>82</v>
      </c>
      <c r="O135" s="799">
        <f t="shared" si="98"/>
        <v>170</v>
      </c>
      <c r="P135" s="799">
        <f t="shared" si="98"/>
        <v>186</v>
      </c>
      <c r="Q135" s="799">
        <f t="shared" si="98"/>
        <v>1</v>
      </c>
      <c r="R135" s="331">
        <f t="shared" si="98"/>
        <v>0</v>
      </c>
      <c r="S135" s="331">
        <f t="shared" si="98"/>
        <v>0</v>
      </c>
      <c r="T135" s="331">
        <f t="shared" si="98"/>
        <v>0</v>
      </c>
      <c r="U135" s="331">
        <f t="shared" si="98"/>
        <v>0</v>
      </c>
      <c r="V135" s="331">
        <f t="shared" si="98"/>
        <v>0</v>
      </c>
      <c r="W135" s="331">
        <f t="shared" si="98"/>
        <v>0</v>
      </c>
      <c r="X135" s="331">
        <f t="shared" ref="X135" si="99">SUM(X108:X134)</f>
        <v>309</v>
      </c>
      <c r="Y135" s="331">
        <f t="shared" ref="Y135" si="100">SUM(Y108:Y134)</f>
        <v>288</v>
      </c>
      <c r="Z135" s="331">
        <f t="shared" ref="Z135" si="101">SUM(Z108:Z134)</f>
        <v>26</v>
      </c>
      <c r="AA135" s="331">
        <f t="shared" ref="AA135" si="102">SUM(AA108:AA134)</f>
        <v>103</v>
      </c>
      <c r="AB135" s="331">
        <f t="shared" ref="AB135:AG135" si="103">SUM(AB108:AB134)</f>
        <v>6</v>
      </c>
      <c r="AC135" s="746">
        <f t="shared" si="103"/>
        <v>242352.9411764706</v>
      </c>
      <c r="AD135" s="746">
        <f t="shared" si="103"/>
        <v>75294.117647058811</v>
      </c>
      <c r="AE135" s="746">
        <f t="shared" si="103"/>
        <v>4248.3660130718963</v>
      </c>
      <c r="AF135" s="746">
        <f t="shared" si="103"/>
        <v>3366.0130718954247</v>
      </c>
      <c r="AG135" s="746">
        <f t="shared" si="103"/>
        <v>9803.9215686274511</v>
      </c>
      <c r="AH135" s="331">
        <f t="shared" si="98"/>
        <v>0</v>
      </c>
      <c r="AI135" s="331">
        <f t="shared" si="98"/>
        <v>0</v>
      </c>
      <c r="AJ135" s="461"/>
    </row>
    <row r="136" spans="1:36" s="321" customFormat="1" ht="11.25" customHeight="1" x14ac:dyDescent="0.25">
      <c r="A136" s="323" t="s">
        <v>1310</v>
      </c>
      <c r="B136" s="324" t="s">
        <v>1817</v>
      </c>
      <c r="C136" s="324" t="s">
        <v>1344</v>
      </c>
      <c r="D136" s="324" t="s">
        <v>291</v>
      </c>
      <c r="E136" s="324" t="s">
        <v>290</v>
      </c>
      <c r="F136" s="325" t="s">
        <v>464</v>
      </c>
      <c r="G136" s="456"/>
      <c r="H136" s="614">
        <v>5</v>
      </c>
      <c r="I136" s="611">
        <v>5</v>
      </c>
      <c r="J136" s="611">
        <v>58</v>
      </c>
      <c r="K136" s="611">
        <v>41</v>
      </c>
      <c r="L136" s="612"/>
      <c r="M136" s="610"/>
      <c r="N136" s="332"/>
      <c r="O136" s="332"/>
      <c r="P136" s="332"/>
      <c r="Q136" s="332"/>
      <c r="R136" s="657"/>
      <c r="S136" s="332"/>
      <c r="T136" s="332"/>
      <c r="U136" s="332"/>
      <c r="V136" s="332"/>
      <c r="W136" s="332"/>
      <c r="X136" s="725">
        <f t="shared" si="88"/>
        <v>5</v>
      </c>
      <c r="Y136" s="725">
        <f t="shared" si="89"/>
        <v>5</v>
      </c>
      <c r="Z136" s="725">
        <f t="shared" si="90"/>
        <v>58</v>
      </c>
      <c r="AA136" s="725">
        <f t="shared" si="91"/>
        <v>41</v>
      </c>
      <c r="AB136" s="725">
        <f t="shared" si="92"/>
        <v>0</v>
      </c>
      <c r="AC136" s="744">
        <f t="shared" si="93"/>
        <v>3921.5686274509803</v>
      </c>
      <c r="AD136" s="745">
        <f t="shared" si="94"/>
        <v>1307.18954248366</v>
      </c>
      <c r="AE136" s="745">
        <f t="shared" si="95"/>
        <v>9477.1241830065355</v>
      </c>
      <c r="AF136" s="745">
        <f t="shared" si="96"/>
        <v>1339.8692810457517</v>
      </c>
      <c r="AG136" s="747">
        <f t="shared" si="97"/>
        <v>0</v>
      </c>
      <c r="AH136" s="340"/>
      <c r="AI136" s="340"/>
      <c r="AJ136" s="461" t="s">
        <v>1591</v>
      </c>
    </row>
    <row r="137" spans="1:36" s="321" customFormat="1" ht="11.25" customHeight="1" x14ac:dyDescent="0.25">
      <c r="A137" s="323" t="s">
        <v>1310</v>
      </c>
      <c r="B137" s="324" t="s">
        <v>1817</v>
      </c>
      <c r="C137" s="324" t="s">
        <v>1344</v>
      </c>
      <c r="D137" s="324" t="s">
        <v>289</v>
      </c>
      <c r="E137" s="324" t="s">
        <v>287</v>
      </c>
      <c r="F137" s="325" t="s">
        <v>464</v>
      </c>
      <c r="G137" s="339" t="s">
        <v>1454</v>
      </c>
      <c r="H137" s="614">
        <v>8</v>
      </c>
      <c r="I137" s="611">
        <v>60</v>
      </c>
      <c r="J137" s="611">
        <v>60</v>
      </c>
      <c r="K137" s="611">
        <v>5</v>
      </c>
      <c r="L137" s="612"/>
      <c r="M137" s="610"/>
      <c r="N137" s="332"/>
      <c r="O137" s="332"/>
      <c r="P137" s="332"/>
      <c r="Q137" s="332"/>
      <c r="R137" s="657"/>
      <c r="S137" s="332"/>
      <c r="T137" s="332"/>
      <c r="U137" s="332"/>
      <c r="V137" s="332"/>
      <c r="W137" s="332"/>
      <c r="X137" s="725">
        <f t="shared" si="88"/>
        <v>8</v>
      </c>
      <c r="Y137" s="725">
        <f t="shared" si="89"/>
        <v>60</v>
      </c>
      <c r="Z137" s="725">
        <f t="shared" si="90"/>
        <v>60</v>
      </c>
      <c r="AA137" s="725">
        <f t="shared" si="91"/>
        <v>5</v>
      </c>
      <c r="AB137" s="725">
        <f t="shared" si="92"/>
        <v>0</v>
      </c>
      <c r="AC137" s="744">
        <f t="shared" si="93"/>
        <v>6274.5098039215691</v>
      </c>
      <c r="AD137" s="745">
        <f t="shared" si="94"/>
        <v>15686.274509803921</v>
      </c>
      <c r="AE137" s="745">
        <f t="shared" si="95"/>
        <v>9803.9215686274511</v>
      </c>
      <c r="AF137" s="745">
        <f t="shared" si="96"/>
        <v>163.3986928104575</v>
      </c>
      <c r="AG137" s="747">
        <f t="shared" si="97"/>
        <v>0</v>
      </c>
      <c r="AH137" s="340"/>
      <c r="AI137" s="340"/>
      <c r="AJ137" s="461"/>
    </row>
    <row r="138" spans="1:36" s="321" customFormat="1" ht="11.25" customHeight="1" x14ac:dyDescent="0.25">
      <c r="A138" s="323" t="s">
        <v>1310</v>
      </c>
      <c r="B138" s="324" t="s">
        <v>1817</v>
      </c>
      <c r="C138" s="324" t="s">
        <v>1344</v>
      </c>
      <c r="D138" s="324" t="s">
        <v>1345</v>
      </c>
      <c r="E138" s="324" t="s">
        <v>904</v>
      </c>
      <c r="F138" s="325" t="s">
        <v>464</v>
      </c>
      <c r="G138" s="456"/>
      <c r="H138" s="614"/>
      <c r="I138" s="611"/>
      <c r="J138" s="611"/>
      <c r="K138" s="611"/>
      <c r="L138" s="612"/>
      <c r="M138" s="610"/>
      <c r="N138" s="332"/>
      <c r="O138" s="332"/>
      <c r="P138" s="332"/>
      <c r="Q138" s="332"/>
      <c r="R138" s="657"/>
      <c r="S138" s="332"/>
      <c r="T138" s="332"/>
      <c r="U138" s="332"/>
      <c r="V138" s="332"/>
      <c r="W138" s="332"/>
      <c r="X138" s="725">
        <f t="shared" si="88"/>
        <v>0</v>
      </c>
      <c r="Y138" s="725">
        <f t="shared" si="89"/>
        <v>0</v>
      </c>
      <c r="Z138" s="725">
        <f t="shared" si="90"/>
        <v>0</v>
      </c>
      <c r="AA138" s="725">
        <f t="shared" si="91"/>
        <v>0</v>
      </c>
      <c r="AB138" s="725">
        <f t="shared" si="92"/>
        <v>0</v>
      </c>
      <c r="AC138" s="744">
        <f t="shared" si="93"/>
        <v>0</v>
      </c>
      <c r="AD138" s="745">
        <f t="shared" si="94"/>
        <v>0</v>
      </c>
      <c r="AE138" s="745">
        <f t="shared" si="95"/>
        <v>0</v>
      </c>
      <c r="AF138" s="745">
        <f t="shared" si="96"/>
        <v>0</v>
      </c>
      <c r="AG138" s="747">
        <f t="shared" si="97"/>
        <v>0</v>
      </c>
      <c r="AH138" s="340"/>
      <c r="AI138" s="340"/>
      <c r="AJ138" s="461"/>
    </row>
    <row r="139" spans="1:36" s="321" customFormat="1" ht="11.25" customHeight="1" x14ac:dyDescent="0.25">
      <c r="A139" s="323" t="s">
        <v>1310</v>
      </c>
      <c r="B139" s="324" t="s">
        <v>1817</v>
      </c>
      <c r="C139" s="324" t="s">
        <v>1344</v>
      </c>
      <c r="D139" s="324" t="s">
        <v>1346</v>
      </c>
      <c r="E139" s="324" t="s">
        <v>908</v>
      </c>
      <c r="F139" s="325" t="s">
        <v>464</v>
      </c>
      <c r="G139" s="458" t="s">
        <v>1451</v>
      </c>
      <c r="H139" s="614"/>
      <c r="I139" s="611">
        <v>104</v>
      </c>
      <c r="J139" s="611"/>
      <c r="K139" s="611">
        <v>6</v>
      </c>
      <c r="L139" s="612"/>
      <c r="M139" s="610"/>
      <c r="N139" s="332"/>
      <c r="O139" s="332"/>
      <c r="P139" s="332"/>
      <c r="Q139" s="332"/>
      <c r="R139" s="657"/>
      <c r="S139" s="332"/>
      <c r="T139" s="332"/>
      <c r="U139" s="332"/>
      <c r="V139" s="332"/>
      <c r="W139" s="332"/>
      <c r="X139" s="725">
        <f t="shared" si="88"/>
        <v>0</v>
      </c>
      <c r="Y139" s="725">
        <f t="shared" si="89"/>
        <v>104</v>
      </c>
      <c r="Z139" s="725">
        <f t="shared" si="90"/>
        <v>0</v>
      </c>
      <c r="AA139" s="725">
        <f t="shared" si="91"/>
        <v>6</v>
      </c>
      <c r="AB139" s="725">
        <f t="shared" si="92"/>
        <v>0</v>
      </c>
      <c r="AC139" s="744">
        <f t="shared" si="93"/>
        <v>0</v>
      </c>
      <c r="AD139" s="745">
        <f t="shared" si="94"/>
        <v>27189.542483660131</v>
      </c>
      <c r="AE139" s="745">
        <f t="shared" si="95"/>
        <v>0</v>
      </c>
      <c r="AF139" s="745">
        <f t="shared" si="96"/>
        <v>196.07843137254903</v>
      </c>
      <c r="AG139" s="747">
        <f t="shared" si="97"/>
        <v>0</v>
      </c>
      <c r="AH139" s="340"/>
      <c r="AI139" s="340"/>
      <c r="AJ139" s="461"/>
    </row>
    <row r="140" spans="1:36" s="321" customFormat="1" ht="11.25" customHeight="1" x14ac:dyDescent="0.25">
      <c r="A140" s="323" t="s">
        <v>1310</v>
      </c>
      <c r="B140" s="324" t="s">
        <v>1322</v>
      </c>
      <c r="C140" s="324" t="s">
        <v>1344</v>
      </c>
      <c r="D140" s="324" t="s">
        <v>1139</v>
      </c>
      <c r="E140" s="324" t="s">
        <v>1123</v>
      </c>
      <c r="F140" s="325" t="s">
        <v>464</v>
      </c>
      <c r="G140" s="456"/>
      <c r="H140" s="614">
        <v>96</v>
      </c>
      <c r="I140" s="332">
        <v>96</v>
      </c>
      <c r="J140" s="332"/>
      <c r="K140" s="611"/>
      <c r="L140" s="612"/>
      <c r="M140" s="610">
        <v>30</v>
      </c>
      <c r="N140" s="332">
        <v>30</v>
      </c>
      <c r="O140" s="332"/>
      <c r="P140" s="332"/>
      <c r="Q140" s="332"/>
      <c r="R140" s="657" t="s">
        <v>778</v>
      </c>
      <c r="S140" s="332"/>
      <c r="T140" s="332"/>
      <c r="U140" s="332"/>
      <c r="V140" s="332"/>
      <c r="W140" s="332"/>
      <c r="X140" s="725">
        <f t="shared" si="88"/>
        <v>66</v>
      </c>
      <c r="Y140" s="725">
        <f t="shared" si="89"/>
        <v>66</v>
      </c>
      <c r="Z140" s="725">
        <f t="shared" si="90"/>
        <v>0</v>
      </c>
      <c r="AA140" s="725">
        <f t="shared" si="91"/>
        <v>0</v>
      </c>
      <c r="AB140" s="725">
        <f t="shared" si="92"/>
        <v>0</v>
      </c>
      <c r="AC140" s="744">
        <f t="shared" si="93"/>
        <v>51764.705882352944</v>
      </c>
      <c r="AD140" s="745">
        <f t="shared" si="94"/>
        <v>17254.901960784315</v>
      </c>
      <c r="AE140" s="745">
        <f t="shared" si="95"/>
        <v>0</v>
      </c>
      <c r="AF140" s="745">
        <f t="shared" si="96"/>
        <v>0</v>
      </c>
      <c r="AG140" s="747">
        <f t="shared" si="97"/>
        <v>0</v>
      </c>
      <c r="AH140" s="340"/>
      <c r="AI140" s="340"/>
      <c r="AJ140" s="461"/>
    </row>
    <row r="141" spans="1:36" s="321" customFormat="1" ht="11.25" customHeight="1" x14ac:dyDescent="0.25">
      <c r="A141" s="323" t="s">
        <v>1310</v>
      </c>
      <c r="B141" s="324" t="s">
        <v>1046</v>
      </c>
      <c r="C141" s="324" t="s">
        <v>1344</v>
      </c>
      <c r="D141" s="324" t="s">
        <v>1347</v>
      </c>
      <c r="E141" s="324" t="s">
        <v>294</v>
      </c>
      <c r="F141" s="325" t="s">
        <v>464</v>
      </c>
      <c r="G141" s="456"/>
      <c r="H141" s="614"/>
      <c r="I141" s="611"/>
      <c r="J141" s="611">
        <v>43</v>
      </c>
      <c r="K141" s="611"/>
      <c r="L141" s="612"/>
      <c r="M141" s="610"/>
      <c r="N141" s="332"/>
      <c r="O141" s="332"/>
      <c r="P141" s="332"/>
      <c r="Q141" s="332"/>
      <c r="R141" s="657"/>
      <c r="S141" s="332"/>
      <c r="T141" s="332"/>
      <c r="U141" s="332"/>
      <c r="V141" s="332"/>
      <c r="W141" s="332"/>
      <c r="X141" s="725">
        <f t="shared" si="88"/>
        <v>0</v>
      </c>
      <c r="Y141" s="725">
        <f t="shared" si="89"/>
        <v>0</v>
      </c>
      <c r="Z141" s="725">
        <f t="shared" si="90"/>
        <v>43</v>
      </c>
      <c r="AA141" s="725">
        <f t="shared" si="91"/>
        <v>0</v>
      </c>
      <c r="AB141" s="725">
        <f t="shared" si="92"/>
        <v>0</v>
      </c>
      <c r="AC141" s="744">
        <f t="shared" si="93"/>
        <v>0</v>
      </c>
      <c r="AD141" s="745">
        <f t="shared" si="94"/>
        <v>0</v>
      </c>
      <c r="AE141" s="745">
        <f t="shared" si="95"/>
        <v>7026.1437908496728</v>
      </c>
      <c r="AF141" s="745">
        <f t="shared" si="96"/>
        <v>0</v>
      </c>
      <c r="AG141" s="747">
        <f t="shared" si="97"/>
        <v>0</v>
      </c>
      <c r="AH141" s="340"/>
      <c r="AI141" s="340"/>
      <c r="AJ141" s="461" t="s">
        <v>1348</v>
      </c>
    </row>
    <row r="142" spans="1:36" s="321" customFormat="1" ht="11.25" customHeight="1" x14ac:dyDescent="0.25">
      <c r="A142" s="326" t="s">
        <v>3</v>
      </c>
      <c r="B142" s="327"/>
      <c r="C142" s="327"/>
      <c r="D142" s="328"/>
      <c r="E142" s="329"/>
      <c r="F142" s="330"/>
      <c r="G142" s="464"/>
      <c r="H142" s="799">
        <f>SUM(H136:H141)</f>
        <v>109</v>
      </c>
      <c r="I142" s="799">
        <f t="shared" ref="I142:AI142" si="104">SUM(I136:I141)</f>
        <v>265</v>
      </c>
      <c r="J142" s="799">
        <f t="shared" si="104"/>
        <v>161</v>
      </c>
      <c r="K142" s="799">
        <f t="shared" si="104"/>
        <v>52</v>
      </c>
      <c r="L142" s="799">
        <f t="shared" si="104"/>
        <v>0</v>
      </c>
      <c r="M142" s="799">
        <f t="shared" si="104"/>
        <v>30</v>
      </c>
      <c r="N142" s="799">
        <f t="shared" si="104"/>
        <v>30</v>
      </c>
      <c r="O142" s="799">
        <f t="shared" si="104"/>
        <v>0</v>
      </c>
      <c r="P142" s="799">
        <f t="shared" si="104"/>
        <v>0</v>
      </c>
      <c r="Q142" s="799">
        <f t="shared" si="104"/>
        <v>0</v>
      </c>
      <c r="R142" s="331">
        <f t="shared" si="104"/>
        <v>0</v>
      </c>
      <c r="S142" s="331">
        <f t="shared" si="104"/>
        <v>0</v>
      </c>
      <c r="T142" s="331">
        <f t="shared" si="104"/>
        <v>0</v>
      </c>
      <c r="U142" s="331">
        <f t="shared" si="104"/>
        <v>0</v>
      </c>
      <c r="V142" s="331">
        <f t="shared" si="104"/>
        <v>0</v>
      </c>
      <c r="W142" s="331">
        <f t="shared" si="104"/>
        <v>0</v>
      </c>
      <c r="X142" s="331">
        <f t="shared" ref="X142" si="105">SUM(X136:X141)</f>
        <v>79</v>
      </c>
      <c r="Y142" s="331">
        <f t="shared" ref="Y142" si="106">SUM(Y136:Y141)</f>
        <v>235</v>
      </c>
      <c r="Z142" s="331">
        <f t="shared" ref="Z142" si="107">SUM(Z136:Z141)</f>
        <v>161</v>
      </c>
      <c r="AA142" s="331">
        <f t="shared" ref="AA142" si="108">SUM(AA136:AA141)</f>
        <v>52</v>
      </c>
      <c r="AB142" s="331">
        <f t="shared" ref="AB142:AH142" si="109">SUM(AB136:AB141)</f>
        <v>0</v>
      </c>
      <c r="AC142" s="746">
        <f t="shared" si="109"/>
        <v>61960.784313725497</v>
      </c>
      <c r="AD142" s="746">
        <f t="shared" si="109"/>
        <v>61437.90849673203</v>
      </c>
      <c r="AE142" s="746">
        <f t="shared" si="109"/>
        <v>26307.189542483662</v>
      </c>
      <c r="AF142" s="746">
        <f t="shared" si="109"/>
        <v>1699.3464052287582</v>
      </c>
      <c r="AG142" s="746">
        <f t="shared" si="109"/>
        <v>0</v>
      </c>
      <c r="AH142" s="331">
        <f t="shared" si="109"/>
        <v>0</v>
      </c>
      <c r="AI142" s="331">
        <f t="shared" si="104"/>
        <v>0</v>
      </c>
      <c r="AJ142" s="461"/>
    </row>
    <row r="143" spans="1:36" s="321" customFormat="1" ht="11.25" customHeight="1" x14ac:dyDescent="0.25">
      <c r="A143" s="323" t="s">
        <v>1310</v>
      </c>
      <c r="B143" s="324" t="s">
        <v>1046</v>
      </c>
      <c r="C143" s="324" t="s">
        <v>297</v>
      </c>
      <c r="D143" s="324" t="s">
        <v>1135</v>
      </c>
      <c r="E143" s="324" t="s">
        <v>1120</v>
      </c>
      <c r="F143" s="325" t="s">
        <v>464</v>
      </c>
      <c r="G143" s="456" t="s">
        <v>1301</v>
      </c>
      <c r="H143" s="614">
        <v>6</v>
      </c>
      <c r="I143" s="611">
        <v>6</v>
      </c>
      <c r="J143" s="611"/>
      <c r="K143" s="611"/>
      <c r="L143" s="612"/>
      <c r="M143" s="610">
        <v>6</v>
      </c>
      <c r="N143" s="332">
        <v>6</v>
      </c>
      <c r="O143" s="332"/>
      <c r="P143" s="332"/>
      <c r="Q143" s="332"/>
      <c r="R143" s="657" t="s">
        <v>778</v>
      </c>
      <c r="S143" s="332"/>
      <c r="T143" s="332"/>
      <c r="U143" s="332"/>
      <c r="V143" s="332"/>
      <c r="W143" s="332"/>
      <c r="X143" s="725">
        <f t="shared" si="88"/>
        <v>0</v>
      </c>
      <c r="Y143" s="725">
        <f t="shared" si="89"/>
        <v>0</v>
      </c>
      <c r="Z143" s="725">
        <f t="shared" si="90"/>
        <v>0</v>
      </c>
      <c r="AA143" s="725">
        <f t="shared" si="91"/>
        <v>0</v>
      </c>
      <c r="AB143" s="725">
        <f t="shared" si="92"/>
        <v>0</v>
      </c>
      <c r="AC143" s="744">
        <f t="shared" si="93"/>
        <v>0</v>
      </c>
      <c r="AD143" s="745">
        <f t="shared" si="94"/>
        <v>0</v>
      </c>
      <c r="AE143" s="745">
        <f t="shared" si="95"/>
        <v>0</v>
      </c>
      <c r="AF143" s="745">
        <f t="shared" si="96"/>
        <v>0</v>
      </c>
      <c r="AG143" s="747">
        <f t="shared" si="97"/>
        <v>0</v>
      </c>
      <c r="AH143" s="340"/>
      <c r="AI143" s="340"/>
      <c r="AJ143" s="461" t="s">
        <v>1312</v>
      </c>
    </row>
    <row r="144" spans="1:36" s="321" customFormat="1" ht="11.25" customHeight="1" x14ac:dyDescent="0.25">
      <c r="A144" s="323" t="s">
        <v>1310</v>
      </c>
      <c r="B144" s="324" t="s">
        <v>1046</v>
      </c>
      <c r="C144" s="324" t="s">
        <v>297</v>
      </c>
      <c r="D144" s="324" t="s">
        <v>1189</v>
      </c>
      <c r="E144" s="324" t="s">
        <v>1171</v>
      </c>
      <c r="F144" s="325" t="s">
        <v>464</v>
      </c>
      <c r="G144" s="456" t="s">
        <v>1301</v>
      </c>
      <c r="H144" s="614">
        <v>30</v>
      </c>
      <c r="I144" s="611">
        <v>30</v>
      </c>
      <c r="J144" s="611"/>
      <c r="K144" s="611">
        <v>32</v>
      </c>
      <c r="L144" s="612">
        <v>1</v>
      </c>
      <c r="M144" s="610">
        <v>30</v>
      </c>
      <c r="N144" s="332">
        <v>30</v>
      </c>
      <c r="O144" s="332"/>
      <c r="P144" s="332"/>
      <c r="Q144" s="332"/>
      <c r="R144" s="657" t="s">
        <v>1879</v>
      </c>
      <c r="S144" s="332"/>
      <c r="T144" s="332"/>
      <c r="U144" s="332"/>
      <c r="V144" s="332"/>
      <c r="W144" s="332"/>
      <c r="X144" s="725">
        <f t="shared" si="88"/>
        <v>0</v>
      </c>
      <c r="Y144" s="725">
        <f t="shared" si="89"/>
        <v>0</v>
      </c>
      <c r="Z144" s="725">
        <f t="shared" si="90"/>
        <v>0</v>
      </c>
      <c r="AA144" s="725">
        <f t="shared" si="91"/>
        <v>32</v>
      </c>
      <c r="AB144" s="725">
        <f t="shared" si="92"/>
        <v>1</v>
      </c>
      <c r="AC144" s="744">
        <f t="shared" si="93"/>
        <v>0</v>
      </c>
      <c r="AD144" s="745">
        <f t="shared" si="94"/>
        <v>0</v>
      </c>
      <c r="AE144" s="745">
        <f t="shared" si="95"/>
        <v>0</v>
      </c>
      <c r="AF144" s="745">
        <f t="shared" si="96"/>
        <v>1045.751633986928</v>
      </c>
      <c r="AG144" s="747">
        <f t="shared" si="97"/>
        <v>1633.9869281045751</v>
      </c>
      <c r="AH144" s="340"/>
      <c r="AI144" s="340"/>
      <c r="AJ144" s="461" t="s">
        <v>1348</v>
      </c>
    </row>
    <row r="145" spans="1:36" s="321" customFormat="1" ht="11.25" customHeight="1" x14ac:dyDescent="0.25">
      <c r="A145" s="323" t="s">
        <v>1310</v>
      </c>
      <c r="B145" s="324" t="s">
        <v>1817</v>
      </c>
      <c r="C145" s="324" t="s">
        <v>297</v>
      </c>
      <c r="D145" s="324" t="s">
        <v>759</v>
      </c>
      <c r="E145" s="324" t="s">
        <v>296</v>
      </c>
      <c r="F145" s="325" t="s">
        <v>464</v>
      </c>
      <c r="G145" s="456" t="s">
        <v>1454</v>
      </c>
      <c r="H145" s="614"/>
      <c r="I145" s="611"/>
      <c r="J145" s="611"/>
      <c r="K145" s="611"/>
      <c r="L145" s="612">
        <v>1</v>
      </c>
      <c r="M145" s="610"/>
      <c r="N145" s="332"/>
      <c r="O145" s="332"/>
      <c r="P145" s="332"/>
      <c r="Q145" s="332"/>
      <c r="R145" s="657"/>
      <c r="S145" s="332"/>
      <c r="T145" s="332"/>
      <c r="U145" s="332"/>
      <c r="V145" s="332"/>
      <c r="W145" s="332"/>
      <c r="X145" s="725">
        <f t="shared" si="88"/>
        <v>0</v>
      </c>
      <c r="Y145" s="725">
        <f t="shared" si="89"/>
        <v>0</v>
      </c>
      <c r="Z145" s="725">
        <f t="shared" si="90"/>
        <v>0</v>
      </c>
      <c r="AA145" s="725">
        <f t="shared" si="91"/>
        <v>0</v>
      </c>
      <c r="AB145" s="725">
        <f t="shared" si="92"/>
        <v>1</v>
      </c>
      <c r="AC145" s="744">
        <f t="shared" si="93"/>
        <v>0</v>
      </c>
      <c r="AD145" s="745">
        <f t="shared" si="94"/>
        <v>0</v>
      </c>
      <c r="AE145" s="745">
        <f t="shared" si="95"/>
        <v>0</v>
      </c>
      <c r="AF145" s="745">
        <f t="shared" si="96"/>
        <v>0</v>
      </c>
      <c r="AG145" s="747">
        <f t="shared" si="97"/>
        <v>1633.9869281045751</v>
      </c>
      <c r="AH145" s="340"/>
      <c r="AI145" s="340"/>
      <c r="AJ145" s="461" t="s">
        <v>1603</v>
      </c>
    </row>
    <row r="146" spans="1:36" s="321" customFormat="1" ht="11.25" customHeight="1" x14ac:dyDescent="0.25">
      <c r="A146" s="323" t="s">
        <v>1310</v>
      </c>
      <c r="B146" s="324" t="s">
        <v>1046</v>
      </c>
      <c r="C146" s="324" t="s">
        <v>297</v>
      </c>
      <c r="D146" s="324" t="s">
        <v>1273</v>
      </c>
      <c r="E146" s="324" t="s">
        <v>1272</v>
      </c>
      <c r="F146" s="325" t="s">
        <v>464</v>
      </c>
      <c r="G146" s="456" t="s">
        <v>1301</v>
      </c>
      <c r="H146" s="614">
        <v>61</v>
      </c>
      <c r="I146" s="611">
        <v>61</v>
      </c>
      <c r="J146" s="611">
        <v>61</v>
      </c>
      <c r="K146" s="611"/>
      <c r="L146" s="612"/>
      <c r="M146" s="610"/>
      <c r="N146" s="332"/>
      <c r="O146" s="332"/>
      <c r="P146" s="332"/>
      <c r="Q146" s="332"/>
      <c r="R146" s="657"/>
      <c r="S146" s="332"/>
      <c r="T146" s="332"/>
      <c r="U146" s="332"/>
      <c r="V146" s="332"/>
      <c r="W146" s="332"/>
      <c r="X146" s="725">
        <f t="shared" si="88"/>
        <v>61</v>
      </c>
      <c r="Y146" s="725">
        <f t="shared" si="89"/>
        <v>61</v>
      </c>
      <c r="Z146" s="725">
        <f t="shared" si="90"/>
        <v>61</v>
      </c>
      <c r="AA146" s="725">
        <f t="shared" si="91"/>
        <v>0</v>
      </c>
      <c r="AB146" s="725">
        <f t="shared" si="92"/>
        <v>0</v>
      </c>
      <c r="AC146" s="744">
        <f t="shared" si="93"/>
        <v>47843.137254901958</v>
      </c>
      <c r="AD146" s="745">
        <f t="shared" si="94"/>
        <v>15947.712418300654</v>
      </c>
      <c r="AE146" s="745">
        <f t="shared" si="95"/>
        <v>9967.3202614379079</v>
      </c>
      <c r="AF146" s="745">
        <f t="shared" si="96"/>
        <v>0</v>
      </c>
      <c r="AG146" s="747">
        <f t="shared" si="97"/>
        <v>0</v>
      </c>
      <c r="AH146" s="340"/>
      <c r="AI146" s="340"/>
      <c r="AJ146" s="461"/>
    </row>
    <row r="147" spans="1:36" s="321" customFormat="1" ht="11.25" customHeight="1" x14ac:dyDescent="0.25">
      <c r="A147" s="326" t="s">
        <v>3</v>
      </c>
      <c r="B147" s="327"/>
      <c r="C147" s="327"/>
      <c r="D147" s="328"/>
      <c r="E147" s="329"/>
      <c r="F147" s="330"/>
      <c r="G147" s="464"/>
      <c r="H147" s="799">
        <f>SUM(H143:H146)</f>
        <v>97</v>
      </c>
      <c r="I147" s="799">
        <f t="shared" ref="I147:AI147" si="110">SUM(I143:I146)</f>
        <v>97</v>
      </c>
      <c r="J147" s="799">
        <f t="shared" si="110"/>
        <v>61</v>
      </c>
      <c r="K147" s="799">
        <f t="shared" si="110"/>
        <v>32</v>
      </c>
      <c r="L147" s="799">
        <f t="shared" si="110"/>
        <v>2</v>
      </c>
      <c r="M147" s="799">
        <f t="shared" si="110"/>
        <v>36</v>
      </c>
      <c r="N147" s="799">
        <f t="shared" si="110"/>
        <v>36</v>
      </c>
      <c r="O147" s="799">
        <f t="shared" si="110"/>
        <v>0</v>
      </c>
      <c r="P147" s="799">
        <f t="shared" si="110"/>
        <v>0</v>
      </c>
      <c r="Q147" s="799">
        <f t="shared" si="110"/>
        <v>0</v>
      </c>
      <c r="R147" s="331">
        <f t="shared" si="110"/>
        <v>0</v>
      </c>
      <c r="S147" s="331">
        <f t="shared" si="110"/>
        <v>0</v>
      </c>
      <c r="T147" s="331">
        <f t="shared" si="110"/>
        <v>0</v>
      </c>
      <c r="U147" s="331">
        <f t="shared" si="110"/>
        <v>0</v>
      </c>
      <c r="V147" s="331">
        <f t="shared" si="110"/>
        <v>0</v>
      </c>
      <c r="W147" s="331">
        <f t="shared" si="110"/>
        <v>0</v>
      </c>
      <c r="X147" s="331">
        <f t="shared" ref="X147" si="111">SUM(X143:X146)</f>
        <v>61</v>
      </c>
      <c r="Y147" s="331">
        <f t="shared" ref="Y147" si="112">SUM(Y143:Y146)</f>
        <v>61</v>
      </c>
      <c r="Z147" s="331">
        <f t="shared" ref="Z147" si="113">SUM(Z143:Z146)</f>
        <v>61</v>
      </c>
      <c r="AA147" s="331">
        <f t="shared" ref="AA147" si="114">SUM(AA143:AA146)</f>
        <v>32</v>
      </c>
      <c r="AB147" s="331">
        <f t="shared" ref="AB147:AG147" si="115">SUM(AB143:AB146)</f>
        <v>2</v>
      </c>
      <c r="AC147" s="746">
        <f t="shared" si="115"/>
        <v>47843.137254901958</v>
      </c>
      <c r="AD147" s="746">
        <f t="shared" si="115"/>
        <v>15947.712418300654</v>
      </c>
      <c r="AE147" s="746">
        <f t="shared" si="115"/>
        <v>9967.3202614379079</v>
      </c>
      <c r="AF147" s="746">
        <f t="shared" si="115"/>
        <v>1045.751633986928</v>
      </c>
      <c r="AG147" s="746">
        <f t="shared" si="115"/>
        <v>3267.9738562091502</v>
      </c>
      <c r="AH147" s="331">
        <f t="shared" si="110"/>
        <v>0</v>
      </c>
      <c r="AI147" s="331">
        <f t="shared" si="110"/>
        <v>0</v>
      </c>
      <c r="AJ147" s="461"/>
    </row>
    <row r="148" spans="1:36" s="321" customFormat="1" ht="11.25" customHeight="1" x14ac:dyDescent="0.25">
      <c r="A148" s="323" t="s">
        <v>378</v>
      </c>
      <c r="B148" s="345" t="s">
        <v>1322</v>
      </c>
      <c r="C148" s="324" t="s">
        <v>299</v>
      </c>
      <c r="D148" s="618" t="s">
        <v>300</v>
      </c>
      <c r="E148" s="324" t="s">
        <v>298</v>
      </c>
      <c r="F148" s="325" t="s">
        <v>464</v>
      </c>
      <c r="G148" s="456"/>
      <c r="H148" s="614"/>
      <c r="I148" s="611"/>
      <c r="J148" s="611"/>
      <c r="K148" s="611"/>
      <c r="L148" s="612"/>
      <c r="M148" s="610"/>
      <c r="N148" s="332"/>
      <c r="O148" s="332"/>
      <c r="P148" s="332"/>
      <c r="Q148" s="332"/>
      <c r="R148" s="657"/>
      <c r="S148" s="332"/>
      <c r="T148" s="332"/>
      <c r="U148" s="332"/>
      <c r="V148" s="332"/>
      <c r="W148" s="332"/>
      <c r="X148" s="725">
        <f t="shared" si="88"/>
        <v>0</v>
      </c>
      <c r="Y148" s="725">
        <f t="shared" si="89"/>
        <v>0</v>
      </c>
      <c r="Z148" s="725">
        <f t="shared" si="90"/>
        <v>0</v>
      </c>
      <c r="AA148" s="725">
        <f t="shared" si="91"/>
        <v>0</v>
      </c>
      <c r="AB148" s="725">
        <f t="shared" si="92"/>
        <v>0</v>
      </c>
      <c r="AC148" s="744">
        <f t="shared" si="93"/>
        <v>0</v>
      </c>
      <c r="AD148" s="745">
        <f t="shared" si="94"/>
        <v>0</v>
      </c>
      <c r="AE148" s="745">
        <f t="shared" si="95"/>
        <v>0</v>
      </c>
      <c r="AF148" s="745">
        <f t="shared" si="96"/>
        <v>0</v>
      </c>
      <c r="AG148" s="747">
        <f t="shared" si="97"/>
        <v>0</v>
      </c>
      <c r="AH148" s="340"/>
      <c r="AI148" s="340"/>
      <c r="AJ148" s="461"/>
    </row>
    <row r="149" spans="1:36" s="321" customFormat="1" ht="11.25" customHeight="1" x14ac:dyDescent="0.25">
      <c r="A149" s="323" t="s">
        <v>378</v>
      </c>
      <c r="B149" s="324" t="s">
        <v>1835</v>
      </c>
      <c r="C149" s="324" t="s">
        <v>299</v>
      </c>
      <c r="D149" s="618" t="s">
        <v>1044</v>
      </c>
      <c r="E149" s="324" t="s">
        <v>1043</v>
      </c>
      <c r="F149" s="325" t="s">
        <v>464</v>
      </c>
      <c r="G149" s="456"/>
      <c r="H149" s="614"/>
      <c r="I149" s="611"/>
      <c r="J149" s="611"/>
      <c r="K149" s="611">
        <v>60</v>
      </c>
      <c r="L149" s="612">
        <v>1</v>
      </c>
      <c r="M149" s="610"/>
      <c r="N149" s="332"/>
      <c r="O149" s="332"/>
      <c r="P149" s="332">
        <v>60</v>
      </c>
      <c r="Q149" s="332">
        <v>1</v>
      </c>
      <c r="R149" s="657" t="s">
        <v>1840</v>
      </c>
      <c r="S149" s="332"/>
      <c r="T149" s="332"/>
      <c r="U149" s="332"/>
      <c r="V149" s="332"/>
      <c r="W149" s="332"/>
      <c r="X149" s="725">
        <f t="shared" si="88"/>
        <v>0</v>
      </c>
      <c r="Y149" s="725">
        <f t="shared" si="89"/>
        <v>0</v>
      </c>
      <c r="Z149" s="725">
        <f t="shared" si="90"/>
        <v>0</v>
      </c>
      <c r="AA149" s="725">
        <f t="shared" si="91"/>
        <v>0</v>
      </c>
      <c r="AB149" s="725">
        <f t="shared" si="92"/>
        <v>0</v>
      </c>
      <c r="AC149" s="744">
        <f t="shared" si="93"/>
        <v>0</v>
      </c>
      <c r="AD149" s="745">
        <f t="shared" si="94"/>
        <v>0</v>
      </c>
      <c r="AE149" s="745">
        <f t="shared" si="95"/>
        <v>0</v>
      </c>
      <c r="AF149" s="745">
        <f t="shared" si="96"/>
        <v>0</v>
      </c>
      <c r="AG149" s="747">
        <f t="shared" si="97"/>
        <v>0</v>
      </c>
      <c r="AH149" s="340"/>
      <c r="AI149" s="340"/>
      <c r="AJ149" s="461"/>
    </row>
    <row r="150" spans="1:36" s="321" customFormat="1" ht="11.25" customHeight="1" x14ac:dyDescent="0.25">
      <c r="A150" s="326" t="s">
        <v>3</v>
      </c>
      <c r="B150" s="327"/>
      <c r="C150" s="327"/>
      <c r="D150" s="328"/>
      <c r="E150" s="329"/>
      <c r="F150" s="330"/>
      <c r="G150" s="464"/>
      <c r="H150" s="799">
        <f>SUM(H148:H149)</f>
        <v>0</v>
      </c>
      <c r="I150" s="799">
        <f t="shared" ref="I150:AI150" si="116">SUM(I148:I149)</f>
        <v>0</v>
      </c>
      <c r="J150" s="799">
        <f t="shared" si="116"/>
        <v>0</v>
      </c>
      <c r="K150" s="799">
        <f t="shared" si="116"/>
        <v>60</v>
      </c>
      <c r="L150" s="799">
        <f t="shared" si="116"/>
        <v>1</v>
      </c>
      <c r="M150" s="799">
        <f t="shared" si="116"/>
        <v>0</v>
      </c>
      <c r="N150" s="799">
        <f t="shared" si="116"/>
        <v>0</v>
      </c>
      <c r="O150" s="799">
        <f t="shared" si="116"/>
        <v>0</v>
      </c>
      <c r="P150" s="799">
        <f t="shared" si="116"/>
        <v>60</v>
      </c>
      <c r="Q150" s="799">
        <f t="shared" si="116"/>
        <v>1</v>
      </c>
      <c r="R150" s="331">
        <f t="shared" si="116"/>
        <v>0</v>
      </c>
      <c r="S150" s="331">
        <f t="shared" si="116"/>
        <v>0</v>
      </c>
      <c r="T150" s="331">
        <f t="shared" si="116"/>
        <v>0</v>
      </c>
      <c r="U150" s="331">
        <f t="shared" si="116"/>
        <v>0</v>
      </c>
      <c r="V150" s="331">
        <f t="shared" si="116"/>
        <v>0</v>
      </c>
      <c r="W150" s="331">
        <f t="shared" si="116"/>
        <v>0</v>
      </c>
      <c r="X150" s="331">
        <f t="shared" ref="X150" si="117">SUM(X148:X149)</f>
        <v>0</v>
      </c>
      <c r="Y150" s="331">
        <f t="shared" ref="Y150" si="118">SUM(Y148:Y149)</f>
        <v>0</v>
      </c>
      <c r="Z150" s="331">
        <f t="shared" ref="Z150" si="119">SUM(Z148:Z149)</f>
        <v>0</v>
      </c>
      <c r="AA150" s="331">
        <f t="shared" ref="AA150" si="120">SUM(AA148:AA149)</f>
        <v>0</v>
      </c>
      <c r="AB150" s="331">
        <f t="shared" ref="AB150:AG150" si="121">SUM(AB148:AB149)</f>
        <v>0</v>
      </c>
      <c r="AC150" s="746">
        <f t="shared" si="121"/>
        <v>0</v>
      </c>
      <c r="AD150" s="746">
        <f t="shared" si="121"/>
        <v>0</v>
      </c>
      <c r="AE150" s="746">
        <f t="shared" si="121"/>
        <v>0</v>
      </c>
      <c r="AF150" s="746">
        <f t="shared" si="121"/>
        <v>0</v>
      </c>
      <c r="AG150" s="746">
        <f t="shared" si="121"/>
        <v>0</v>
      </c>
      <c r="AH150" s="331">
        <f t="shared" si="116"/>
        <v>0</v>
      </c>
      <c r="AI150" s="331">
        <f t="shared" si="116"/>
        <v>0</v>
      </c>
      <c r="AJ150" s="461"/>
    </row>
    <row r="151" spans="1:36" s="321" customFormat="1" ht="11.25" customHeight="1" x14ac:dyDescent="0.25">
      <c r="A151" s="323" t="s">
        <v>378</v>
      </c>
      <c r="B151" s="324" t="s">
        <v>1834</v>
      </c>
      <c r="C151" s="324" t="s">
        <v>1349</v>
      </c>
      <c r="D151" s="324" t="s">
        <v>305</v>
      </c>
      <c r="E151" s="324" t="s">
        <v>304</v>
      </c>
      <c r="F151" s="325" t="s">
        <v>464</v>
      </c>
      <c r="G151" s="456"/>
      <c r="H151" s="614"/>
      <c r="I151" s="611"/>
      <c r="J151" s="611"/>
      <c r="K151" s="611">
        <v>20</v>
      </c>
      <c r="L151" s="612"/>
      <c r="M151" s="610"/>
      <c r="N151" s="332"/>
      <c r="O151" s="332"/>
      <c r="P151" s="332"/>
      <c r="Q151" s="332"/>
      <c r="R151" s="657"/>
      <c r="S151" s="332"/>
      <c r="T151" s="332"/>
      <c r="U151" s="332"/>
      <c r="V151" s="332"/>
      <c r="W151" s="332"/>
      <c r="X151" s="725">
        <f t="shared" si="88"/>
        <v>0</v>
      </c>
      <c r="Y151" s="725">
        <f t="shared" si="89"/>
        <v>0</v>
      </c>
      <c r="Z151" s="725">
        <f t="shared" si="90"/>
        <v>0</v>
      </c>
      <c r="AA151" s="725">
        <f t="shared" si="91"/>
        <v>20</v>
      </c>
      <c r="AB151" s="725">
        <f t="shared" si="92"/>
        <v>0</v>
      </c>
      <c r="AC151" s="744">
        <f t="shared" si="93"/>
        <v>0</v>
      </c>
      <c r="AD151" s="745">
        <f t="shared" si="94"/>
        <v>0</v>
      </c>
      <c r="AE151" s="745">
        <f t="shared" si="95"/>
        <v>0</v>
      </c>
      <c r="AF151" s="745">
        <f t="shared" si="96"/>
        <v>653.59477124183002</v>
      </c>
      <c r="AG151" s="747">
        <f t="shared" si="97"/>
        <v>0</v>
      </c>
      <c r="AH151" s="340"/>
      <c r="AI151" s="340"/>
      <c r="AJ151" s="461"/>
    </row>
    <row r="152" spans="1:36" s="321" customFormat="1" ht="11.25" customHeight="1" x14ac:dyDescent="0.25">
      <c r="A152" s="323" t="s">
        <v>378</v>
      </c>
      <c r="B152" s="324" t="s">
        <v>933</v>
      </c>
      <c r="C152" s="324" t="s">
        <v>1349</v>
      </c>
      <c r="D152" s="324" t="s">
        <v>307</v>
      </c>
      <c r="E152" s="324" t="s">
        <v>306</v>
      </c>
      <c r="F152" s="325" t="s">
        <v>464</v>
      </c>
      <c r="G152" s="460"/>
      <c r="H152" s="614"/>
      <c r="I152" s="611"/>
      <c r="J152" s="611"/>
      <c r="K152" s="611"/>
      <c r="L152" s="612"/>
      <c r="M152" s="610"/>
      <c r="N152" s="332"/>
      <c r="O152" s="332"/>
      <c r="P152" s="332"/>
      <c r="Q152" s="332"/>
      <c r="R152" s="657"/>
      <c r="S152" s="332"/>
      <c r="T152" s="332"/>
      <c r="U152" s="332"/>
      <c r="V152" s="332"/>
      <c r="W152" s="332"/>
      <c r="X152" s="725">
        <f t="shared" si="88"/>
        <v>0</v>
      </c>
      <c r="Y152" s="725">
        <f t="shared" si="89"/>
        <v>0</v>
      </c>
      <c r="Z152" s="725">
        <f t="shared" si="90"/>
        <v>0</v>
      </c>
      <c r="AA152" s="725">
        <f t="shared" si="91"/>
        <v>0</v>
      </c>
      <c r="AB152" s="725">
        <f t="shared" si="92"/>
        <v>0</v>
      </c>
      <c r="AC152" s="744">
        <f t="shared" si="93"/>
        <v>0</v>
      </c>
      <c r="AD152" s="745">
        <f t="shared" si="94"/>
        <v>0</v>
      </c>
      <c r="AE152" s="745">
        <f t="shared" si="95"/>
        <v>0</v>
      </c>
      <c r="AF152" s="745">
        <f t="shared" si="96"/>
        <v>0</v>
      </c>
      <c r="AG152" s="747">
        <f t="shared" si="97"/>
        <v>0</v>
      </c>
      <c r="AH152" s="340"/>
      <c r="AI152" s="340"/>
      <c r="AJ152" s="461"/>
    </row>
    <row r="153" spans="1:36" s="321" customFormat="1" ht="11.25" customHeight="1" x14ac:dyDescent="0.25">
      <c r="A153" s="326" t="s">
        <v>3</v>
      </c>
      <c r="B153" s="327"/>
      <c r="C153" s="327"/>
      <c r="D153" s="328"/>
      <c r="E153" s="329"/>
      <c r="F153" s="330"/>
      <c r="G153" s="464"/>
      <c r="H153" s="799"/>
      <c r="I153" s="799"/>
      <c r="J153" s="799"/>
      <c r="K153" s="799"/>
      <c r="L153" s="799"/>
      <c r="M153" s="799"/>
      <c r="N153" s="799"/>
      <c r="O153" s="799"/>
      <c r="P153" s="799"/>
      <c r="Q153" s="799"/>
      <c r="R153" s="646">
        <f t="shared" ref="R153:AI153" si="122">SUM(R151:R152)</f>
        <v>0</v>
      </c>
      <c r="S153" s="329"/>
      <c r="T153" s="329"/>
      <c r="U153" s="329"/>
      <c r="V153" s="329"/>
      <c r="W153" s="329"/>
      <c r="X153" s="329"/>
      <c r="Y153" s="329"/>
      <c r="Z153" s="329"/>
      <c r="AA153" s="329"/>
      <c r="AB153" s="329"/>
      <c r="AC153" s="329"/>
      <c r="AD153" s="329"/>
      <c r="AE153" s="329"/>
      <c r="AF153" s="329"/>
      <c r="AG153" s="329"/>
      <c r="AH153" s="329"/>
      <c r="AI153" s="331">
        <f t="shared" si="122"/>
        <v>0</v>
      </c>
      <c r="AJ153" s="461"/>
    </row>
    <row r="154" spans="1:36" s="321" customFormat="1" ht="11.25" customHeight="1" x14ac:dyDescent="0.25">
      <c r="A154" s="323" t="s">
        <v>378</v>
      </c>
      <c r="B154" s="324" t="s">
        <v>1835</v>
      </c>
      <c r="C154" s="324" t="s">
        <v>1350</v>
      </c>
      <c r="D154" s="324" t="s">
        <v>1066</v>
      </c>
      <c r="E154" s="324" t="s">
        <v>1067</v>
      </c>
      <c r="F154" s="325" t="s">
        <v>466</v>
      </c>
      <c r="G154" s="456" t="s">
        <v>1301</v>
      </c>
      <c r="H154" s="614">
        <v>67</v>
      </c>
      <c r="I154" s="611">
        <v>67</v>
      </c>
      <c r="J154" s="611"/>
      <c r="K154" s="611"/>
      <c r="L154" s="612"/>
      <c r="M154" s="610">
        <v>67</v>
      </c>
      <c r="N154" s="332">
        <v>67</v>
      </c>
      <c r="O154" s="332"/>
      <c r="P154" s="332"/>
      <c r="Q154" s="332"/>
      <c r="R154" s="657" t="s">
        <v>1930</v>
      </c>
      <c r="S154" s="332"/>
      <c r="T154" s="332"/>
      <c r="U154" s="332"/>
      <c r="V154" s="332"/>
      <c r="W154" s="332"/>
      <c r="X154" s="725">
        <f t="shared" si="88"/>
        <v>0</v>
      </c>
      <c r="Y154" s="725">
        <f t="shared" si="89"/>
        <v>0</v>
      </c>
      <c r="Z154" s="725">
        <f t="shared" si="90"/>
        <v>0</v>
      </c>
      <c r="AA154" s="725">
        <f t="shared" si="91"/>
        <v>0</v>
      </c>
      <c r="AB154" s="725">
        <f t="shared" si="92"/>
        <v>0</v>
      </c>
      <c r="AC154" s="744">
        <f t="shared" si="93"/>
        <v>0</v>
      </c>
      <c r="AD154" s="745">
        <f t="shared" si="94"/>
        <v>0</v>
      </c>
      <c r="AE154" s="745">
        <f t="shared" si="95"/>
        <v>0</v>
      </c>
      <c r="AF154" s="745">
        <f t="shared" si="96"/>
        <v>0</v>
      </c>
      <c r="AG154" s="747">
        <f t="shared" si="97"/>
        <v>0</v>
      </c>
      <c r="AH154" s="340"/>
      <c r="AI154" s="340"/>
      <c r="AJ154" s="461"/>
    </row>
    <row r="155" spans="1:36" s="321" customFormat="1" ht="11.25" customHeight="1" x14ac:dyDescent="0.25">
      <c r="A155" s="785" t="s">
        <v>378</v>
      </c>
      <c r="B155" s="686" t="s">
        <v>1835</v>
      </c>
      <c r="C155" s="786" t="s">
        <v>1350</v>
      </c>
      <c r="D155" s="786" t="s">
        <v>1064</v>
      </c>
      <c r="E155" s="787" t="s">
        <v>1065</v>
      </c>
      <c r="F155" s="788" t="s">
        <v>466</v>
      </c>
      <c r="G155" s="789" t="s">
        <v>1301</v>
      </c>
      <c r="H155" s="798">
        <v>111</v>
      </c>
      <c r="I155" s="790">
        <v>111</v>
      </c>
      <c r="J155" s="790"/>
      <c r="K155" s="790"/>
      <c r="L155" s="791"/>
      <c r="M155" s="800">
        <v>111</v>
      </c>
      <c r="N155" s="792">
        <v>111</v>
      </c>
      <c r="O155" s="792"/>
      <c r="P155" s="792"/>
      <c r="Q155" s="792"/>
      <c r="R155" s="657" t="s">
        <v>1930</v>
      </c>
      <c r="S155" s="792"/>
      <c r="T155" s="792"/>
      <c r="U155" s="792"/>
      <c r="V155" s="792"/>
      <c r="W155" s="792"/>
      <c r="X155" s="793">
        <f>H155-M155</f>
        <v>0</v>
      </c>
      <c r="Y155" s="793">
        <f>I155-N155</f>
        <v>0</v>
      </c>
      <c r="Z155" s="793">
        <f>J155-O155</f>
        <v>0</v>
      </c>
      <c r="AA155" s="793">
        <f>K155-P155</f>
        <v>0</v>
      </c>
      <c r="AB155" s="793">
        <f>L155-Q155</f>
        <v>0</v>
      </c>
      <c r="AC155" s="794">
        <f>(X155*1200000)/1530</f>
        <v>0</v>
      </c>
      <c r="AD155" s="795">
        <f>(Y155*400000)/1530</f>
        <v>0</v>
      </c>
      <c r="AE155" s="795">
        <f>(Z155*250000)/1530</f>
        <v>0</v>
      </c>
      <c r="AF155" s="795">
        <f>(AA155*50000)/1530</f>
        <v>0</v>
      </c>
      <c r="AG155" s="796">
        <f>(AB155*2500000)/1530</f>
        <v>0</v>
      </c>
      <c r="AH155" s="786"/>
      <c r="AI155" s="786"/>
      <c r="AJ155" s="461"/>
    </row>
    <row r="156" spans="1:36" s="324" customFormat="1" ht="11.25" customHeight="1" x14ac:dyDescent="0.25">
      <c r="A156" s="324" t="s">
        <v>378</v>
      </c>
      <c r="B156" s="324" t="s">
        <v>1322</v>
      </c>
      <c r="C156" s="340" t="s">
        <v>1350</v>
      </c>
      <c r="D156" s="786" t="s">
        <v>1911</v>
      </c>
      <c r="E156" s="692" t="s">
        <v>1695</v>
      </c>
      <c r="H156" s="332"/>
      <c r="I156" s="332"/>
      <c r="J156" s="332"/>
      <c r="K156" s="332"/>
      <c r="L156" s="332"/>
      <c r="M156" s="332"/>
      <c r="N156" s="332"/>
      <c r="O156" s="332"/>
      <c r="P156" s="332"/>
      <c r="Q156" s="332"/>
    </row>
    <row r="157" spans="1:36" s="321" customFormat="1" ht="11.25" customHeight="1" x14ac:dyDescent="0.25">
      <c r="A157" s="778" t="s">
        <v>3</v>
      </c>
      <c r="B157" s="779"/>
      <c r="C157" s="779"/>
      <c r="D157" s="780"/>
      <c r="E157" s="781"/>
      <c r="F157" s="782"/>
      <c r="G157" s="783"/>
      <c r="H157" s="801">
        <f>SUM(H154:H156)</f>
        <v>178</v>
      </c>
      <c r="I157" s="801">
        <f t="shared" ref="I157:AJ157" si="123">SUM(I154:I156)</f>
        <v>178</v>
      </c>
      <c r="J157" s="801">
        <f t="shared" si="123"/>
        <v>0</v>
      </c>
      <c r="K157" s="801">
        <f t="shared" si="123"/>
        <v>0</v>
      </c>
      <c r="L157" s="801">
        <f t="shared" si="123"/>
        <v>0</v>
      </c>
      <c r="M157" s="801">
        <f t="shared" si="123"/>
        <v>178</v>
      </c>
      <c r="N157" s="801">
        <f t="shared" si="123"/>
        <v>178</v>
      </c>
      <c r="O157" s="801">
        <f t="shared" si="123"/>
        <v>0</v>
      </c>
      <c r="P157" s="801">
        <f t="shared" si="123"/>
        <v>0</v>
      </c>
      <c r="Q157" s="801">
        <f t="shared" si="123"/>
        <v>0</v>
      </c>
      <c r="R157" s="784">
        <f t="shared" si="123"/>
        <v>0</v>
      </c>
      <c r="S157" s="784">
        <f t="shared" si="123"/>
        <v>0</v>
      </c>
      <c r="T157" s="784">
        <f t="shared" si="123"/>
        <v>0</v>
      </c>
      <c r="U157" s="784">
        <f t="shared" si="123"/>
        <v>0</v>
      </c>
      <c r="V157" s="784">
        <f t="shared" si="123"/>
        <v>0</v>
      </c>
      <c r="W157" s="784">
        <f t="shared" si="123"/>
        <v>0</v>
      </c>
      <c r="X157" s="784">
        <f t="shared" si="123"/>
        <v>0</v>
      </c>
      <c r="Y157" s="784">
        <f t="shared" si="123"/>
        <v>0</v>
      </c>
      <c r="Z157" s="784">
        <f t="shared" si="123"/>
        <v>0</v>
      </c>
      <c r="AA157" s="784">
        <f t="shared" si="123"/>
        <v>0</v>
      </c>
      <c r="AB157" s="784">
        <f t="shared" si="123"/>
        <v>0</v>
      </c>
      <c r="AC157" s="784">
        <f t="shared" si="123"/>
        <v>0</v>
      </c>
      <c r="AD157" s="784">
        <f t="shared" si="123"/>
        <v>0</v>
      </c>
      <c r="AE157" s="784">
        <f t="shared" si="123"/>
        <v>0</v>
      </c>
      <c r="AF157" s="784">
        <f t="shared" si="123"/>
        <v>0</v>
      </c>
      <c r="AG157" s="784">
        <f t="shared" si="123"/>
        <v>0</v>
      </c>
      <c r="AH157" s="784">
        <f t="shared" si="123"/>
        <v>0</v>
      </c>
      <c r="AI157" s="784">
        <f t="shared" si="123"/>
        <v>0</v>
      </c>
      <c r="AJ157" s="784">
        <f t="shared" si="123"/>
        <v>0</v>
      </c>
    </row>
    <row r="158" spans="1:36" ht="11.25" customHeight="1" x14ac:dyDescent="0.25">
      <c r="A158" s="323" t="s">
        <v>378</v>
      </c>
      <c r="B158" s="324" t="s">
        <v>1835</v>
      </c>
      <c r="C158" s="684" t="s">
        <v>1134</v>
      </c>
      <c r="D158" s="684" t="s">
        <v>1686</v>
      </c>
      <c r="E158" s="324" t="s">
        <v>1400</v>
      </c>
      <c r="F158" s="325" t="s">
        <v>464</v>
      </c>
      <c r="G158" s="324"/>
      <c r="H158" s="802">
        <v>20</v>
      </c>
      <c r="I158" s="802">
        <v>20</v>
      </c>
      <c r="J158" s="332"/>
      <c r="K158" s="332"/>
      <c r="L158" s="332"/>
      <c r="M158" s="332"/>
      <c r="N158" s="332"/>
      <c r="O158" s="332"/>
      <c r="P158" s="332"/>
      <c r="Q158" s="332"/>
      <c r="R158" s="657"/>
      <c r="S158" s="332"/>
      <c r="T158" s="332"/>
      <c r="U158" s="332"/>
      <c r="V158" s="332"/>
      <c r="W158" s="332"/>
      <c r="X158" s="725">
        <f t="shared" si="88"/>
        <v>20</v>
      </c>
      <c r="Y158" s="725">
        <f t="shared" si="89"/>
        <v>20</v>
      </c>
      <c r="Z158" s="725">
        <f t="shared" si="90"/>
        <v>0</v>
      </c>
      <c r="AA158" s="725">
        <f t="shared" si="91"/>
        <v>0</v>
      </c>
      <c r="AB158" s="725">
        <f t="shared" si="92"/>
        <v>0</v>
      </c>
      <c r="AC158" s="744">
        <f t="shared" si="93"/>
        <v>15686.274509803921</v>
      </c>
      <c r="AD158" s="745">
        <f t="shared" si="94"/>
        <v>5228.7581699346401</v>
      </c>
      <c r="AE158" s="745">
        <f t="shared" si="95"/>
        <v>0</v>
      </c>
      <c r="AF158" s="745">
        <f t="shared" si="96"/>
        <v>0</v>
      </c>
      <c r="AG158" s="747">
        <f t="shared" si="97"/>
        <v>0</v>
      </c>
      <c r="AH158" s="332"/>
      <c r="AI158" s="332"/>
      <c r="AJ158" s="324"/>
    </row>
    <row r="159" spans="1:36" ht="11.25" customHeight="1" x14ac:dyDescent="0.25">
      <c r="A159" s="323" t="s">
        <v>378</v>
      </c>
      <c r="B159" s="324" t="s">
        <v>934</v>
      </c>
      <c r="C159" s="685" t="s">
        <v>1134</v>
      </c>
      <c r="D159" s="686" t="s">
        <v>1387</v>
      </c>
      <c r="E159" s="324" t="s">
        <v>1399</v>
      </c>
      <c r="F159" s="325" t="s">
        <v>464</v>
      </c>
      <c r="G159" s="686"/>
      <c r="H159" s="803">
        <v>34</v>
      </c>
      <c r="I159" s="759">
        <v>34</v>
      </c>
      <c r="J159" s="332"/>
      <c r="K159" s="332"/>
      <c r="L159" s="332"/>
      <c r="M159" s="332">
        <v>33</v>
      </c>
      <c r="N159" s="332">
        <v>33</v>
      </c>
      <c r="O159" s="332"/>
      <c r="P159" s="332"/>
      <c r="Q159" s="332"/>
      <c r="R159" s="657" t="s">
        <v>1847</v>
      </c>
      <c r="S159" s="332"/>
      <c r="T159" s="332"/>
      <c r="U159" s="332"/>
      <c r="V159" s="332"/>
      <c r="W159" s="332"/>
      <c r="X159" s="725">
        <f t="shared" si="88"/>
        <v>1</v>
      </c>
      <c r="Y159" s="725">
        <f t="shared" si="89"/>
        <v>1</v>
      </c>
      <c r="Z159" s="725">
        <f t="shared" si="90"/>
        <v>0</v>
      </c>
      <c r="AA159" s="725">
        <f t="shared" si="91"/>
        <v>0</v>
      </c>
      <c r="AB159" s="725">
        <f t="shared" si="92"/>
        <v>0</v>
      </c>
      <c r="AC159" s="744">
        <f t="shared" si="93"/>
        <v>784.31372549019613</v>
      </c>
      <c r="AD159" s="745">
        <f t="shared" si="94"/>
        <v>261.43790849673201</v>
      </c>
      <c r="AE159" s="745">
        <f t="shared" si="95"/>
        <v>0</v>
      </c>
      <c r="AF159" s="745">
        <f t="shared" si="96"/>
        <v>0</v>
      </c>
      <c r="AG159" s="747">
        <f t="shared" si="97"/>
        <v>0</v>
      </c>
      <c r="AH159" s="332"/>
      <c r="AI159" s="332"/>
      <c r="AJ159" s="324"/>
    </row>
    <row r="160" spans="1:36" ht="11.25" customHeight="1" x14ac:dyDescent="0.25">
      <c r="A160" s="687" t="s">
        <v>378</v>
      </c>
      <c r="B160" s="324" t="s">
        <v>934</v>
      </c>
      <c r="C160" s="688" t="s">
        <v>1134</v>
      </c>
      <c r="D160" s="324" t="s">
        <v>1713</v>
      </c>
      <c r="E160" s="324" t="s">
        <v>1397</v>
      </c>
      <c r="F160" s="325" t="s">
        <v>464</v>
      </c>
      <c r="G160" s="324"/>
      <c r="H160" s="759">
        <v>85</v>
      </c>
      <c r="I160" s="759">
        <v>85</v>
      </c>
      <c r="J160" s="332"/>
      <c r="K160" s="332"/>
      <c r="L160" s="332"/>
      <c r="M160" s="759">
        <v>85</v>
      </c>
      <c r="N160" s="759">
        <v>85</v>
      </c>
      <c r="O160" s="332"/>
      <c r="P160" s="332"/>
      <c r="Q160" s="332"/>
      <c r="R160" s="657" t="s">
        <v>1848</v>
      </c>
      <c r="S160" s="332"/>
      <c r="T160" s="332"/>
      <c r="U160" s="332"/>
      <c r="V160" s="332"/>
      <c r="W160" s="332"/>
      <c r="X160" s="725">
        <f t="shared" si="88"/>
        <v>0</v>
      </c>
      <c r="Y160" s="725">
        <f t="shared" si="89"/>
        <v>0</v>
      </c>
      <c r="Z160" s="725">
        <f t="shared" si="90"/>
        <v>0</v>
      </c>
      <c r="AA160" s="725">
        <f t="shared" si="91"/>
        <v>0</v>
      </c>
      <c r="AB160" s="725">
        <f t="shared" si="92"/>
        <v>0</v>
      </c>
      <c r="AC160" s="744">
        <f t="shared" si="93"/>
        <v>0</v>
      </c>
      <c r="AD160" s="745">
        <f t="shared" si="94"/>
        <v>0</v>
      </c>
      <c r="AE160" s="745">
        <f t="shared" si="95"/>
        <v>0</v>
      </c>
      <c r="AF160" s="745">
        <f t="shared" si="96"/>
        <v>0</v>
      </c>
      <c r="AG160" s="747">
        <f t="shared" si="97"/>
        <v>0</v>
      </c>
      <c r="AH160" s="332"/>
      <c r="AI160" s="332"/>
    </row>
    <row r="161" spans="1:36" s="321" customFormat="1" ht="11.25" customHeight="1" x14ac:dyDescent="0.25">
      <c r="A161" s="326" t="s">
        <v>3</v>
      </c>
      <c r="B161" s="327"/>
      <c r="C161" s="327"/>
      <c r="D161" s="328"/>
      <c r="E161" s="329"/>
      <c r="F161" s="330"/>
      <c r="G161" s="464"/>
      <c r="H161" s="804">
        <f>SUM(H158:H160)</f>
        <v>139</v>
      </c>
      <c r="I161" s="804">
        <f t="shared" ref="I161:AI161" si="124">SUM(I158:I160)</f>
        <v>139</v>
      </c>
      <c r="J161" s="804">
        <f t="shared" si="124"/>
        <v>0</v>
      </c>
      <c r="K161" s="804">
        <f t="shared" si="124"/>
        <v>0</v>
      </c>
      <c r="L161" s="804">
        <f t="shared" si="124"/>
        <v>0</v>
      </c>
      <c r="M161" s="804">
        <f t="shared" si="124"/>
        <v>118</v>
      </c>
      <c r="N161" s="804">
        <f t="shared" si="124"/>
        <v>118</v>
      </c>
      <c r="O161" s="804">
        <f t="shared" si="124"/>
        <v>0</v>
      </c>
      <c r="P161" s="804">
        <f t="shared" si="124"/>
        <v>0</v>
      </c>
      <c r="Q161" s="804">
        <f t="shared" si="124"/>
        <v>0</v>
      </c>
      <c r="R161" s="464">
        <f t="shared" si="124"/>
        <v>0</v>
      </c>
      <c r="S161" s="464">
        <f t="shared" si="124"/>
        <v>0</v>
      </c>
      <c r="T161" s="464">
        <f t="shared" si="124"/>
        <v>0</v>
      </c>
      <c r="U161" s="464">
        <f t="shared" si="124"/>
        <v>0</v>
      </c>
      <c r="V161" s="464">
        <f t="shared" si="124"/>
        <v>0</v>
      </c>
      <c r="W161" s="464">
        <f t="shared" si="124"/>
        <v>0</v>
      </c>
      <c r="X161" s="464">
        <f t="shared" ref="X161" si="125">SUM(X158:X160)</f>
        <v>21</v>
      </c>
      <c r="Y161" s="464">
        <f t="shared" ref="Y161" si="126">SUM(Y158:Y160)</f>
        <v>21</v>
      </c>
      <c r="Z161" s="464">
        <f t="shared" ref="Z161" si="127">SUM(Z158:Z160)</f>
        <v>0</v>
      </c>
      <c r="AA161" s="464">
        <f t="shared" ref="AA161" si="128">SUM(AA158:AA160)</f>
        <v>0</v>
      </c>
      <c r="AB161" s="464">
        <f t="shared" ref="AB161:AH161" si="129">SUM(AB158:AB160)</f>
        <v>0</v>
      </c>
      <c r="AC161" s="748">
        <f t="shared" si="129"/>
        <v>16470.588235294119</v>
      </c>
      <c r="AD161" s="748">
        <f t="shared" si="129"/>
        <v>5490.1960784313724</v>
      </c>
      <c r="AE161" s="748">
        <f t="shared" si="129"/>
        <v>0</v>
      </c>
      <c r="AF161" s="748">
        <f t="shared" si="129"/>
        <v>0</v>
      </c>
      <c r="AG161" s="748">
        <f t="shared" si="129"/>
        <v>0</v>
      </c>
      <c r="AH161" s="464">
        <f t="shared" si="129"/>
        <v>0</v>
      </c>
      <c r="AI161" s="464">
        <f t="shared" si="124"/>
        <v>0</v>
      </c>
      <c r="AJ161" s="461"/>
    </row>
    <row r="162" spans="1:36" s="321" customFormat="1" ht="11.25" customHeight="1" x14ac:dyDescent="0.25">
      <c r="A162" s="323" t="s">
        <v>378</v>
      </c>
      <c r="B162" s="324" t="s">
        <v>934</v>
      </c>
      <c r="C162" s="324" t="s">
        <v>309</v>
      </c>
      <c r="D162" s="324" t="s">
        <v>1351</v>
      </c>
      <c r="E162" s="324" t="s">
        <v>332</v>
      </c>
      <c r="F162" s="325" t="s">
        <v>466</v>
      </c>
      <c r="G162" s="456" t="s">
        <v>1301</v>
      </c>
      <c r="H162" s="614"/>
      <c r="I162" s="611"/>
      <c r="J162" s="611"/>
      <c r="K162" s="611"/>
      <c r="L162" s="612"/>
      <c r="M162" s="610"/>
      <c r="N162" s="332"/>
      <c r="O162" s="332"/>
      <c r="P162" s="332"/>
      <c r="Q162" s="332"/>
      <c r="R162" s="657"/>
      <c r="S162" s="332"/>
      <c r="T162" s="332"/>
      <c r="U162" s="332"/>
      <c r="V162" s="332"/>
      <c r="W162" s="332"/>
      <c r="X162" s="725">
        <f t="shared" si="88"/>
        <v>0</v>
      </c>
      <c r="Y162" s="725">
        <f t="shared" si="89"/>
        <v>0</v>
      </c>
      <c r="Z162" s="725">
        <f t="shared" si="90"/>
        <v>0</v>
      </c>
      <c r="AA162" s="725">
        <f t="shared" si="91"/>
        <v>0</v>
      </c>
      <c r="AB162" s="725">
        <f t="shared" si="92"/>
        <v>0</v>
      </c>
      <c r="AC162" s="744">
        <f t="shared" si="93"/>
        <v>0</v>
      </c>
      <c r="AD162" s="745">
        <f t="shared" si="94"/>
        <v>0</v>
      </c>
      <c r="AE162" s="745">
        <f t="shared" si="95"/>
        <v>0</v>
      </c>
      <c r="AF162" s="745">
        <f t="shared" si="96"/>
        <v>0</v>
      </c>
      <c r="AG162" s="747">
        <f t="shared" si="97"/>
        <v>0</v>
      </c>
      <c r="AH162" s="340"/>
      <c r="AI162" s="340"/>
      <c r="AJ162" s="461"/>
    </row>
    <row r="163" spans="1:36" s="321" customFormat="1" ht="11.25" customHeight="1" x14ac:dyDescent="0.25">
      <c r="A163" s="323" t="s">
        <v>378</v>
      </c>
      <c r="B163" s="324" t="s">
        <v>462</v>
      </c>
      <c r="C163" s="324" t="s">
        <v>309</v>
      </c>
      <c r="D163" s="324" t="s">
        <v>1352</v>
      </c>
      <c r="E163" s="324" t="s">
        <v>311</v>
      </c>
      <c r="F163" s="325" t="s">
        <v>464</v>
      </c>
      <c r="G163" s="458"/>
      <c r="H163" s="614">
        <v>0</v>
      </c>
      <c r="I163" s="611">
        <v>0</v>
      </c>
      <c r="J163" s="611">
        <v>30</v>
      </c>
      <c r="K163" s="611"/>
      <c r="L163" s="612"/>
      <c r="M163" s="610"/>
      <c r="N163" s="332"/>
      <c r="O163" s="332"/>
      <c r="P163" s="332"/>
      <c r="Q163" s="332"/>
      <c r="R163" s="657"/>
      <c r="S163" s="332"/>
      <c r="T163" s="332"/>
      <c r="U163" s="332"/>
      <c r="V163" s="332"/>
      <c r="W163" s="332"/>
      <c r="X163" s="725">
        <f t="shared" si="88"/>
        <v>0</v>
      </c>
      <c r="Y163" s="725">
        <f t="shared" si="89"/>
        <v>0</v>
      </c>
      <c r="Z163" s="725">
        <f t="shared" si="90"/>
        <v>30</v>
      </c>
      <c r="AA163" s="725">
        <f t="shared" si="91"/>
        <v>0</v>
      </c>
      <c r="AB163" s="725">
        <f t="shared" si="92"/>
        <v>0</v>
      </c>
      <c r="AC163" s="744">
        <f t="shared" si="93"/>
        <v>0</v>
      </c>
      <c r="AD163" s="745">
        <f t="shared" si="94"/>
        <v>0</v>
      </c>
      <c r="AE163" s="745">
        <f t="shared" si="95"/>
        <v>4901.9607843137255</v>
      </c>
      <c r="AF163" s="745">
        <f t="shared" si="96"/>
        <v>0</v>
      </c>
      <c r="AG163" s="747">
        <f t="shared" si="97"/>
        <v>0</v>
      </c>
      <c r="AH163" s="340"/>
      <c r="AI163" s="340"/>
      <c r="AJ163" s="461"/>
    </row>
    <row r="164" spans="1:36" s="321" customFormat="1" ht="11.25" customHeight="1" x14ac:dyDescent="0.25">
      <c r="A164" s="323" t="s">
        <v>378</v>
      </c>
      <c r="B164" s="324" t="s">
        <v>1835</v>
      </c>
      <c r="C164" s="324" t="s">
        <v>309</v>
      </c>
      <c r="D164" s="324" t="s">
        <v>335</v>
      </c>
      <c r="E164" s="324" t="s">
        <v>334</v>
      </c>
      <c r="F164" s="325" t="s">
        <v>466</v>
      </c>
      <c r="G164" s="456" t="s">
        <v>1301</v>
      </c>
      <c r="H164" s="614">
        <v>3</v>
      </c>
      <c r="I164" s="611">
        <v>3</v>
      </c>
      <c r="J164" s="611">
        <v>74</v>
      </c>
      <c r="K164" s="611"/>
      <c r="L164" s="612">
        <v>1</v>
      </c>
      <c r="M164" s="610"/>
      <c r="N164" s="332"/>
      <c r="O164" s="332"/>
      <c r="P164" s="332"/>
      <c r="Q164" s="332"/>
      <c r="R164" s="657"/>
      <c r="S164" s="332"/>
      <c r="T164" s="332"/>
      <c r="U164" s="332"/>
      <c r="V164" s="332"/>
      <c r="W164" s="332"/>
      <c r="X164" s="725">
        <f t="shared" si="88"/>
        <v>3</v>
      </c>
      <c r="Y164" s="725">
        <f t="shared" si="89"/>
        <v>3</v>
      </c>
      <c r="Z164" s="725">
        <f t="shared" si="90"/>
        <v>74</v>
      </c>
      <c r="AA164" s="725">
        <f t="shared" si="91"/>
        <v>0</v>
      </c>
      <c r="AB164" s="725">
        <f t="shared" si="92"/>
        <v>1</v>
      </c>
      <c r="AC164" s="744">
        <f t="shared" si="93"/>
        <v>2352.9411764705883</v>
      </c>
      <c r="AD164" s="745">
        <f t="shared" si="94"/>
        <v>784.31372549019613</v>
      </c>
      <c r="AE164" s="745">
        <f t="shared" si="95"/>
        <v>12091.503267973856</v>
      </c>
      <c r="AF164" s="745">
        <f t="shared" si="96"/>
        <v>0</v>
      </c>
      <c r="AG164" s="747">
        <f t="shared" si="97"/>
        <v>1633.9869281045751</v>
      </c>
      <c r="AH164" s="340"/>
      <c r="AI164" s="340"/>
      <c r="AJ164" s="461" t="s">
        <v>1325</v>
      </c>
    </row>
    <row r="165" spans="1:36" s="321" customFormat="1" ht="11.25" customHeight="1" x14ac:dyDescent="0.25">
      <c r="A165" s="323" t="s">
        <v>378</v>
      </c>
      <c r="B165" s="324" t="s">
        <v>1835</v>
      </c>
      <c r="C165" s="324" t="s">
        <v>309</v>
      </c>
      <c r="D165" s="324" t="s">
        <v>319</v>
      </c>
      <c r="E165" s="324" t="s">
        <v>318</v>
      </c>
      <c r="F165" s="325" t="s">
        <v>464</v>
      </c>
      <c r="G165" s="460"/>
      <c r="H165" s="614"/>
      <c r="I165" s="611"/>
      <c r="J165" s="611">
        <v>6</v>
      </c>
      <c r="K165" s="611">
        <v>30</v>
      </c>
      <c r="L165" s="612"/>
      <c r="M165" s="610"/>
      <c r="N165" s="332"/>
      <c r="O165" s="332"/>
      <c r="P165" s="332"/>
      <c r="Q165" s="332"/>
      <c r="R165" s="657"/>
      <c r="S165" s="332"/>
      <c r="T165" s="332"/>
      <c r="U165" s="332"/>
      <c r="V165" s="332"/>
      <c r="W165" s="332"/>
      <c r="X165" s="725">
        <f t="shared" si="88"/>
        <v>0</v>
      </c>
      <c r="Y165" s="725">
        <f t="shared" si="89"/>
        <v>0</v>
      </c>
      <c r="Z165" s="725">
        <f t="shared" si="90"/>
        <v>6</v>
      </c>
      <c r="AA165" s="725">
        <f t="shared" si="91"/>
        <v>30</v>
      </c>
      <c r="AB165" s="725">
        <f t="shared" si="92"/>
        <v>0</v>
      </c>
      <c r="AC165" s="744">
        <f t="shared" si="93"/>
        <v>0</v>
      </c>
      <c r="AD165" s="745">
        <f t="shared" si="94"/>
        <v>0</v>
      </c>
      <c r="AE165" s="745">
        <f t="shared" si="95"/>
        <v>980.39215686274508</v>
      </c>
      <c r="AF165" s="745">
        <f t="shared" si="96"/>
        <v>980.39215686274508</v>
      </c>
      <c r="AG165" s="747">
        <f t="shared" si="97"/>
        <v>0</v>
      </c>
      <c r="AH165" s="340"/>
      <c r="AI165" s="340"/>
      <c r="AJ165" s="461"/>
    </row>
    <row r="166" spans="1:36" s="321" customFormat="1" ht="11.25" customHeight="1" x14ac:dyDescent="0.25">
      <c r="A166" s="323" t="s">
        <v>378</v>
      </c>
      <c r="B166" s="324" t="s">
        <v>934</v>
      </c>
      <c r="C166" s="324" t="s">
        <v>309</v>
      </c>
      <c r="D166" s="324" t="s">
        <v>1353</v>
      </c>
      <c r="E166" s="324" t="s">
        <v>320</v>
      </c>
      <c r="F166" s="325" t="s">
        <v>466</v>
      </c>
      <c r="G166" s="456" t="s">
        <v>1301</v>
      </c>
      <c r="H166" s="614">
        <v>275</v>
      </c>
      <c r="I166" s="611">
        <v>275</v>
      </c>
      <c r="J166" s="611"/>
      <c r="K166" s="611"/>
      <c r="L166" s="612"/>
      <c r="M166" s="610">
        <v>100</v>
      </c>
      <c r="N166" s="332">
        <v>100</v>
      </c>
      <c r="O166" s="332"/>
      <c r="P166" s="332"/>
      <c r="Q166" s="332"/>
      <c r="R166" s="657" t="s">
        <v>1847</v>
      </c>
      <c r="S166" s="332"/>
      <c r="T166" s="332"/>
      <c r="U166" s="332"/>
      <c r="V166" s="332"/>
      <c r="W166" s="332"/>
      <c r="X166" s="725">
        <f t="shared" si="88"/>
        <v>175</v>
      </c>
      <c r="Y166" s="725">
        <f t="shared" si="89"/>
        <v>175</v>
      </c>
      <c r="Z166" s="725">
        <f t="shared" si="90"/>
        <v>0</v>
      </c>
      <c r="AA166" s="725">
        <f t="shared" si="91"/>
        <v>0</v>
      </c>
      <c r="AB166" s="725">
        <f t="shared" si="92"/>
        <v>0</v>
      </c>
      <c r="AC166" s="744">
        <f t="shared" si="93"/>
        <v>137254.90196078431</v>
      </c>
      <c r="AD166" s="745">
        <f t="shared" si="94"/>
        <v>45751.633986928107</v>
      </c>
      <c r="AE166" s="745">
        <f t="shared" si="95"/>
        <v>0</v>
      </c>
      <c r="AF166" s="745">
        <f t="shared" si="96"/>
        <v>0</v>
      </c>
      <c r="AG166" s="747">
        <f t="shared" si="97"/>
        <v>0</v>
      </c>
      <c r="AH166" s="340"/>
      <c r="AI166" s="340"/>
      <c r="AJ166" s="461"/>
    </row>
    <row r="167" spans="1:36" s="321" customFormat="1" ht="11.25" customHeight="1" x14ac:dyDescent="0.25">
      <c r="A167" s="323" t="s">
        <v>378</v>
      </c>
      <c r="B167" s="324" t="s">
        <v>462</v>
      </c>
      <c r="C167" s="324" t="s">
        <v>309</v>
      </c>
      <c r="D167" s="324" t="s">
        <v>327</v>
      </c>
      <c r="E167" s="324" t="s">
        <v>326</v>
      </c>
      <c r="F167" s="325" t="s">
        <v>464</v>
      </c>
      <c r="G167" s="460"/>
      <c r="H167" s="614">
        <v>236</v>
      </c>
      <c r="I167" s="611">
        <v>236</v>
      </c>
      <c r="J167" s="611">
        <v>50</v>
      </c>
      <c r="K167" s="611">
        <v>15</v>
      </c>
      <c r="L167" s="612">
        <v>0</v>
      </c>
      <c r="M167" s="610"/>
      <c r="N167" s="332"/>
      <c r="O167" s="332"/>
      <c r="P167" s="332"/>
      <c r="Q167" s="332"/>
      <c r="R167" s="657"/>
      <c r="S167" s="332"/>
      <c r="T167" s="332"/>
      <c r="U167" s="332"/>
      <c r="V167" s="332"/>
      <c r="W167" s="332"/>
      <c r="X167" s="725">
        <f t="shared" si="88"/>
        <v>236</v>
      </c>
      <c r="Y167" s="725">
        <f t="shared" si="89"/>
        <v>236</v>
      </c>
      <c r="Z167" s="725">
        <f t="shared" si="90"/>
        <v>50</v>
      </c>
      <c r="AA167" s="725">
        <f t="shared" si="91"/>
        <v>15</v>
      </c>
      <c r="AB167" s="725">
        <f t="shared" si="92"/>
        <v>0</v>
      </c>
      <c r="AC167" s="744">
        <f t="shared" si="93"/>
        <v>185098.03921568627</v>
      </c>
      <c r="AD167" s="745">
        <f t="shared" si="94"/>
        <v>61699.34640522876</v>
      </c>
      <c r="AE167" s="745">
        <f t="shared" si="95"/>
        <v>8169.9346405228762</v>
      </c>
      <c r="AF167" s="745">
        <f t="shared" si="96"/>
        <v>490.19607843137254</v>
      </c>
      <c r="AG167" s="747">
        <f t="shared" si="97"/>
        <v>0</v>
      </c>
      <c r="AH167" s="340"/>
      <c r="AI167" s="340"/>
      <c r="AJ167" s="461"/>
    </row>
    <row r="168" spans="1:36" s="321" customFormat="1" ht="11.25" customHeight="1" x14ac:dyDescent="0.25">
      <c r="A168" s="323" t="s">
        <v>378</v>
      </c>
      <c r="B168" s="324" t="s">
        <v>934</v>
      </c>
      <c r="C168" s="324" t="s">
        <v>309</v>
      </c>
      <c r="D168" s="324" t="s">
        <v>1354</v>
      </c>
      <c r="E168" s="324" t="s">
        <v>328</v>
      </c>
      <c r="F168" s="325" t="s">
        <v>464</v>
      </c>
      <c r="G168" s="456" t="s">
        <v>1301</v>
      </c>
      <c r="H168" s="614">
        <v>13</v>
      </c>
      <c r="I168" s="611">
        <v>13</v>
      </c>
      <c r="J168" s="611"/>
      <c r="K168" s="611"/>
      <c r="L168" s="612"/>
      <c r="M168" s="610"/>
      <c r="N168" s="332"/>
      <c r="O168" s="332"/>
      <c r="P168" s="332"/>
      <c r="Q168" s="332"/>
      <c r="R168" s="657"/>
      <c r="S168" s="332"/>
      <c r="T168" s="332"/>
      <c r="U168" s="332"/>
      <c r="V168" s="332"/>
      <c r="W168" s="332"/>
      <c r="X168" s="725">
        <f t="shared" si="88"/>
        <v>13</v>
      </c>
      <c r="Y168" s="725">
        <f t="shared" si="89"/>
        <v>13</v>
      </c>
      <c r="Z168" s="725">
        <f t="shared" si="90"/>
        <v>0</v>
      </c>
      <c r="AA168" s="725">
        <f t="shared" si="91"/>
        <v>0</v>
      </c>
      <c r="AB168" s="725">
        <f t="shared" si="92"/>
        <v>0</v>
      </c>
      <c r="AC168" s="744">
        <f t="shared" si="93"/>
        <v>10196.078431372549</v>
      </c>
      <c r="AD168" s="745">
        <f t="shared" si="94"/>
        <v>3398.6928104575163</v>
      </c>
      <c r="AE168" s="745">
        <f t="shared" si="95"/>
        <v>0</v>
      </c>
      <c r="AF168" s="745">
        <f t="shared" si="96"/>
        <v>0</v>
      </c>
      <c r="AG168" s="747">
        <f t="shared" si="97"/>
        <v>0</v>
      </c>
      <c r="AH168" s="340"/>
      <c r="AI168" s="340"/>
      <c r="AJ168" s="461" t="s">
        <v>1685</v>
      </c>
    </row>
    <row r="169" spans="1:36" s="321" customFormat="1" ht="11.25" customHeight="1" x14ac:dyDescent="0.25">
      <c r="A169" s="323" t="s">
        <v>378</v>
      </c>
      <c r="B169" s="324" t="s">
        <v>1835</v>
      </c>
      <c r="C169" s="324" t="s">
        <v>309</v>
      </c>
      <c r="D169" s="324" t="s">
        <v>323</v>
      </c>
      <c r="E169" s="324" t="s">
        <v>322</v>
      </c>
      <c r="F169" s="325" t="s">
        <v>464</v>
      </c>
      <c r="G169" s="460" t="s">
        <v>1301</v>
      </c>
      <c r="H169" s="614">
        <v>20</v>
      </c>
      <c r="I169" s="611">
        <v>20</v>
      </c>
      <c r="J169" s="611">
        <v>20</v>
      </c>
      <c r="K169" s="611">
        <v>100</v>
      </c>
      <c r="L169" s="612"/>
      <c r="M169" s="610"/>
      <c r="N169" s="332"/>
      <c r="O169" s="332"/>
      <c r="P169" s="332">
        <v>100</v>
      </c>
      <c r="Q169" s="332"/>
      <c r="R169" s="657" t="s">
        <v>1838</v>
      </c>
      <c r="S169" s="332"/>
      <c r="T169" s="332"/>
      <c r="U169" s="332"/>
      <c r="V169" s="332"/>
      <c r="W169" s="332"/>
      <c r="X169" s="725">
        <f t="shared" si="88"/>
        <v>20</v>
      </c>
      <c r="Y169" s="725">
        <f t="shared" si="89"/>
        <v>20</v>
      </c>
      <c r="Z169" s="725">
        <f t="shared" si="90"/>
        <v>20</v>
      </c>
      <c r="AA169" s="725">
        <f t="shared" si="91"/>
        <v>0</v>
      </c>
      <c r="AB169" s="725">
        <f t="shared" si="92"/>
        <v>0</v>
      </c>
      <c r="AC169" s="744">
        <f t="shared" si="93"/>
        <v>15686.274509803921</v>
      </c>
      <c r="AD169" s="745">
        <f t="shared" si="94"/>
        <v>5228.7581699346401</v>
      </c>
      <c r="AE169" s="745">
        <f t="shared" si="95"/>
        <v>3267.9738562091502</v>
      </c>
      <c r="AF169" s="745">
        <f t="shared" si="96"/>
        <v>0</v>
      </c>
      <c r="AG169" s="747">
        <f t="shared" si="97"/>
        <v>0</v>
      </c>
      <c r="AH169" s="340"/>
      <c r="AI169" s="340"/>
      <c r="AJ169" s="461"/>
    </row>
    <row r="170" spans="1:36" s="321" customFormat="1" ht="11.25" customHeight="1" x14ac:dyDescent="0.25">
      <c r="A170" s="323" t="s">
        <v>378</v>
      </c>
      <c r="B170" s="324" t="s">
        <v>1835</v>
      </c>
      <c r="C170" s="324" t="s">
        <v>309</v>
      </c>
      <c r="D170" s="324" t="s">
        <v>325</v>
      </c>
      <c r="E170" s="324" t="s">
        <v>324</v>
      </c>
      <c r="F170" s="325" t="s">
        <v>464</v>
      </c>
      <c r="G170" s="456" t="s">
        <v>1301</v>
      </c>
      <c r="H170" s="614"/>
      <c r="I170" s="611"/>
      <c r="J170" s="611"/>
      <c r="K170" s="611">
        <v>30</v>
      </c>
      <c r="L170" s="612"/>
      <c r="M170" s="610"/>
      <c r="N170" s="332"/>
      <c r="O170" s="332"/>
      <c r="P170" s="332">
        <v>30</v>
      </c>
      <c r="Q170" s="332"/>
      <c r="R170" s="657" t="s">
        <v>1838</v>
      </c>
      <c r="S170" s="332"/>
      <c r="T170" s="332"/>
      <c r="U170" s="332"/>
      <c r="V170" s="332"/>
      <c r="W170" s="332"/>
      <c r="X170" s="725">
        <f t="shared" si="88"/>
        <v>0</v>
      </c>
      <c r="Y170" s="725">
        <f t="shared" si="89"/>
        <v>0</v>
      </c>
      <c r="Z170" s="725">
        <f t="shared" si="90"/>
        <v>0</v>
      </c>
      <c r="AA170" s="725">
        <f t="shared" si="91"/>
        <v>0</v>
      </c>
      <c r="AB170" s="725">
        <f t="shared" si="92"/>
        <v>0</v>
      </c>
      <c r="AC170" s="744">
        <f t="shared" si="93"/>
        <v>0</v>
      </c>
      <c r="AD170" s="745">
        <f t="shared" si="94"/>
        <v>0</v>
      </c>
      <c r="AE170" s="745">
        <f t="shared" si="95"/>
        <v>0</v>
      </c>
      <c r="AF170" s="745">
        <f t="shared" si="96"/>
        <v>0</v>
      </c>
      <c r="AG170" s="747">
        <f t="shared" si="97"/>
        <v>0</v>
      </c>
      <c r="AH170" s="340"/>
      <c r="AI170" s="340"/>
      <c r="AJ170" s="461" t="s">
        <v>1325</v>
      </c>
    </row>
    <row r="171" spans="1:36" s="321" customFormat="1" ht="11.25" customHeight="1" x14ac:dyDescent="0.25">
      <c r="A171" s="323" t="s">
        <v>378</v>
      </c>
      <c r="B171" s="324" t="s">
        <v>462</v>
      </c>
      <c r="C171" s="324" t="s">
        <v>309</v>
      </c>
      <c r="D171" s="324" t="s">
        <v>342</v>
      </c>
      <c r="E171" s="324" t="s">
        <v>341</v>
      </c>
      <c r="F171" s="325" t="s">
        <v>464</v>
      </c>
      <c r="G171" s="460"/>
      <c r="H171" s="614">
        <v>5</v>
      </c>
      <c r="I171" s="611">
        <v>5</v>
      </c>
      <c r="J171" s="611">
        <v>5</v>
      </c>
      <c r="K171" s="611"/>
      <c r="L171" s="612">
        <v>0</v>
      </c>
      <c r="M171" s="610"/>
      <c r="N171" s="332"/>
      <c r="O171" s="332"/>
      <c r="P171" s="332"/>
      <c r="Q171" s="332"/>
      <c r="R171" s="657"/>
      <c r="S171" s="332"/>
      <c r="T171" s="332"/>
      <c r="U171" s="332"/>
      <c r="V171" s="332"/>
      <c r="W171" s="332"/>
      <c r="X171" s="725">
        <f t="shared" si="88"/>
        <v>5</v>
      </c>
      <c r="Y171" s="725">
        <f t="shared" si="89"/>
        <v>5</v>
      </c>
      <c r="Z171" s="725">
        <f t="shared" si="90"/>
        <v>5</v>
      </c>
      <c r="AA171" s="725">
        <f t="shared" si="91"/>
        <v>0</v>
      </c>
      <c r="AB171" s="725">
        <f t="shared" si="92"/>
        <v>0</v>
      </c>
      <c r="AC171" s="744">
        <f t="shared" si="93"/>
        <v>3921.5686274509803</v>
      </c>
      <c r="AD171" s="745">
        <f t="shared" si="94"/>
        <v>1307.18954248366</v>
      </c>
      <c r="AE171" s="745">
        <f t="shared" si="95"/>
        <v>816.99346405228755</v>
      </c>
      <c r="AF171" s="745">
        <f t="shared" si="96"/>
        <v>0</v>
      </c>
      <c r="AG171" s="747">
        <f t="shared" si="97"/>
        <v>0</v>
      </c>
      <c r="AH171" s="340"/>
      <c r="AI171" s="340"/>
      <c r="AJ171" s="461"/>
    </row>
    <row r="172" spans="1:36" s="321" customFormat="1" ht="11.25" customHeight="1" x14ac:dyDescent="0.25">
      <c r="A172" s="323" t="s">
        <v>378</v>
      </c>
      <c r="B172" s="324" t="s">
        <v>1835</v>
      </c>
      <c r="C172" s="324" t="s">
        <v>309</v>
      </c>
      <c r="D172" s="324" t="s">
        <v>1028</v>
      </c>
      <c r="E172" s="324" t="s">
        <v>343</v>
      </c>
      <c r="F172" s="325" t="s">
        <v>466</v>
      </c>
      <c r="G172" s="456" t="s">
        <v>1451</v>
      </c>
      <c r="H172" s="614">
        <v>74</v>
      </c>
      <c r="I172" s="611">
        <v>74</v>
      </c>
      <c r="J172" s="611"/>
      <c r="K172" s="611">
        <v>10</v>
      </c>
      <c r="L172" s="612"/>
      <c r="M172" s="610"/>
      <c r="N172" s="332"/>
      <c r="O172" s="332"/>
      <c r="P172" s="332"/>
      <c r="Q172" s="332"/>
      <c r="R172" s="657"/>
      <c r="S172" s="332"/>
      <c r="T172" s="332"/>
      <c r="U172" s="332"/>
      <c r="V172" s="332"/>
      <c r="W172" s="332"/>
      <c r="X172" s="725">
        <f t="shared" si="88"/>
        <v>74</v>
      </c>
      <c r="Y172" s="725">
        <f t="shared" si="89"/>
        <v>74</v>
      </c>
      <c r="Z172" s="725">
        <f t="shared" si="90"/>
        <v>0</v>
      </c>
      <c r="AA172" s="725">
        <f t="shared" si="91"/>
        <v>10</v>
      </c>
      <c r="AB172" s="725">
        <f t="shared" si="92"/>
        <v>0</v>
      </c>
      <c r="AC172" s="744">
        <f t="shared" si="93"/>
        <v>58039.215686274511</v>
      </c>
      <c r="AD172" s="745">
        <f t="shared" si="94"/>
        <v>19346.405228758169</v>
      </c>
      <c r="AE172" s="745">
        <f t="shared" si="95"/>
        <v>0</v>
      </c>
      <c r="AF172" s="745">
        <f t="shared" si="96"/>
        <v>326.79738562091501</v>
      </c>
      <c r="AG172" s="747">
        <f t="shared" si="97"/>
        <v>0</v>
      </c>
      <c r="AH172" s="340"/>
      <c r="AI172" s="340"/>
      <c r="AJ172" s="461" t="s">
        <v>1325</v>
      </c>
    </row>
    <row r="173" spans="1:36" s="321" customFormat="1" ht="11.25" customHeight="1" x14ac:dyDescent="0.25">
      <c r="A173" s="323" t="s">
        <v>378</v>
      </c>
      <c r="B173" s="324" t="s">
        <v>934</v>
      </c>
      <c r="C173" s="324" t="s">
        <v>309</v>
      </c>
      <c r="D173" s="324" t="s">
        <v>1355</v>
      </c>
      <c r="E173" s="324" t="s">
        <v>352</v>
      </c>
      <c r="F173" s="337" t="s">
        <v>466</v>
      </c>
      <c r="G173" s="458"/>
      <c r="H173" s="614"/>
      <c r="I173" s="611"/>
      <c r="J173" s="611">
        <v>6</v>
      </c>
      <c r="K173" s="611"/>
      <c r="L173" s="612"/>
      <c r="M173" s="610"/>
      <c r="N173" s="332"/>
      <c r="O173" s="332"/>
      <c r="P173" s="332"/>
      <c r="Q173" s="332"/>
      <c r="R173" s="657"/>
      <c r="S173" s="332"/>
      <c r="T173" s="332"/>
      <c r="U173" s="332"/>
      <c r="V173" s="332"/>
      <c r="W173" s="332"/>
      <c r="X173" s="725">
        <f t="shared" si="88"/>
        <v>0</v>
      </c>
      <c r="Y173" s="725">
        <f t="shared" si="89"/>
        <v>0</v>
      </c>
      <c r="Z173" s="725">
        <f t="shared" si="90"/>
        <v>6</v>
      </c>
      <c r="AA173" s="725">
        <f t="shared" si="91"/>
        <v>0</v>
      </c>
      <c r="AB173" s="725">
        <f t="shared" si="92"/>
        <v>0</v>
      </c>
      <c r="AC173" s="744">
        <f t="shared" si="93"/>
        <v>0</v>
      </c>
      <c r="AD173" s="745">
        <f t="shared" si="94"/>
        <v>0</v>
      </c>
      <c r="AE173" s="745">
        <f t="shared" si="95"/>
        <v>980.39215686274508</v>
      </c>
      <c r="AF173" s="745">
        <f t="shared" si="96"/>
        <v>0</v>
      </c>
      <c r="AG173" s="747">
        <f t="shared" si="97"/>
        <v>0</v>
      </c>
      <c r="AH173" s="340"/>
      <c r="AI173" s="340"/>
      <c r="AJ173" s="461"/>
    </row>
    <row r="174" spans="1:36" s="321" customFormat="1" ht="11.25" customHeight="1" x14ac:dyDescent="0.25">
      <c r="A174" s="323" t="s">
        <v>378</v>
      </c>
      <c r="B174" s="324" t="s">
        <v>462</v>
      </c>
      <c r="C174" s="324" t="s">
        <v>309</v>
      </c>
      <c r="D174" s="324" t="s">
        <v>1356</v>
      </c>
      <c r="E174" s="324" t="s">
        <v>316</v>
      </c>
      <c r="F174" s="325" t="s">
        <v>464</v>
      </c>
      <c r="G174" s="456" t="s">
        <v>1301</v>
      </c>
      <c r="H174" s="614">
        <v>10</v>
      </c>
      <c r="I174" s="611">
        <v>10</v>
      </c>
      <c r="J174" s="611">
        <v>20</v>
      </c>
      <c r="K174" s="611">
        <v>50</v>
      </c>
      <c r="L174" s="612">
        <v>1</v>
      </c>
      <c r="M174" s="610"/>
      <c r="N174" s="332"/>
      <c r="O174" s="332"/>
      <c r="P174" s="332"/>
      <c r="Q174" s="332"/>
      <c r="R174" s="657"/>
      <c r="S174" s="332"/>
      <c r="T174" s="332"/>
      <c r="U174" s="332"/>
      <c r="V174" s="332"/>
      <c r="W174" s="332"/>
      <c r="X174" s="725">
        <f t="shared" si="88"/>
        <v>10</v>
      </c>
      <c r="Y174" s="725">
        <f t="shared" si="89"/>
        <v>10</v>
      </c>
      <c r="Z174" s="725">
        <f t="shared" si="90"/>
        <v>20</v>
      </c>
      <c r="AA174" s="725">
        <f t="shared" si="91"/>
        <v>50</v>
      </c>
      <c r="AB174" s="725">
        <f t="shared" si="92"/>
        <v>1</v>
      </c>
      <c r="AC174" s="744">
        <f t="shared" si="93"/>
        <v>7843.1372549019607</v>
      </c>
      <c r="AD174" s="745">
        <f t="shared" si="94"/>
        <v>2614.3790849673201</v>
      </c>
      <c r="AE174" s="745">
        <f t="shared" si="95"/>
        <v>3267.9738562091502</v>
      </c>
      <c r="AF174" s="745">
        <f t="shared" si="96"/>
        <v>1633.9869281045751</v>
      </c>
      <c r="AG174" s="747">
        <f t="shared" si="97"/>
        <v>1633.9869281045751</v>
      </c>
      <c r="AH174" s="340"/>
      <c r="AI174" s="340"/>
      <c r="AJ174" s="461"/>
    </row>
    <row r="175" spans="1:36" s="321" customFormat="1" ht="11.25" customHeight="1" x14ac:dyDescent="0.25">
      <c r="A175" s="323" t="s">
        <v>378</v>
      </c>
      <c r="B175" s="324" t="s">
        <v>1835</v>
      </c>
      <c r="C175" s="324" t="s">
        <v>309</v>
      </c>
      <c r="D175" s="324" t="s">
        <v>1357</v>
      </c>
      <c r="E175" s="324" t="s">
        <v>339</v>
      </c>
      <c r="F175" s="325" t="s">
        <v>464</v>
      </c>
      <c r="G175" s="458" t="s">
        <v>1451</v>
      </c>
      <c r="H175" s="614">
        <v>10</v>
      </c>
      <c r="I175" s="611">
        <v>10</v>
      </c>
      <c r="J175" s="611"/>
      <c r="K175" s="611"/>
      <c r="L175" s="612"/>
      <c r="M175" s="610">
        <v>10</v>
      </c>
      <c r="N175" s="332">
        <v>10</v>
      </c>
      <c r="O175" s="332"/>
      <c r="P175" s="332"/>
      <c r="Q175" s="332"/>
      <c r="R175" s="657" t="s">
        <v>1839</v>
      </c>
      <c r="S175" s="332"/>
      <c r="T175" s="332"/>
      <c r="U175" s="332"/>
      <c r="V175" s="332"/>
      <c r="W175" s="332"/>
      <c r="X175" s="725">
        <f t="shared" si="88"/>
        <v>0</v>
      </c>
      <c r="Y175" s="725">
        <f t="shared" si="89"/>
        <v>0</v>
      </c>
      <c r="Z175" s="725">
        <f t="shared" si="90"/>
        <v>0</v>
      </c>
      <c r="AA175" s="725">
        <f t="shared" si="91"/>
        <v>0</v>
      </c>
      <c r="AB175" s="725">
        <f t="shared" si="92"/>
        <v>0</v>
      </c>
      <c r="AC175" s="744">
        <f t="shared" si="93"/>
        <v>0</v>
      </c>
      <c r="AD175" s="745">
        <f t="shared" si="94"/>
        <v>0</v>
      </c>
      <c r="AE175" s="745">
        <f t="shared" si="95"/>
        <v>0</v>
      </c>
      <c r="AF175" s="745">
        <f t="shared" si="96"/>
        <v>0</v>
      </c>
      <c r="AG175" s="747">
        <f t="shared" si="97"/>
        <v>0</v>
      </c>
      <c r="AH175" s="340"/>
      <c r="AI175" s="340"/>
      <c r="AJ175" s="461"/>
    </row>
    <row r="176" spans="1:36" s="321" customFormat="1" ht="11.25" customHeight="1" x14ac:dyDescent="0.25">
      <c r="A176" s="323" t="s">
        <v>378</v>
      </c>
      <c r="B176" s="324" t="s">
        <v>462</v>
      </c>
      <c r="C176" s="324" t="s">
        <v>309</v>
      </c>
      <c r="D176" s="324" t="s">
        <v>1358</v>
      </c>
      <c r="E176" s="324" t="s">
        <v>336</v>
      </c>
      <c r="F176" s="325" t="s">
        <v>464</v>
      </c>
      <c r="G176" s="456"/>
      <c r="H176" s="614">
        <v>55</v>
      </c>
      <c r="I176" s="611">
        <v>55</v>
      </c>
      <c r="J176" s="611"/>
      <c r="K176" s="611">
        <v>10</v>
      </c>
      <c r="L176" s="612">
        <v>0</v>
      </c>
      <c r="M176" s="610">
        <v>55</v>
      </c>
      <c r="N176" s="332">
        <v>55</v>
      </c>
      <c r="O176" s="332"/>
      <c r="P176" s="332"/>
      <c r="Q176" s="332"/>
      <c r="R176" s="657" t="s">
        <v>2096</v>
      </c>
      <c r="S176" s="332"/>
      <c r="T176" s="332"/>
      <c r="U176" s="332"/>
      <c r="V176" s="332"/>
      <c r="W176" s="332"/>
      <c r="X176" s="725">
        <f t="shared" si="88"/>
        <v>0</v>
      </c>
      <c r="Y176" s="725">
        <f t="shared" si="89"/>
        <v>0</v>
      </c>
      <c r="Z176" s="725">
        <f t="shared" si="90"/>
        <v>0</v>
      </c>
      <c r="AA176" s="725">
        <f t="shared" si="91"/>
        <v>10</v>
      </c>
      <c r="AB176" s="725">
        <f t="shared" si="92"/>
        <v>0</v>
      </c>
      <c r="AC176" s="744">
        <f t="shared" si="93"/>
        <v>0</v>
      </c>
      <c r="AD176" s="745">
        <f t="shared" si="94"/>
        <v>0</v>
      </c>
      <c r="AE176" s="745">
        <f t="shared" si="95"/>
        <v>0</v>
      </c>
      <c r="AF176" s="745">
        <f t="shared" si="96"/>
        <v>326.79738562091501</v>
      </c>
      <c r="AG176" s="747">
        <f t="shared" si="97"/>
        <v>0</v>
      </c>
      <c r="AH176" s="340"/>
      <c r="AI176" s="340"/>
      <c r="AJ176" s="461"/>
    </row>
    <row r="177" spans="1:36" s="321" customFormat="1" ht="11.25" customHeight="1" x14ac:dyDescent="0.25">
      <c r="A177" s="323" t="s">
        <v>378</v>
      </c>
      <c r="B177" s="324" t="s">
        <v>1835</v>
      </c>
      <c r="C177" s="324" t="s">
        <v>309</v>
      </c>
      <c r="D177" s="324" t="s">
        <v>345</v>
      </c>
      <c r="E177" s="324" t="s">
        <v>344</v>
      </c>
      <c r="F177" s="325" t="s">
        <v>464</v>
      </c>
      <c r="G177" s="456" t="s">
        <v>1451</v>
      </c>
      <c r="H177" s="614">
        <v>15</v>
      </c>
      <c r="I177" s="611">
        <v>15</v>
      </c>
      <c r="J177" s="611">
        <v>30</v>
      </c>
      <c r="K177" s="611">
        <v>70</v>
      </c>
      <c r="L177" s="612">
        <v>0</v>
      </c>
      <c r="M177" s="610"/>
      <c r="N177" s="332"/>
      <c r="O177" s="332"/>
      <c r="P177" s="332"/>
      <c r="Q177" s="332"/>
      <c r="R177" s="657"/>
      <c r="S177" s="332"/>
      <c r="T177" s="332"/>
      <c r="U177" s="332"/>
      <c r="V177" s="332"/>
      <c r="W177" s="332"/>
      <c r="X177" s="725">
        <f t="shared" si="88"/>
        <v>15</v>
      </c>
      <c r="Y177" s="725">
        <f t="shared" si="89"/>
        <v>15</v>
      </c>
      <c r="Z177" s="725">
        <f t="shared" si="90"/>
        <v>30</v>
      </c>
      <c r="AA177" s="725">
        <f t="shared" si="91"/>
        <v>70</v>
      </c>
      <c r="AB177" s="725">
        <f t="shared" si="92"/>
        <v>0</v>
      </c>
      <c r="AC177" s="744">
        <f t="shared" si="93"/>
        <v>11764.705882352941</v>
      </c>
      <c r="AD177" s="745">
        <f t="shared" si="94"/>
        <v>3921.5686274509803</v>
      </c>
      <c r="AE177" s="745">
        <f t="shared" si="95"/>
        <v>4901.9607843137255</v>
      </c>
      <c r="AF177" s="745">
        <f t="shared" si="96"/>
        <v>2287.581699346405</v>
      </c>
      <c r="AG177" s="747">
        <f t="shared" si="97"/>
        <v>0</v>
      </c>
      <c r="AH177" s="340"/>
      <c r="AI177" s="340"/>
      <c r="AJ177" s="461" t="s">
        <v>1325</v>
      </c>
    </row>
    <row r="178" spans="1:36" s="321" customFormat="1" ht="11.25" customHeight="1" x14ac:dyDescent="0.25">
      <c r="A178" s="323" t="s">
        <v>378</v>
      </c>
      <c r="B178" s="324" t="s">
        <v>462</v>
      </c>
      <c r="C178" s="324" t="s">
        <v>309</v>
      </c>
      <c r="D178" s="324" t="s">
        <v>347</v>
      </c>
      <c r="E178" s="324" t="s">
        <v>346</v>
      </c>
      <c r="F178" s="325" t="s">
        <v>464</v>
      </c>
      <c r="G178" s="460"/>
      <c r="H178" s="614">
        <v>0</v>
      </c>
      <c r="I178" s="611">
        <v>10</v>
      </c>
      <c r="J178" s="611"/>
      <c r="K178" s="611">
        <v>20</v>
      </c>
      <c r="L178" s="612">
        <v>1</v>
      </c>
      <c r="M178" s="610"/>
      <c r="N178" s="332"/>
      <c r="O178" s="332"/>
      <c r="P178" s="332"/>
      <c r="Q178" s="332"/>
      <c r="R178" s="657"/>
      <c r="S178" s="332"/>
      <c r="T178" s="332"/>
      <c r="U178" s="332"/>
      <c r="V178" s="332"/>
      <c r="W178" s="332"/>
      <c r="X178" s="725">
        <f t="shared" si="88"/>
        <v>0</v>
      </c>
      <c r="Y178" s="725">
        <f t="shared" si="89"/>
        <v>10</v>
      </c>
      <c r="Z178" s="725">
        <f t="shared" si="90"/>
        <v>0</v>
      </c>
      <c r="AA178" s="725">
        <f t="shared" si="91"/>
        <v>20</v>
      </c>
      <c r="AB178" s="725">
        <f t="shared" si="92"/>
        <v>1</v>
      </c>
      <c r="AC178" s="744">
        <f t="shared" si="93"/>
        <v>0</v>
      </c>
      <c r="AD178" s="745">
        <f t="shared" si="94"/>
        <v>2614.3790849673201</v>
      </c>
      <c r="AE178" s="745">
        <f t="shared" si="95"/>
        <v>0</v>
      </c>
      <c r="AF178" s="745">
        <f t="shared" si="96"/>
        <v>653.59477124183002</v>
      </c>
      <c r="AG178" s="747">
        <f t="shared" si="97"/>
        <v>1633.9869281045751</v>
      </c>
      <c r="AH178" s="340"/>
      <c r="AI178" s="340"/>
      <c r="AJ178" s="461"/>
    </row>
    <row r="179" spans="1:36" s="321" customFormat="1" ht="11.25" customHeight="1" x14ac:dyDescent="0.25">
      <c r="A179" s="323" t="s">
        <v>378</v>
      </c>
      <c r="B179" s="324" t="s">
        <v>462</v>
      </c>
      <c r="C179" s="324" t="s">
        <v>309</v>
      </c>
      <c r="D179" s="332" t="s">
        <v>1359</v>
      </c>
      <c r="E179" s="324" t="s">
        <v>314</v>
      </c>
      <c r="F179" s="325" t="s">
        <v>464</v>
      </c>
      <c r="G179" s="456"/>
      <c r="H179" s="614">
        <v>0</v>
      </c>
      <c r="I179" s="611">
        <v>0</v>
      </c>
      <c r="J179" s="611">
        <v>0</v>
      </c>
      <c r="K179" s="611">
        <v>20</v>
      </c>
      <c r="L179" s="612">
        <v>1</v>
      </c>
      <c r="M179" s="610"/>
      <c r="N179" s="332"/>
      <c r="O179" s="332"/>
      <c r="P179" s="332"/>
      <c r="Q179" s="332"/>
      <c r="R179" s="657"/>
      <c r="S179" s="332"/>
      <c r="T179" s="332"/>
      <c r="U179" s="332"/>
      <c r="V179" s="332"/>
      <c r="W179" s="332"/>
      <c r="X179" s="725">
        <f t="shared" si="88"/>
        <v>0</v>
      </c>
      <c r="Y179" s="725">
        <f t="shared" si="89"/>
        <v>0</v>
      </c>
      <c r="Z179" s="725">
        <f t="shared" si="90"/>
        <v>0</v>
      </c>
      <c r="AA179" s="725">
        <f t="shared" si="91"/>
        <v>20</v>
      </c>
      <c r="AB179" s="725">
        <f t="shared" si="92"/>
        <v>1</v>
      </c>
      <c r="AC179" s="744">
        <f t="shared" si="93"/>
        <v>0</v>
      </c>
      <c r="AD179" s="745">
        <f t="shared" si="94"/>
        <v>0</v>
      </c>
      <c r="AE179" s="745">
        <f t="shared" si="95"/>
        <v>0</v>
      </c>
      <c r="AF179" s="745">
        <f t="shared" si="96"/>
        <v>653.59477124183002</v>
      </c>
      <c r="AG179" s="747">
        <f t="shared" si="97"/>
        <v>1633.9869281045751</v>
      </c>
      <c r="AH179" s="340"/>
      <c r="AI179" s="340"/>
      <c r="AJ179" s="461"/>
    </row>
    <row r="180" spans="1:36" s="321" customFormat="1" ht="11.25" customHeight="1" x14ac:dyDescent="0.25">
      <c r="A180" s="323" t="s">
        <v>378</v>
      </c>
      <c r="B180" s="324" t="s">
        <v>1835</v>
      </c>
      <c r="C180" s="324" t="s">
        <v>309</v>
      </c>
      <c r="D180" s="332" t="s">
        <v>1261</v>
      </c>
      <c r="E180" s="324" t="s">
        <v>1259</v>
      </c>
      <c r="F180" s="325" t="s">
        <v>466</v>
      </c>
      <c r="G180" s="456" t="s">
        <v>1301</v>
      </c>
      <c r="H180" s="614">
        <v>15</v>
      </c>
      <c r="I180" s="611">
        <v>15</v>
      </c>
      <c r="J180" s="611">
        <v>30</v>
      </c>
      <c r="K180" s="611">
        <v>70</v>
      </c>
      <c r="L180" s="612">
        <v>1</v>
      </c>
      <c r="M180" s="610"/>
      <c r="N180" s="332"/>
      <c r="O180" s="332"/>
      <c r="P180" s="332"/>
      <c r="Q180" s="332"/>
      <c r="R180" s="657"/>
      <c r="S180" s="332"/>
      <c r="T180" s="332"/>
      <c r="U180" s="332"/>
      <c r="V180" s="332"/>
      <c r="W180" s="332"/>
      <c r="X180" s="725">
        <f t="shared" si="88"/>
        <v>15</v>
      </c>
      <c r="Y180" s="725">
        <f t="shared" si="89"/>
        <v>15</v>
      </c>
      <c r="Z180" s="725">
        <f t="shared" si="90"/>
        <v>30</v>
      </c>
      <c r="AA180" s="725">
        <f t="shared" si="91"/>
        <v>70</v>
      </c>
      <c r="AB180" s="725">
        <f t="shared" si="92"/>
        <v>1</v>
      </c>
      <c r="AC180" s="744">
        <f t="shared" si="93"/>
        <v>11764.705882352941</v>
      </c>
      <c r="AD180" s="745">
        <f t="shared" si="94"/>
        <v>3921.5686274509803</v>
      </c>
      <c r="AE180" s="745">
        <f t="shared" si="95"/>
        <v>4901.9607843137255</v>
      </c>
      <c r="AF180" s="745">
        <f t="shared" si="96"/>
        <v>2287.581699346405</v>
      </c>
      <c r="AG180" s="747">
        <f t="shared" si="97"/>
        <v>1633.9869281045751</v>
      </c>
      <c r="AH180" s="340"/>
      <c r="AI180" s="340"/>
      <c r="AJ180" s="461" t="s">
        <v>1325</v>
      </c>
    </row>
    <row r="181" spans="1:36" s="321" customFormat="1" ht="11.25" customHeight="1" x14ac:dyDescent="0.25">
      <c r="A181" s="323" t="s">
        <v>378</v>
      </c>
      <c r="B181" s="324" t="s">
        <v>1835</v>
      </c>
      <c r="C181" s="324" t="s">
        <v>309</v>
      </c>
      <c r="D181" s="332" t="s">
        <v>1697</v>
      </c>
      <c r="E181" s="324" t="s">
        <v>1657</v>
      </c>
      <c r="F181" s="325" t="s">
        <v>464</v>
      </c>
      <c r="G181" s="456"/>
      <c r="H181" s="614">
        <v>40</v>
      </c>
      <c r="I181" s="611">
        <v>40</v>
      </c>
      <c r="J181" s="611"/>
      <c r="K181" s="611"/>
      <c r="L181" s="612">
        <v>1</v>
      </c>
      <c r="M181" s="610"/>
      <c r="N181" s="332"/>
      <c r="O181" s="332"/>
      <c r="P181" s="332"/>
      <c r="Q181" s="332">
        <v>1</v>
      </c>
      <c r="R181" s="657" t="s">
        <v>1840</v>
      </c>
      <c r="S181" s="332"/>
      <c r="T181" s="332"/>
      <c r="U181" s="332"/>
      <c r="V181" s="332"/>
      <c r="W181" s="332"/>
      <c r="X181" s="725">
        <f t="shared" si="88"/>
        <v>40</v>
      </c>
      <c r="Y181" s="725">
        <f t="shared" si="89"/>
        <v>40</v>
      </c>
      <c r="Z181" s="725">
        <f t="shared" si="90"/>
        <v>0</v>
      </c>
      <c r="AA181" s="725">
        <f t="shared" si="91"/>
        <v>0</v>
      </c>
      <c r="AB181" s="725">
        <f t="shared" si="92"/>
        <v>0</v>
      </c>
      <c r="AC181" s="744">
        <f t="shared" si="93"/>
        <v>31372.549019607843</v>
      </c>
      <c r="AD181" s="745">
        <f t="shared" si="94"/>
        <v>10457.51633986928</v>
      </c>
      <c r="AE181" s="745">
        <f t="shared" si="95"/>
        <v>0</v>
      </c>
      <c r="AF181" s="745">
        <f t="shared" si="96"/>
        <v>0</v>
      </c>
      <c r="AG181" s="747">
        <f t="shared" si="97"/>
        <v>0</v>
      </c>
      <c r="AH181" s="340"/>
      <c r="AI181" s="340"/>
      <c r="AJ181" s="461"/>
    </row>
    <row r="182" spans="1:36" s="321" customFormat="1" ht="11.25" customHeight="1" x14ac:dyDescent="0.25">
      <c r="A182" s="323" t="s">
        <v>378</v>
      </c>
      <c r="B182" s="324" t="s">
        <v>934</v>
      </c>
      <c r="C182" s="324" t="s">
        <v>309</v>
      </c>
      <c r="D182" s="324" t="s">
        <v>1360</v>
      </c>
      <c r="E182" s="324" t="s">
        <v>350</v>
      </c>
      <c r="F182" s="337" t="s">
        <v>466</v>
      </c>
      <c r="G182" s="458"/>
      <c r="H182" s="614">
        <v>652</v>
      </c>
      <c r="I182" s="611">
        <v>685</v>
      </c>
      <c r="J182" s="611"/>
      <c r="K182" s="611"/>
      <c r="L182" s="612"/>
      <c r="M182" s="610"/>
      <c r="N182" s="332"/>
      <c r="O182" s="332"/>
      <c r="P182" s="332"/>
      <c r="Q182" s="332"/>
      <c r="R182" s="657"/>
      <c r="S182" s="332"/>
      <c r="T182" s="332"/>
      <c r="U182" s="332"/>
      <c r="V182" s="332"/>
      <c r="W182" s="332"/>
      <c r="X182" s="725">
        <f t="shared" si="88"/>
        <v>652</v>
      </c>
      <c r="Y182" s="725">
        <f t="shared" si="89"/>
        <v>685</v>
      </c>
      <c r="Z182" s="725">
        <f t="shared" si="90"/>
        <v>0</v>
      </c>
      <c r="AA182" s="725">
        <f t="shared" si="91"/>
        <v>0</v>
      </c>
      <c r="AB182" s="725">
        <f t="shared" si="92"/>
        <v>0</v>
      </c>
      <c r="AC182" s="744">
        <f t="shared" si="93"/>
        <v>511372.54901960783</v>
      </c>
      <c r="AD182" s="745">
        <f t="shared" si="94"/>
        <v>179084.96732026144</v>
      </c>
      <c r="AE182" s="745">
        <f t="shared" si="95"/>
        <v>0</v>
      </c>
      <c r="AF182" s="745">
        <f t="shared" si="96"/>
        <v>0</v>
      </c>
      <c r="AG182" s="747">
        <f t="shared" si="97"/>
        <v>0</v>
      </c>
      <c r="AH182" s="340"/>
      <c r="AI182" s="340"/>
      <c r="AJ182" s="461"/>
    </row>
    <row r="183" spans="1:36" s="321" customFormat="1" ht="11.25" customHeight="1" x14ac:dyDescent="0.25">
      <c r="A183" s="326" t="s">
        <v>3</v>
      </c>
      <c r="B183" s="327"/>
      <c r="C183" s="327"/>
      <c r="D183" s="328"/>
      <c r="E183" s="329"/>
      <c r="F183" s="330"/>
      <c r="G183" s="464"/>
      <c r="H183" s="331">
        <f>SUM(H162:H182)</f>
        <v>1423</v>
      </c>
      <c r="I183" s="331">
        <f t="shared" ref="I183:AI183" si="130">SUM(I162:I182)</f>
        <v>1466</v>
      </c>
      <c r="J183" s="331">
        <f t="shared" si="130"/>
        <v>271</v>
      </c>
      <c r="K183" s="331">
        <f t="shared" si="130"/>
        <v>425</v>
      </c>
      <c r="L183" s="331">
        <f t="shared" si="130"/>
        <v>6</v>
      </c>
      <c r="M183" s="331">
        <f t="shared" si="130"/>
        <v>165</v>
      </c>
      <c r="N183" s="331">
        <f t="shared" si="130"/>
        <v>165</v>
      </c>
      <c r="O183" s="331">
        <f t="shared" si="130"/>
        <v>0</v>
      </c>
      <c r="P183" s="331">
        <f t="shared" si="130"/>
        <v>130</v>
      </c>
      <c r="Q183" s="331">
        <f t="shared" si="130"/>
        <v>1</v>
      </c>
      <c r="R183" s="331">
        <f t="shared" si="130"/>
        <v>0</v>
      </c>
      <c r="S183" s="331">
        <f t="shared" si="130"/>
        <v>0</v>
      </c>
      <c r="T183" s="331">
        <f t="shared" si="130"/>
        <v>0</v>
      </c>
      <c r="U183" s="331">
        <f t="shared" si="130"/>
        <v>0</v>
      </c>
      <c r="V183" s="331">
        <f t="shared" si="130"/>
        <v>0</v>
      </c>
      <c r="W183" s="331">
        <f t="shared" si="130"/>
        <v>0</v>
      </c>
      <c r="X183" s="331">
        <f t="shared" ref="X183" si="131">SUM(X162:X182)</f>
        <v>1258</v>
      </c>
      <c r="Y183" s="331">
        <f t="shared" ref="Y183" si="132">SUM(Y162:Y182)</f>
        <v>1301</v>
      </c>
      <c r="Z183" s="331">
        <f t="shared" ref="Z183" si="133">SUM(Z162:Z182)</f>
        <v>271</v>
      </c>
      <c r="AA183" s="331">
        <f t="shared" ref="AA183" si="134">SUM(AA162:AA182)</f>
        <v>295</v>
      </c>
      <c r="AB183" s="331">
        <f t="shared" ref="AB183:AG183" si="135">SUM(AB162:AB182)</f>
        <v>5</v>
      </c>
      <c r="AC183" s="746">
        <f t="shared" si="135"/>
        <v>986666.66666666674</v>
      </c>
      <c r="AD183" s="746">
        <f t="shared" si="135"/>
        <v>340130.71895424835</v>
      </c>
      <c r="AE183" s="746">
        <f t="shared" si="135"/>
        <v>44281.045751633988</v>
      </c>
      <c r="AF183" s="746">
        <f t="shared" si="135"/>
        <v>9640.5228758169924</v>
      </c>
      <c r="AG183" s="746">
        <f t="shared" si="135"/>
        <v>8169.9346405228753</v>
      </c>
      <c r="AH183" s="331">
        <f t="shared" si="130"/>
        <v>0</v>
      </c>
      <c r="AI183" s="331">
        <f t="shared" si="130"/>
        <v>0</v>
      </c>
      <c r="AJ183" s="461"/>
    </row>
    <row r="184" spans="1:36" s="321" customFormat="1" ht="11.25" customHeight="1" thickBot="1" x14ac:dyDescent="0.3">
      <c r="A184" s="341"/>
      <c r="B184" s="342"/>
      <c r="C184" s="342" t="s">
        <v>1361</v>
      </c>
      <c r="D184" s="342"/>
      <c r="E184" s="342"/>
      <c r="F184" s="343"/>
      <c r="G184" s="465"/>
      <c r="H184" s="619">
        <f t="shared" ref="H184:AI184" si="136">H183+H161+H157+H153+H150+H147+H142+H135+H107+H103+H90+H87+H78+H75+H65+H48+H46+H44+H20+H14</f>
        <v>5441</v>
      </c>
      <c r="I184" s="619">
        <f t="shared" si="136"/>
        <v>5660</v>
      </c>
      <c r="J184" s="619">
        <f t="shared" si="136"/>
        <v>2850</v>
      </c>
      <c r="K184" s="619">
        <f t="shared" si="136"/>
        <v>2001</v>
      </c>
      <c r="L184" s="619">
        <f t="shared" si="136"/>
        <v>29</v>
      </c>
      <c r="M184" s="619">
        <f t="shared" si="136"/>
        <v>1600</v>
      </c>
      <c r="N184" s="619">
        <f t="shared" si="136"/>
        <v>1578</v>
      </c>
      <c r="O184" s="619">
        <f t="shared" si="136"/>
        <v>266</v>
      </c>
      <c r="P184" s="619">
        <f t="shared" si="136"/>
        <v>766</v>
      </c>
      <c r="Q184" s="619">
        <f t="shared" si="136"/>
        <v>4</v>
      </c>
      <c r="R184" s="619">
        <f t="shared" si="136"/>
        <v>0</v>
      </c>
      <c r="S184" s="619">
        <f t="shared" si="136"/>
        <v>0</v>
      </c>
      <c r="T184" s="619">
        <f t="shared" si="136"/>
        <v>0</v>
      </c>
      <c r="U184" s="619">
        <f t="shared" si="136"/>
        <v>0</v>
      </c>
      <c r="V184" s="619">
        <f t="shared" si="136"/>
        <v>0</v>
      </c>
      <c r="W184" s="619">
        <f t="shared" si="136"/>
        <v>0</v>
      </c>
      <c r="X184" s="619">
        <f t="shared" si="136"/>
        <v>3841</v>
      </c>
      <c r="Y184" s="619">
        <f t="shared" si="136"/>
        <v>4082</v>
      </c>
      <c r="Z184" s="619">
        <f t="shared" si="136"/>
        <v>2584</v>
      </c>
      <c r="AA184" s="619">
        <f t="shared" si="136"/>
        <v>1235</v>
      </c>
      <c r="AB184" s="619">
        <f t="shared" si="136"/>
        <v>25</v>
      </c>
      <c r="AC184" s="749">
        <f t="shared" si="136"/>
        <v>3012549.0196078434</v>
      </c>
      <c r="AD184" s="749">
        <f t="shared" si="136"/>
        <v>1067189.5424836599</v>
      </c>
      <c r="AE184" s="749">
        <f t="shared" si="136"/>
        <v>422222.22222222231</v>
      </c>
      <c r="AF184" s="749">
        <f t="shared" si="136"/>
        <v>40359.477124183009</v>
      </c>
      <c r="AG184" s="749">
        <f t="shared" si="136"/>
        <v>40849.67320261438</v>
      </c>
      <c r="AH184" s="619">
        <f t="shared" si="136"/>
        <v>0</v>
      </c>
      <c r="AI184" s="619">
        <f t="shared" si="136"/>
        <v>0</v>
      </c>
      <c r="AJ184" s="344"/>
    </row>
    <row r="187" spans="1:36" ht="11.25" customHeight="1" x14ac:dyDescent="0.25">
      <c r="AC187" s="750"/>
    </row>
    <row r="190" spans="1:36" ht="11.25" customHeight="1" x14ac:dyDescent="0.25">
      <c r="Q190" s="347" t="s">
        <v>541</v>
      </c>
    </row>
  </sheetData>
  <autoFilter ref="A4:AJ184"/>
  <mergeCells count="15">
    <mergeCell ref="AH2:AH4"/>
    <mergeCell ref="AI2:AI4"/>
    <mergeCell ref="X2:AB2"/>
    <mergeCell ref="A1:AG1"/>
    <mergeCell ref="A2:A4"/>
    <mergeCell ref="B2:B4"/>
    <mergeCell ref="C2:C4"/>
    <mergeCell ref="D2:D4"/>
    <mergeCell ref="E2:E4"/>
    <mergeCell ref="F2:F4"/>
    <mergeCell ref="G2:G4"/>
    <mergeCell ref="H2:L2"/>
    <mergeCell ref="M2:R2"/>
    <mergeCell ref="S2:W2"/>
    <mergeCell ref="AC2:AG2"/>
  </mergeCells>
  <conditionalFormatting sqref="H1:AI1 H2:S2 H4:AG4 AH2:AI2 X2:AB2 H3:AB3 M158:AB158 M159:Q160 S159:AB160 M5:AI13 X15:AG19 X21:AG43 X45:AG45 X47:AG47 X49:AG64 X66:AG74 X79:AG86 X88:AG89 X91:AG102 X104:AG106 X108:AG134 X136:AG141 X143:AG146 X148:AG149 X151:AG152 AC158:AI160 X162:AG182 H184:AI1048576 X154:AG155 X76:AG77">
    <cfRule type="cellIs" dxfId="634" priority="10" operator="greaterThan">
      <formula>0</formula>
    </cfRule>
  </conditionalFormatting>
  <conditionalFormatting sqref="R15:W15">
    <cfRule type="cellIs" dxfId="633" priority="6" operator="greaterThan">
      <formula>0</formula>
    </cfRule>
  </conditionalFormatting>
  <conditionalFormatting sqref="AC3:AG3">
    <cfRule type="cellIs" dxfId="632" priority="4" operator="greaterThan">
      <formula>0</formula>
    </cfRule>
  </conditionalFormatting>
  <conditionalFormatting sqref="H5:L13">
    <cfRule type="cellIs" dxfId="631" priority="3" operator="greaterThan">
      <formula>0</formula>
    </cfRule>
  </conditionalFormatting>
  <conditionalFormatting sqref="H158:L160">
    <cfRule type="cellIs" dxfId="630" priority="2" operator="greaterThan">
      <formula>0</formula>
    </cfRule>
  </conditionalFormatting>
  <conditionalFormatting sqref="R49:R64">
    <cfRule type="cellIs" dxfId="629" priority="1" operator="greaterThan">
      <formula>0</formula>
    </cfRule>
  </conditionalFormatting>
  <pageMargins left="0.7" right="0.7" top="0.75" bottom="0.75" header="0.3" footer="0.3"/>
  <pageSetup scale="29" orientation="portrait" r:id="rId1"/>
  <ignoredErrors>
    <ignoredError sqref="X5:AB13 AB21:AB36 X37:AB43 X34:AA36 AB15:AB19 X49:AB64 X66:AB74 X76:AB76 X79:AB86 X88:AB89 X91:AB102 X104:AB106 X108:AB134 X136:AB141 X143:AB147 X158:AC164 X165:AB182 X148:AC154 X77:AB77" unlockedFormula="1"/>
    <ignoredError sqref="X14:AA14 X20:AA20" formula="1"/>
    <ignoredError sqref="X21:AA33 X15:AA19" formula="1" unlockedFormula="1"/>
  </ignoredError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V308"/>
  <sheetViews>
    <sheetView topLeftCell="H85" workbookViewId="0">
      <selection activeCell="O274" sqref="O274"/>
    </sheetView>
  </sheetViews>
  <sheetFormatPr defaultRowHeight="14.4" x14ac:dyDescent="0.3"/>
  <cols>
    <col min="1" max="1" width="13.88671875" customWidth="1"/>
    <col min="2" max="2" width="51.77734375" bestFit="1" customWidth="1"/>
    <col min="3" max="3" width="56.5546875" bestFit="1" customWidth="1"/>
    <col min="4" max="4" width="13.88671875" customWidth="1"/>
    <col min="6" max="6" width="4.5546875" customWidth="1"/>
    <col min="7" max="7" width="56.6640625" bestFit="1" customWidth="1"/>
    <col min="8" max="8" width="16.109375" bestFit="1" customWidth="1"/>
    <col min="9" max="9" width="7" bestFit="1" customWidth="1"/>
    <col min="10" max="10" width="16.44140625" customWidth="1"/>
    <col min="13" max="13" width="16.109375" style="38" bestFit="1" customWidth="1"/>
    <col min="14" max="14" width="56.6640625" style="38" bestFit="1" customWidth="1"/>
    <col min="15" max="15" width="13.88671875" style="38" bestFit="1" customWidth="1"/>
    <col min="16" max="16" width="10.109375" style="38" bestFit="1" customWidth="1"/>
    <col min="17" max="17" width="12" bestFit="1" customWidth="1"/>
    <col min="21" max="21" width="15.33203125" customWidth="1"/>
    <col min="22" max="22" width="6.33203125" customWidth="1"/>
  </cols>
  <sheetData>
    <row r="1" spans="1:22" x14ac:dyDescent="0.3">
      <c r="A1" s="137" t="s">
        <v>458</v>
      </c>
      <c r="B1" s="301" t="s">
        <v>537</v>
      </c>
      <c r="M1" s="137" t="s">
        <v>458</v>
      </c>
      <c r="N1" s="301" t="s">
        <v>537</v>
      </c>
    </row>
    <row r="2" spans="1:22" x14ac:dyDescent="0.3">
      <c r="G2" s="37"/>
      <c r="U2" s="137" t="s">
        <v>458</v>
      </c>
      <c r="V2" s="301" t="s">
        <v>537</v>
      </c>
    </row>
    <row r="3" spans="1:22" x14ac:dyDescent="0.3">
      <c r="A3" s="137" t="s">
        <v>0</v>
      </c>
      <c r="B3" s="137" t="s">
        <v>507</v>
      </c>
      <c r="G3" s="137" t="s">
        <v>507</v>
      </c>
      <c r="H3" s="137" t="s">
        <v>833</v>
      </c>
      <c r="I3" s="137" t="s">
        <v>458</v>
      </c>
      <c r="J3" s="137" t="s">
        <v>782</v>
      </c>
      <c r="K3" t="s">
        <v>794</v>
      </c>
      <c r="M3" s="137" t="s">
        <v>833</v>
      </c>
      <c r="N3" s="137" t="s">
        <v>507</v>
      </c>
      <c r="O3" s="137" t="s">
        <v>0</v>
      </c>
      <c r="P3" s="301" t="s">
        <v>794</v>
      </c>
      <c r="Q3" s="301" t="s">
        <v>764</v>
      </c>
    </row>
    <row r="4" spans="1:22" x14ac:dyDescent="0.3">
      <c r="A4" s="301" t="s">
        <v>5</v>
      </c>
      <c r="B4" s="301" t="s">
        <v>6</v>
      </c>
      <c r="G4" s="301" t="s">
        <v>128</v>
      </c>
      <c r="H4" s="301" t="s">
        <v>127</v>
      </c>
      <c r="I4" s="301" t="s">
        <v>775</v>
      </c>
      <c r="J4" s="301" t="s">
        <v>1218</v>
      </c>
      <c r="K4" s="133">
        <v>0</v>
      </c>
      <c r="M4" s="301" t="s">
        <v>236</v>
      </c>
      <c r="N4" s="301" t="s">
        <v>238</v>
      </c>
      <c r="O4" s="301" t="s">
        <v>237</v>
      </c>
      <c r="P4" s="133">
        <v>78</v>
      </c>
      <c r="Q4" s="133">
        <v>424</v>
      </c>
      <c r="U4" s="137" t="s">
        <v>833</v>
      </c>
    </row>
    <row r="5" spans="1:22" x14ac:dyDescent="0.3">
      <c r="A5" s="301" t="s">
        <v>5</v>
      </c>
      <c r="B5" s="301" t="s">
        <v>465</v>
      </c>
      <c r="G5" s="301" t="s">
        <v>62</v>
      </c>
      <c r="H5" s="301" t="s">
        <v>61</v>
      </c>
      <c r="I5" s="301" t="s">
        <v>775</v>
      </c>
      <c r="J5" s="73">
        <v>41275</v>
      </c>
      <c r="K5" s="133"/>
      <c r="M5" s="301" t="s">
        <v>267</v>
      </c>
      <c r="N5" s="301" t="s">
        <v>268</v>
      </c>
      <c r="O5" s="301" t="s">
        <v>237</v>
      </c>
      <c r="P5" s="133">
        <v>67</v>
      </c>
      <c r="Q5" s="133">
        <v>291</v>
      </c>
      <c r="U5" s="301" t="s">
        <v>236</v>
      </c>
    </row>
    <row r="6" spans="1:22" x14ac:dyDescent="0.3">
      <c r="A6" s="301" t="s">
        <v>5</v>
      </c>
      <c r="B6" s="301" t="s">
        <v>10</v>
      </c>
      <c r="G6" s="301" t="s">
        <v>120</v>
      </c>
      <c r="H6" s="301" t="s">
        <v>119</v>
      </c>
      <c r="I6" s="301" t="s">
        <v>1692</v>
      </c>
      <c r="J6" s="73">
        <v>41275</v>
      </c>
      <c r="K6" s="133">
        <v>68</v>
      </c>
      <c r="M6" s="301" t="s">
        <v>249</v>
      </c>
      <c r="N6" s="301" t="s">
        <v>250</v>
      </c>
      <c r="O6" s="301" t="s">
        <v>237</v>
      </c>
      <c r="P6" s="133">
        <v>33</v>
      </c>
      <c r="Q6" s="133">
        <v>184</v>
      </c>
      <c r="U6" s="301" t="s">
        <v>267</v>
      </c>
    </row>
    <row r="7" spans="1:22" x14ac:dyDescent="0.3">
      <c r="A7" s="301" t="s">
        <v>5</v>
      </c>
      <c r="B7" s="301" t="s">
        <v>14</v>
      </c>
      <c r="G7" s="301" t="s">
        <v>1152</v>
      </c>
      <c r="H7" s="301" t="s">
        <v>1158</v>
      </c>
      <c r="I7" s="301" t="s">
        <v>775</v>
      </c>
      <c r="J7" s="73">
        <v>42584</v>
      </c>
      <c r="K7" s="133"/>
      <c r="M7" s="301" t="s">
        <v>247</v>
      </c>
      <c r="N7" s="301" t="s">
        <v>248</v>
      </c>
      <c r="O7" s="301" t="s">
        <v>237</v>
      </c>
      <c r="P7" s="133">
        <v>17</v>
      </c>
      <c r="Q7" s="133">
        <v>83</v>
      </c>
      <c r="U7" s="301" t="s">
        <v>249</v>
      </c>
    </row>
    <row r="8" spans="1:22" x14ac:dyDescent="0.3">
      <c r="A8" s="301" t="s">
        <v>5</v>
      </c>
      <c r="B8" s="301" t="s">
        <v>16</v>
      </c>
      <c r="G8" s="301" t="s">
        <v>6</v>
      </c>
      <c r="H8" s="301" t="s">
        <v>4</v>
      </c>
      <c r="I8" s="301" t="s">
        <v>1692</v>
      </c>
      <c r="J8" s="73">
        <v>40848</v>
      </c>
      <c r="K8" s="133">
        <v>218</v>
      </c>
      <c r="M8" s="301" t="s">
        <v>273</v>
      </c>
      <c r="N8" s="301" t="s">
        <v>274</v>
      </c>
      <c r="O8" s="301" t="s">
        <v>237</v>
      </c>
      <c r="P8" s="133">
        <v>46</v>
      </c>
      <c r="Q8" s="133">
        <v>242</v>
      </c>
      <c r="U8" s="301" t="s">
        <v>247</v>
      </c>
    </row>
    <row r="9" spans="1:22" x14ac:dyDescent="0.3">
      <c r="A9" s="301" t="s">
        <v>5</v>
      </c>
      <c r="B9" s="301" t="s">
        <v>18</v>
      </c>
      <c r="G9" s="301" t="s">
        <v>1520</v>
      </c>
      <c r="H9" s="301" t="s">
        <v>1537</v>
      </c>
      <c r="I9" s="301" t="s">
        <v>775</v>
      </c>
      <c r="J9" s="73">
        <v>42963</v>
      </c>
      <c r="K9" s="133">
        <v>25</v>
      </c>
      <c r="M9" s="301" t="s">
        <v>275</v>
      </c>
      <c r="N9" s="301" t="s">
        <v>276</v>
      </c>
      <c r="O9" s="301" t="s">
        <v>237</v>
      </c>
      <c r="P9" s="133">
        <v>124</v>
      </c>
      <c r="Q9" s="133">
        <v>609</v>
      </c>
      <c r="U9" s="301" t="s">
        <v>273</v>
      </c>
    </row>
    <row r="10" spans="1:22" x14ac:dyDescent="0.3">
      <c r="A10" s="301" t="s">
        <v>5</v>
      </c>
      <c r="B10" s="301" t="s">
        <v>8</v>
      </c>
      <c r="G10" s="301" t="s">
        <v>41</v>
      </c>
      <c r="H10" s="301" t="s">
        <v>40</v>
      </c>
      <c r="I10" s="301" t="s">
        <v>1692</v>
      </c>
      <c r="J10" s="73">
        <v>41275</v>
      </c>
      <c r="K10" s="133">
        <v>70</v>
      </c>
      <c r="M10" s="301" t="s">
        <v>277</v>
      </c>
      <c r="N10" s="301" t="s">
        <v>278</v>
      </c>
      <c r="O10" s="301" t="s">
        <v>237</v>
      </c>
      <c r="P10" s="133">
        <v>24</v>
      </c>
      <c r="Q10" s="133">
        <v>111</v>
      </c>
      <c r="U10" s="301" t="s">
        <v>275</v>
      </c>
    </row>
    <row r="11" spans="1:22" x14ac:dyDescent="0.3">
      <c r="A11" s="301" t="s">
        <v>5</v>
      </c>
      <c r="B11" s="301" t="s">
        <v>20</v>
      </c>
      <c r="G11" s="301" t="s">
        <v>43</v>
      </c>
      <c r="H11" s="301" t="s">
        <v>42</v>
      </c>
      <c r="I11" s="301" t="s">
        <v>1692</v>
      </c>
      <c r="J11" s="73">
        <v>41275</v>
      </c>
      <c r="K11" s="133">
        <v>13</v>
      </c>
      <c r="M11" s="301" t="s">
        <v>259</v>
      </c>
      <c r="N11" s="301" t="s">
        <v>260</v>
      </c>
      <c r="O11" s="301" t="s">
        <v>237</v>
      </c>
      <c r="P11" s="133">
        <v>103</v>
      </c>
      <c r="Q11" s="133">
        <v>586</v>
      </c>
      <c r="U11" s="301" t="s">
        <v>277</v>
      </c>
    </row>
    <row r="12" spans="1:22" x14ac:dyDescent="0.3">
      <c r="A12" s="301" t="s">
        <v>5</v>
      </c>
      <c r="B12" s="301" t="s">
        <v>364</v>
      </c>
      <c r="G12" s="301" t="s">
        <v>39</v>
      </c>
      <c r="H12" s="301" t="s">
        <v>38</v>
      </c>
      <c r="I12" s="301" t="s">
        <v>775</v>
      </c>
      <c r="J12" s="301" t="s">
        <v>1218</v>
      </c>
      <c r="K12" s="133"/>
      <c r="M12" s="301" t="s">
        <v>279</v>
      </c>
      <c r="N12" s="301" t="s">
        <v>280</v>
      </c>
      <c r="O12" s="301" t="s">
        <v>237</v>
      </c>
      <c r="P12" s="133">
        <v>95</v>
      </c>
      <c r="Q12" s="133">
        <v>549</v>
      </c>
      <c r="U12" s="301" t="s">
        <v>259</v>
      </c>
    </row>
    <row r="13" spans="1:22" x14ac:dyDescent="0.3">
      <c r="A13" s="301" t="s">
        <v>5</v>
      </c>
      <c r="B13" s="301" t="s">
        <v>22</v>
      </c>
      <c r="G13" s="301" t="s">
        <v>1208</v>
      </c>
      <c r="H13" s="301" t="s">
        <v>1176</v>
      </c>
      <c r="I13" s="301" t="s">
        <v>775</v>
      </c>
      <c r="J13" s="301" t="s">
        <v>1218</v>
      </c>
      <c r="K13" s="133"/>
      <c r="M13" s="301" t="s">
        <v>244</v>
      </c>
      <c r="N13" s="301" t="s">
        <v>1503</v>
      </c>
      <c r="O13" s="301" t="s">
        <v>237</v>
      </c>
      <c r="P13" s="133">
        <v>44</v>
      </c>
      <c r="Q13" s="133">
        <v>197</v>
      </c>
      <c r="U13" s="301" t="s">
        <v>279</v>
      </c>
    </row>
    <row r="14" spans="1:22" x14ac:dyDescent="0.3">
      <c r="A14" s="301" t="s">
        <v>5</v>
      </c>
      <c r="B14" s="301" t="s">
        <v>822</v>
      </c>
      <c r="G14" s="301" t="s">
        <v>465</v>
      </c>
      <c r="H14" s="301" t="s">
        <v>375</v>
      </c>
      <c r="I14" s="301" t="s">
        <v>1692</v>
      </c>
      <c r="J14" s="73">
        <v>40787</v>
      </c>
      <c r="K14" s="133">
        <v>12</v>
      </c>
      <c r="M14" s="301" t="s">
        <v>255</v>
      </c>
      <c r="N14" s="301" t="s">
        <v>256</v>
      </c>
      <c r="O14" s="301" t="s">
        <v>237</v>
      </c>
      <c r="P14" s="133">
        <v>45</v>
      </c>
      <c r="Q14" s="133">
        <v>207</v>
      </c>
      <c r="U14" s="301" t="s">
        <v>244</v>
      </c>
    </row>
    <row r="15" spans="1:22" x14ac:dyDescent="0.3">
      <c r="A15" s="301" t="s">
        <v>5</v>
      </c>
      <c r="B15" s="301" t="s">
        <v>24</v>
      </c>
      <c r="G15" s="301" t="s">
        <v>48</v>
      </c>
      <c r="H15" s="301" t="s">
        <v>47</v>
      </c>
      <c r="I15" s="301" t="s">
        <v>775</v>
      </c>
      <c r="J15" s="301" t="s">
        <v>1218</v>
      </c>
      <c r="K15" s="133"/>
      <c r="M15" s="301" t="s">
        <v>283</v>
      </c>
      <c r="N15" s="301" t="s">
        <v>284</v>
      </c>
      <c r="O15" s="301" t="s">
        <v>237</v>
      </c>
      <c r="P15" s="133">
        <v>138</v>
      </c>
      <c r="Q15" s="133">
        <v>709</v>
      </c>
      <c r="U15" s="301" t="s">
        <v>255</v>
      </c>
    </row>
    <row r="16" spans="1:22" x14ac:dyDescent="0.3">
      <c r="A16" s="301" t="s">
        <v>5</v>
      </c>
      <c r="B16" s="301" t="s">
        <v>795</v>
      </c>
      <c r="G16" s="301" t="s">
        <v>50</v>
      </c>
      <c r="H16" s="301" t="s">
        <v>49</v>
      </c>
      <c r="I16" s="301" t="s">
        <v>775</v>
      </c>
      <c r="J16" s="301" t="s">
        <v>1218</v>
      </c>
      <c r="K16" s="133"/>
      <c r="M16" s="301" t="s">
        <v>239</v>
      </c>
      <c r="N16" s="301" t="s">
        <v>240</v>
      </c>
      <c r="O16" s="301" t="s">
        <v>237</v>
      </c>
      <c r="P16" s="133">
        <v>152</v>
      </c>
      <c r="Q16" s="133">
        <v>770</v>
      </c>
      <c r="U16" s="301" t="s">
        <v>283</v>
      </c>
    </row>
    <row r="17" spans="1:21" x14ac:dyDescent="0.3">
      <c r="A17" s="301" t="s">
        <v>5</v>
      </c>
      <c r="B17" s="301" t="s">
        <v>26</v>
      </c>
      <c r="G17" s="301" t="s">
        <v>1192</v>
      </c>
      <c r="H17" s="301" t="s">
        <v>1180</v>
      </c>
      <c r="I17" s="301" t="s">
        <v>775</v>
      </c>
      <c r="J17" s="301" t="s">
        <v>1218</v>
      </c>
      <c r="K17" s="133"/>
      <c r="M17" s="301" t="s">
        <v>257</v>
      </c>
      <c r="N17" s="301" t="s">
        <v>258</v>
      </c>
      <c r="O17" s="301" t="s">
        <v>237</v>
      </c>
      <c r="P17" s="133">
        <v>61</v>
      </c>
      <c r="Q17" s="133">
        <v>312</v>
      </c>
      <c r="U17" s="301" t="s">
        <v>239</v>
      </c>
    </row>
    <row r="18" spans="1:21" x14ac:dyDescent="0.3">
      <c r="A18" s="301" t="s">
        <v>5</v>
      </c>
      <c r="B18" s="301" t="s">
        <v>875</v>
      </c>
      <c r="G18" s="301" t="s">
        <v>1193</v>
      </c>
      <c r="H18" s="301" t="s">
        <v>1181</v>
      </c>
      <c r="I18" s="301" t="s">
        <v>775</v>
      </c>
      <c r="J18" s="301" t="s">
        <v>1218</v>
      </c>
      <c r="K18" s="133"/>
      <c r="M18" s="301" t="s">
        <v>265</v>
      </c>
      <c r="N18" s="301" t="s">
        <v>266</v>
      </c>
      <c r="O18" s="301" t="s">
        <v>237</v>
      </c>
      <c r="P18" s="133"/>
      <c r="Q18" s="133"/>
      <c r="U18" s="301" t="s">
        <v>257</v>
      </c>
    </row>
    <row r="19" spans="1:21" x14ac:dyDescent="0.3">
      <c r="A19" s="301" t="s">
        <v>5</v>
      </c>
      <c r="B19" s="301" t="s">
        <v>1884</v>
      </c>
      <c r="G19" s="301" t="s">
        <v>808</v>
      </c>
      <c r="H19" s="301" t="s">
        <v>806</v>
      </c>
      <c r="I19" s="301" t="s">
        <v>775</v>
      </c>
      <c r="J19" s="301" t="s">
        <v>1218</v>
      </c>
      <c r="K19" s="133">
        <v>0</v>
      </c>
      <c r="M19" s="301" t="s">
        <v>251</v>
      </c>
      <c r="N19" s="301" t="s">
        <v>252</v>
      </c>
      <c r="O19" s="301" t="s">
        <v>237</v>
      </c>
      <c r="P19" s="133">
        <v>199</v>
      </c>
      <c r="Q19" s="133">
        <v>1131</v>
      </c>
      <c r="U19" s="301" t="s">
        <v>265</v>
      </c>
    </row>
    <row r="20" spans="1:21" x14ac:dyDescent="0.3">
      <c r="A20" s="301" t="s">
        <v>27</v>
      </c>
      <c r="B20" s="301" t="s">
        <v>28</v>
      </c>
      <c r="G20" s="301" t="s">
        <v>803</v>
      </c>
      <c r="H20" s="301" t="s">
        <v>807</v>
      </c>
      <c r="I20" s="301" t="s">
        <v>775</v>
      </c>
      <c r="J20" s="301" t="s">
        <v>1218</v>
      </c>
      <c r="K20" s="133">
        <v>0</v>
      </c>
      <c r="M20" s="301" t="s">
        <v>253</v>
      </c>
      <c r="N20" s="301" t="s">
        <v>254</v>
      </c>
      <c r="O20" s="301" t="s">
        <v>237</v>
      </c>
      <c r="P20" s="133">
        <v>100</v>
      </c>
      <c r="Q20" s="133">
        <v>485</v>
      </c>
      <c r="U20" s="301" t="s">
        <v>251</v>
      </c>
    </row>
    <row r="21" spans="1:21" x14ac:dyDescent="0.3">
      <c r="A21" s="301" t="s">
        <v>27</v>
      </c>
      <c r="B21" s="301" t="s">
        <v>32</v>
      </c>
      <c r="G21" s="301" t="s">
        <v>804</v>
      </c>
      <c r="H21" s="301" t="s">
        <v>805</v>
      </c>
      <c r="I21" s="301" t="s">
        <v>775</v>
      </c>
      <c r="J21" s="301" t="s">
        <v>1218</v>
      </c>
      <c r="K21" s="133">
        <v>0</v>
      </c>
      <c r="M21" s="301" t="s">
        <v>261</v>
      </c>
      <c r="N21" s="301" t="s">
        <v>262</v>
      </c>
      <c r="O21" s="301" t="s">
        <v>237</v>
      </c>
      <c r="P21" s="133">
        <v>22</v>
      </c>
      <c r="Q21" s="133">
        <v>92</v>
      </c>
      <c r="U21" s="301" t="s">
        <v>253</v>
      </c>
    </row>
    <row r="22" spans="1:21" x14ac:dyDescent="0.3">
      <c r="A22" s="301" t="s">
        <v>27</v>
      </c>
      <c r="B22" s="301" t="s">
        <v>362</v>
      </c>
      <c r="G22" s="301" t="s">
        <v>52</v>
      </c>
      <c r="H22" s="301" t="s">
        <v>51</v>
      </c>
      <c r="I22" s="301" t="s">
        <v>1692</v>
      </c>
      <c r="J22" s="73">
        <v>41275</v>
      </c>
      <c r="K22" s="133">
        <v>36</v>
      </c>
      <c r="M22" s="301" t="s">
        <v>263</v>
      </c>
      <c r="N22" s="301" t="s">
        <v>264</v>
      </c>
      <c r="O22" s="301" t="s">
        <v>237</v>
      </c>
      <c r="P22" s="133">
        <v>21</v>
      </c>
      <c r="Q22" s="133">
        <v>123</v>
      </c>
      <c r="U22" s="301" t="s">
        <v>261</v>
      </c>
    </row>
    <row r="23" spans="1:21" x14ac:dyDescent="0.3">
      <c r="A23" s="301" t="s">
        <v>27</v>
      </c>
      <c r="B23" s="301" t="s">
        <v>34</v>
      </c>
      <c r="G23" s="301" t="s">
        <v>58</v>
      </c>
      <c r="H23" s="301" t="s">
        <v>57</v>
      </c>
      <c r="I23" s="301" t="s">
        <v>775</v>
      </c>
      <c r="J23" s="301" t="s">
        <v>1218</v>
      </c>
      <c r="K23" s="133"/>
      <c r="M23" s="301" t="s">
        <v>281</v>
      </c>
      <c r="N23" s="301" t="s">
        <v>282</v>
      </c>
      <c r="O23" s="301" t="s">
        <v>237</v>
      </c>
      <c r="P23" s="133">
        <v>7</v>
      </c>
      <c r="Q23" s="133">
        <v>37</v>
      </c>
      <c r="U23" s="301" t="s">
        <v>263</v>
      </c>
    </row>
    <row r="24" spans="1:21" x14ac:dyDescent="0.3">
      <c r="A24" s="301" t="s">
        <v>27</v>
      </c>
      <c r="B24" s="301" t="s">
        <v>363</v>
      </c>
      <c r="G24" s="301" t="s">
        <v>60</v>
      </c>
      <c r="H24" s="301" t="s">
        <v>59</v>
      </c>
      <c r="I24" s="301" t="s">
        <v>775</v>
      </c>
      <c r="J24" s="73">
        <v>41275</v>
      </c>
      <c r="K24" s="133"/>
      <c r="M24" s="301" t="s">
        <v>241</v>
      </c>
      <c r="N24" s="301" t="s">
        <v>1029</v>
      </c>
      <c r="O24" s="301" t="s">
        <v>237</v>
      </c>
      <c r="P24" s="133">
        <v>54</v>
      </c>
      <c r="Q24" s="133">
        <v>250</v>
      </c>
      <c r="U24" s="301" t="s">
        <v>281</v>
      </c>
    </row>
    <row r="25" spans="1:21" x14ac:dyDescent="0.3">
      <c r="A25" s="301" t="s">
        <v>27</v>
      </c>
      <c r="B25" s="301" t="s">
        <v>790</v>
      </c>
      <c r="G25" s="301" t="s">
        <v>356</v>
      </c>
      <c r="H25" s="301" t="s">
        <v>355</v>
      </c>
      <c r="I25" s="301" t="s">
        <v>775</v>
      </c>
      <c r="J25" s="301" t="s">
        <v>1218</v>
      </c>
      <c r="K25" s="133">
        <v>0</v>
      </c>
      <c r="M25" s="301" t="s">
        <v>269</v>
      </c>
      <c r="N25" s="301" t="s">
        <v>270</v>
      </c>
      <c r="O25" s="301" t="s">
        <v>237</v>
      </c>
      <c r="P25" s="133">
        <v>60</v>
      </c>
      <c r="Q25" s="133">
        <v>316</v>
      </c>
      <c r="U25" s="301" t="s">
        <v>241</v>
      </c>
    </row>
    <row r="26" spans="1:21" x14ac:dyDescent="0.3">
      <c r="A26" s="301" t="s">
        <v>27</v>
      </c>
      <c r="B26" s="301" t="s">
        <v>37</v>
      </c>
      <c r="G26" s="301" t="s">
        <v>333</v>
      </c>
      <c r="H26" s="301" t="s">
        <v>332</v>
      </c>
      <c r="I26" s="301" t="s">
        <v>1692</v>
      </c>
      <c r="J26" s="73">
        <v>40848</v>
      </c>
      <c r="K26" s="133">
        <v>117</v>
      </c>
      <c r="M26" s="301" t="s">
        <v>339</v>
      </c>
      <c r="N26" s="301" t="s">
        <v>340</v>
      </c>
      <c r="O26" s="301" t="s">
        <v>309</v>
      </c>
      <c r="P26" s="133">
        <v>67</v>
      </c>
      <c r="Q26" s="133">
        <v>341</v>
      </c>
      <c r="U26" s="301" t="s">
        <v>269</v>
      </c>
    </row>
    <row r="27" spans="1:21" x14ac:dyDescent="0.3">
      <c r="A27" s="301" t="s">
        <v>27</v>
      </c>
      <c r="B27" s="301" t="s">
        <v>873</v>
      </c>
      <c r="G27" s="301" t="s">
        <v>188</v>
      </c>
      <c r="H27" s="301" t="s">
        <v>187</v>
      </c>
      <c r="I27" s="301" t="s">
        <v>1692</v>
      </c>
      <c r="J27" s="73">
        <v>40817</v>
      </c>
      <c r="K27" s="133">
        <v>357</v>
      </c>
      <c r="M27" s="301" t="s">
        <v>348</v>
      </c>
      <c r="N27" s="301" t="s">
        <v>349</v>
      </c>
      <c r="O27" s="301" t="s">
        <v>309</v>
      </c>
      <c r="P27" s="133">
        <v>92</v>
      </c>
      <c r="Q27" s="133">
        <v>505</v>
      </c>
      <c r="U27" s="301" t="s">
        <v>339</v>
      </c>
    </row>
    <row r="28" spans="1:21" x14ac:dyDescent="0.3">
      <c r="A28" s="301" t="s">
        <v>480</v>
      </c>
      <c r="B28" s="301" t="s">
        <v>128</v>
      </c>
      <c r="G28" s="301" t="s">
        <v>886</v>
      </c>
      <c r="H28" s="301" t="s">
        <v>887</v>
      </c>
      <c r="I28" s="301" t="s">
        <v>775</v>
      </c>
      <c r="J28" s="73">
        <v>40817</v>
      </c>
      <c r="K28" s="133"/>
      <c r="M28" s="301" t="s">
        <v>318</v>
      </c>
      <c r="N28" s="301" t="s">
        <v>319</v>
      </c>
      <c r="O28" s="301" t="s">
        <v>309</v>
      </c>
      <c r="P28" s="133">
        <v>32</v>
      </c>
      <c r="Q28" s="133">
        <v>196</v>
      </c>
      <c r="U28" s="301" t="s">
        <v>348</v>
      </c>
    </row>
    <row r="29" spans="1:21" x14ac:dyDescent="0.3">
      <c r="A29" s="301" t="s">
        <v>480</v>
      </c>
      <c r="B29" s="301" t="s">
        <v>62</v>
      </c>
      <c r="G29" s="301" t="s">
        <v>72</v>
      </c>
      <c r="H29" s="301" t="s">
        <v>71</v>
      </c>
      <c r="I29" s="301" t="s">
        <v>1692</v>
      </c>
      <c r="J29" s="73">
        <v>41487</v>
      </c>
      <c r="K29" s="133">
        <v>6</v>
      </c>
      <c r="M29" s="301" t="s">
        <v>311</v>
      </c>
      <c r="N29" s="301" t="s">
        <v>312</v>
      </c>
      <c r="O29" s="301" t="s">
        <v>309</v>
      </c>
      <c r="P29" s="133">
        <v>92</v>
      </c>
      <c r="Q29" s="133">
        <v>448</v>
      </c>
      <c r="U29" s="301" t="s">
        <v>318</v>
      </c>
    </row>
    <row r="30" spans="1:21" x14ac:dyDescent="0.3">
      <c r="A30" s="301" t="s">
        <v>480</v>
      </c>
      <c r="B30" s="301" t="s">
        <v>120</v>
      </c>
      <c r="G30" s="301" t="s">
        <v>70</v>
      </c>
      <c r="H30" s="301" t="s">
        <v>69</v>
      </c>
      <c r="I30" s="301" t="s">
        <v>775</v>
      </c>
      <c r="J30" s="301" t="s">
        <v>1218</v>
      </c>
      <c r="K30" s="133"/>
      <c r="M30" s="301" t="s">
        <v>328</v>
      </c>
      <c r="N30" s="301" t="s">
        <v>329</v>
      </c>
      <c r="O30" s="301" t="s">
        <v>309</v>
      </c>
      <c r="P30" s="133">
        <v>327</v>
      </c>
      <c r="Q30" s="133">
        <v>1785</v>
      </c>
      <c r="U30" s="301" t="s">
        <v>311</v>
      </c>
    </row>
    <row r="31" spans="1:21" x14ac:dyDescent="0.3">
      <c r="A31" s="301" t="s">
        <v>480</v>
      </c>
      <c r="B31" s="301" t="s">
        <v>41</v>
      </c>
      <c r="G31" s="301" t="s">
        <v>28</v>
      </c>
      <c r="H31" s="301" t="s">
        <v>30</v>
      </c>
      <c r="I31" s="301" t="s">
        <v>1692</v>
      </c>
      <c r="J31" s="73">
        <v>41244</v>
      </c>
      <c r="K31" s="133">
        <v>163</v>
      </c>
      <c r="M31" s="301" t="s">
        <v>336</v>
      </c>
      <c r="N31" s="301" t="s">
        <v>337</v>
      </c>
      <c r="O31" s="301" t="s">
        <v>309</v>
      </c>
      <c r="P31" s="133">
        <v>36</v>
      </c>
      <c r="Q31" s="133">
        <v>189</v>
      </c>
      <c r="U31" s="301" t="s">
        <v>328</v>
      </c>
    </row>
    <row r="32" spans="1:21" x14ac:dyDescent="0.3">
      <c r="A32" s="301" t="s">
        <v>480</v>
      </c>
      <c r="B32" s="301" t="s">
        <v>43</v>
      </c>
      <c r="G32" s="301" t="s">
        <v>10</v>
      </c>
      <c r="H32" s="301" t="s">
        <v>9</v>
      </c>
      <c r="I32" s="301" t="s">
        <v>775</v>
      </c>
      <c r="J32" s="301" t="s">
        <v>1218</v>
      </c>
      <c r="K32" s="133">
        <v>0</v>
      </c>
      <c r="M32" s="301" t="s">
        <v>326</v>
      </c>
      <c r="N32" s="301" t="s">
        <v>327</v>
      </c>
      <c r="O32" s="301" t="s">
        <v>309</v>
      </c>
      <c r="P32" s="133">
        <v>346</v>
      </c>
      <c r="Q32" s="133">
        <v>2059</v>
      </c>
      <c r="U32" s="301" t="s">
        <v>336</v>
      </c>
    </row>
    <row r="33" spans="1:21" x14ac:dyDescent="0.3">
      <c r="A33" s="301" t="s">
        <v>480</v>
      </c>
      <c r="B33" s="301" t="s">
        <v>39</v>
      </c>
      <c r="G33" s="301" t="s">
        <v>1078</v>
      </c>
      <c r="H33" s="301" t="s">
        <v>1079</v>
      </c>
      <c r="I33" s="301" t="s">
        <v>775</v>
      </c>
      <c r="J33" s="301" t="s">
        <v>1218</v>
      </c>
      <c r="K33" s="133"/>
      <c r="M33" s="301" t="s">
        <v>316</v>
      </c>
      <c r="N33" s="301" t="s">
        <v>317</v>
      </c>
      <c r="O33" s="301" t="s">
        <v>309</v>
      </c>
      <c r="P33" s="133">
        <v>115</v>
      </c>
      <c r="Q33" s="133">
        <v>493</v>
      </c>
      <c r="U33" s="301" t="s">
        <v>326</v>
      </c>
    </row>
    <row r="34" spans="1:21" x14ac:dyDescent="0.3">
      <c r="A34" s="301" t="s">
        <v>480</v>
      </c>
      <c r="B34" s="301" t="s">
        <v>48</v>
      </c>
      <c r="G34" s="301" t="s">
        <v>76</v>
      </c>
      <c r="H34" s="301" t="s">
        <v>75</v>
      </c>
      <c r="I34" s="301" t="s">
        <v>1692</v>
      </c>
      <c r="J34" s="73">
        <v>41275</v>
      </c>
      <c r="K34" s="133">
        <v>70</v>
      </c>
      <c r="M34" s="301" t="s">
        <v>341</v>
      </c>
      <c r="N34" s="301" t="s">
        <v>342</v>
      </c>
      <c r="O34" s="301" t="s">
        <v>309</v>
      </c>
      <c r="P34" s="133">
        <v>19</v>
      </c>
      <c r="Q34" s="133">
        <v>82</v>
      </c>
      <c r="U34" s="301" t="s">
        <v>316</v>
      </c>
    </row>
    <row r="35" spans="1:21" x14ac:dyDescent="0.3">
      <c r="A35" s="301" t="s">
        <v>480</v>
      </c>
      <c r="B35" s="301" t="s">
        <v>50</v>
      </c>
      <c r="G35" s="301" t="s">
        <v>1503</v>
      </c>
      <c r="H35" s="301" t="s">
        <v>244</v>
      </c>
      <c r="I35" s="301" t="s">
        <v>1692</v>
      </c>
      <c r="J35" s="73">
        <v>40756</v>
      </c>
      <c r="K35" s="133">
        <v>44</v>
      </c>
      <c r="M35" s="301" t="s">
        <v>358</v>
      </c>
      <c r="N35" s="301" t="s">
        <v>1032</v>
      </c>
      <c r="O35" s="301" t="s">
        <v>309</v>
      </c>
      <c r="P35" s="133"/>
      <c r="Q35" s="133"/>
      <c r="U35" s="301" t="s">
        <v>341</v>
      </c>
    </row>
    <row r="36" spans="1:21" x14ac:dyDescent="0.3">
      <c r="A36" s="301" t="s">
        <v>480</v>
      </c>
      <c r="B36" s="301" t="s">
        <v>52</v>
      </c>
      <c r="G36" s="301" t="s">
        <v>192</v>
      </c>
      <c r="H36" s="301" t="s">
        <v>191</v>
      </c>
      <c r="I36" s="301" t="s">
        <v>1692</v>
      </c>
      <c r="J36" s="73">
        <v>40756</v>
      </c>
      <c r="K36" s="133">
        <v>80</v>
      </c>
      <c r="M36" s="301" t="s">
        <v>357</v>
      </c>
      <c r="N36" s="301" t="s">
        <v>1031</v>
      </c>
      <c r="O36" s="301" t="s">
        <v>309</v>
      </c>
      <c r="P36" s="133"/>
      <c r="Q36" s="133"/>
      <c r="U36" s="301" t="s">
        <v>358</v>
      </c>
    </row>
    <row r="37" spans="1:21" x14ac:dyDescent="0.3">
      <c r="A37" s="301" t="s">
        <v>480</v>
      </c>
      <c r="B37" s="301" t="s">
        <v>58</v>
      </c>
      <c r="G37" s="301" t="s">
        <v>78</v>
      </c>
      <c r="H37" s="301" t="s">
        <v>77</v>
      </c>
      <c r="I37" s="301" t="s">
        <v>775</v>
      </c>
      <c r="J37" s="301" t="s">
        <v>1218</v>
      </c>
      <c r="K37" s="133"/>
      <c r="M37" s="301" t="s">
        <v>308</v>
      </c>
      <c r="N37" s="301" t="s">
        <v>310</v>
      </c>
      <c r="O37" s="301" t="s">
        <v>309</v>
      </c>
      <c r="P37" s="133"/>
      <c r="Q37" s="133"/>
      <c r="U37" s="301" t="s">
        <v>357</v>
      </c>
    </row>
    <row r="38" spans="1:21" x14ac:dyDescent="0.3">
      <c r="A38" s="301" t="s">
        <v>480</v>
      </c>
      <c r="B38" s="301" t="s">
        <v>60</v>
      </c>
      <c r="G38" s="301" t="s">
        <v>1629</v>
      </c>
      <c r="H38" s="301" t="s">
        <v>1617</v>
      </c>
      <c r="I38" s="301" t="s">
        <v>1692</v>
      </c>
      <c r="J38" s="73">
        <v>43212</v>
      </c>
      <c r="K38" s="133">
        <v>6</v>
      </c>
      <c r="M38" s="301" t="s">
        <v>346</v>
      </c>
      <c r="N38" s="301" t="s">
        <v>347</v>
      </c>
      <c r="O38" s="301" t="s">
        <v>309</v>
      </c>
      <c r="P38" s="133">
        <v>46</v>
      </c>
      <c r="Q38" s="133">
        <v>190</v>
      </c>
      <c r="U38" s="301" t="s">
        <v>308</v>
      </c>
    </row>
    <row r="39" spans="1:21" x14ac:dyDescent="0.3">
      <c r="A39" s="301" t="s">
        <v>480</v>
      </c>
      <c r="B39" s="301" t="s">
        <v>72</v>
      </c>
      <c r="G39" s="301" t="s">
        <v>82</v>
      </c>
      <c r="H39" s="301" t="s">
        <v>81</v>
      </c>
      <c r="I39" s="301" t="s">
        <v>775</v>
      </c>
      <c r="J39" s="301" t="s">
        <v>1218</v>
      </c>
      <c r="K39" s="133"/>
      <c r="M39" s="301" t="s">
        <v>314</v>
      </c>
      <c r="N39" s="301" t="s">
        <v>315</v>
      </c>
      <c r="O39" s="301" t="s">
        <v>309</v>
      </c>
      <c r="P39" s="133">
        <v>67</v>
      </c>
      <c r="Q39" s="133">
        <v>283</v>
      </c>
      <c r="U39" s="301" t="s">
        <v>346</v>
      </c>
    </row>
    <row r="40" spans="1:21" x14ac:dyDescent="0.3">
      <c r="A40" s="301" t="s">
        <v>480</v>
      </c>
      <c r="B40" s="301" t="s">
        <v>70</v>
      </c>
      <c r="G40" s="301" t="s">
        <v>837</v>
      </c>
      <c r="H40" s="301" t="s">
        <v>838</v>
      </c>
      <c r="I40" s="301" t="s">
        <v>775</v>
      </c>
      <c r="J40" s="301" t="s">
        <v>1218</v>
      </c>
      <c r="K40" s="133">
        <v>0</v>
      </c>
      <c r="M40" s="301" t="s">
        <v>324</v>
      </c>
      <c r="N40" s="301" t="s">
        <v>325</v>
      </c>
      <c r="O40" s="301" t="s">
        <v>309</v>
      </c>
      <c r="P40" s="133">
        <v>55</v>
      </c>
      <c r="Q40" s="133">
        <v>250</v>
      </c>
      <c r="U40" s="301" t="s">
        <v>314</v>
      </c>
    </row>
    <row r="41" spans="1:21" x14ac:dyDescent="0.3">
      <c r="A41" s="301" t="s">
        <v>480</v>
      </c>
      <c r="B41" s="301" t="s">
        <v>76</v>
      </c>
      <c r="G41" s="301" t="s">
        <v>1727</v>
      </c>
      <c r="H41" s="301" t="s">
        <v>839</v>
      </c>
      <c r="I41" s="301" t="s">
        <v>1692</v>
      </c>
      <c r="J41" s="301" t="s">
        <v>1218</v>
      </c>
      <c r="K41" s="133">
        <v>86</v>
      </c>
      <c r="M41" s="301" t="s">
        <v>322</v>
      </c>
      <c r="N41" s="301" t="s">
        <v>323</v>
      </c>
      <c r="O41" s="301" t="s">
        <v>309</v>
      </c>
      <c r="P41" s="133">
        <v>515</v>
      </c>
      <c r="Q41" s="133">
        <v>2775</v>
      </c>
      <c r="U41" s="301" t="s">
        <v>324</v>
      </c>
    </row>
    <row r="42" spans="1:21" x14ac:dyDescent="0.3">
      <c r="A42" s="301" t="s">
        <v>480</v>
      </c>
      <c r="B42" s="301" t="s">
        <v>78</v>
      </c>
      <c r="G42" s="301" t="s">
        <v>32</v>
      </c>
      <c r="H42" s="301" t="s">
        <v>31</v>
      </c>
      <c r="I42" s="301" t="s">
        <v>775</v>
      </c>
      <c r="J42" s="301" t="s">
        <v>1218</v>
      </c>
      <c r="K42" s="133"/>
      <c r="M42" s="301" t="s">
        <v>344</v>
      </c>
      <c r="N42" s="301" t="s">
        <v>345</v>
      </c>
      <c r="O42" s="301" t="s">
        <v>309</v>
      </c>
      <c r="P42" s="133">
        <v>183</v>
      </c>
      <c r="Q42" s="133">
        <v>1041</v>
      </c>
      <c r="U42" s="301" t="s">
        <v>322</v>
      </c>
    </row>
    <row r="43" spans="1:21" x14ac:dyDescent="0.3">
      <c r="A43" s="301" t="s">
        <v>480</v>
      </c>
      <c r="B43" s="301" t="s">
        <v>82</v>
      </c>
      <c r="G43" s="301" t="s">
        <v>1191</v>
      </c>
      <c r="H43" s="301" t="s">
        <v>1179</v>
      </c>
      <c r="I43" s="301" t="s">
        <v>775</v>
      </c>
      <c r="J43" s="301" t="s">
        <v>1218</v>
      </c>
      <c r="K43" s="133"/>
      <c r="M43" s="301" t="s">
        <v>30</v>
      </c>
      <c r="N43" s="301" t="s">
        <v>28</v>
      </c>
      <c r="O43" s="301" t="s">
        <v>27</v>
      </c>
      <c r="P43" s="133">
        <v>163</v>
      </c>
      <c r="Q43" s="133">
        <v>830</v>
      </c>
      <c r="U43" s="301" t="s">
        <v>344</v>
      </c>
    </row>
    <row r="44" spans="1:21" x14ac:dyDescent="0.3">
      <c r="A44" s="301" t="s">
        <v>480</v>
      </c>
      <c r="B44" s="301" t="s">
        <v>88</v>
      </c>
      <c r="G44" s="301" t="s">
        <v>1911</v>
      </c>
      <c r="H44" s="301" t="s">
        <v>1695</v>
      </c>
      <c r="I44" s="301" t="s">
        <v>1692</v>
      </c>
      <c r="J44" s="73">
        <v>43555</v>
      </c>
      <c r="K44" s="133">
        <v>29</v>
      </c>
      <c r="M44" s="301" t="s">
        <v>29</v>
      </c>
      <c r="N44" s="301" t="s">
        <v>362</v>
      </c>
      <c r="O44" s="301" t="s">
        <v>27</v>
      </c>
      <c r="P44" s="133">
        <v>163</v>
      </c>
      <c r="Q44" s="133">
        <v>967</v>
      </c>
      <c r="U44" s="301" t="s">
        <v>30</v>
      </c>
    </row>
    <row r="45" spans="1:21" x14ac:dyDescent="0.3">
      <c r="A45" s="301" t="s">
        <v>480</v>
      </c>
      <c r="B45" s="301" t="s">
        <v>44</v>
      </c>
      <c r="G45" s="301" t="s">
        <v>1250</v>
      </c>
      <c r="H45" s="301" t="s">
        <v>1247</v>
      </c>
      <c r="I45" s="301" t="s">
        <v>1692</v>
      </c>
      <c r="J45" s="301" t="s">
        <v>1218</v>
      </c>
      <c r="K45" s="133">
        <v>62</v>
      </c>
      <c r="M45" s="301" t="s">
        <v>36</v>
      </c>
      <c r="N45" s="301" t="s">
        <v>37</v>
      </c>
      <c r="O45" s="301" t="s">
        <v>27</v>
      </c>
      <c r="P45" s="133"/>
      <c r="Q45" s="133"/>
      <c r="U45" s="301" t="s">
        <v>29</v>
      </c>
    </row>
    <row r="46" spans="1:21" x14ac:dyDescent="0.3">
      <c r="A46" s="301" t="s">
        <v>480</v>
      </c>
      <c r="B46" s="301" t="s">
        <v>56</v>
      </c>
      <c r="G46" s="301" t="s">
        <v>312</v>
      </c>
      <c r="H46" s="301" t="s">
        <v>311</v>
      </c>
      <c r="I46" s="301" t="s">
        <v>1692</v>
      </c>
      <c r="J46" s="73">
        <v>40695</v>
      </c>
      <c r="K46" s="133">
        <v>92</v>
      </c>
      <c r="M46" s="301" t="s">
        <v>33</v>
      </c>
      <c r="N46" s="301" t="s">
        <v>34</v>
      </c>
      <c r="O46" s="301" t="s">
        <v>27</v>
      </c>
      <c r="P46" s="133"/>
      <c r="Q46" s="133"/>
      <c r="U46" s="301" t="s">
        <v>36</v>
      </c>
    </row>
    <row r="47" spans="1:21" x14ac:dyDescent="0.3">
      <c r="A47" s="301" t="s">
        <v>480</v>
      </c>
      <c r="B47" s="301" t="s">
        <v>90</v>
      </c>
      <c r="G47" s="301" t="s">
        <v>335</v>
      </c>
      <c r="H47" s="301" t="s">
        <v>334</v>
      </c>
      <c r="I47" s="301" t="s">
        <v>1692</v>
      </c>
      <c r="J47" s="73">
        <v>40878</v>
      </c>
      <c r="K47" s="133">
        <v>136</v>
      </c>
      <c r="M47" s="301" t="s">
        <v>31</v>
      </c>
      <c r="N47" s="301" t="s">
        <v>32</v>
      </c>
      <c r="O47" s="301" t="s">
        <v>27</v>
      </c>
      <c r="P47" s="133"/>
      <c r="Q47" s="133"/>
      <c r="U47" s="301" t="s">
        <v>33</v>
      </c>
    </row>
    <row r="48" spans="1:21" x14ac:dyDescent="0.3">
      <c r="A48" s="301" t="s">
        <v>480</v>
      </c>
      <c r="B48" s="301" t="s">
        <v>92</v>
      </c>
      <c r="G48" s="301" t="s">
        <v>88</v>
      </c>
      <c r="H48" s="301" t="s">
        <v>87</v>
      </c>
      <c r="I48" s="301" t="s">
        <v>1692</v>
      </c>
      <c r="J48" s="73">
        <v>41183</v>
      </c>
      <c r="K48" s="133">
        <v>34</v>
      </c>
      <c r="M48" s="301" t="s">
        <v>21</v>
      </c>
      <c r="N48" s="301" t="s">
        <v>22</v>
      </c>
      <c r="O48" s="301" t="s">
        <v>5</v>
      </c>
      <c r="P48" s="133">
        <v>641</v>
      </c>
      <c r="Q48" s="133">
        <v>4027</v>
      </c>
      <c r="U48" s="301" t="s">
        <v>31</v>
      </c>
    </row>
    <row r="49" spans="1:21" x14ac:dyDescent="0.3">
      <c r="A49" s="301" t="s">
        <v>480</v>
      </c>
      <c r="B49" s="301" t="s">
        <v>94</v>
      </c>
      <c r="G49" s="301" t="s">
        <v>44</v>
      </c>
      <c r="H49" s="301" t="s">
        <v>45</v>
      </c>
      <c r="I49" s="301" t="s">
        <v>1692</v>
      </c>
      <c r="J49" s="73">
        <v>41122</v>
      </c>
      <c r="K49" s="133">
        <v>2</v>
      </c>
      <c r="M49" s="301" t="s">
        <v>15</v>
      </c>
      <c r="N49" s="301" t="s">
        <v>16</v>
      </c>
      <c r="O49" s="301" t="s">
        <v>5</v>
      </c>
      <c r="P49" s="133"/>
      <c r="Q49" s="133"/>
      <c r="U49" s="301" t="s">
        <v>21</v>
      </c>
    </row>
    <row r="50" spans="1:21" x14ac:dyDescent="0.3">
      <c r="A50" s="301" t="s">
        <v>480</v>
      </c>
      <c r="B50" s="301" t="s">
        <v>54</v>
      </c>
      <c r="G50" s="301" t="s">
        <v>56</v>
      </c>
      <c r="H50" s="301" t="s">
        <v>55</v>
      </c>
      <c r="I50" s="301" t="s">
        <v>775</v>
      </c>
      <c r="J50" s="301" t="s">
        <v>1218</v>
      </c>
      <c r="K50" s="133">
        <v>0</v>
      </c>
      <c r="M50" s="301" t="s">
        <v>17</v>
      </c>
      <c r="N50" s="301" t="s">
        <v>18</v>
      </c>
      <c r="O50" s="301" t="s">
        <v>5</v>
      </c>
      <c r="P50" s="133">
        <v>139</v>
      </c>
      <c r="Q50" s="133">
        <v>777</v>
      </c>
      <c r="U50" s="301" t="s">
        <v>15</v>
      </c>
    </row>
    <row r="51" spans="1:21" x14ac:dyDescent="0.3">
      <c r="A51" s="301" t="s">
        <v>480</v>
      </c>
      <c r="B51" s="301" t="s">
        <v>66</v>
      </c>
      <c r="G51" s="301" t="s">
        <v>1886</v>
      </c>
      <c r="H51" s="301" t="s">
        <v>984</v>
      </c>
      <c r="I51" s="301" t="s">
        <v>1692</v>
      </c>
      <c r="J51" s="73">
        <v>41275</v>
      </c>
      <c r="K51" s="133">
        <v>27</v>
      </c>
      <c r="M51" s="301" t="s">
        <v>4</v>
      </c>
      <c r="N51" s="301" t="s">
        <v>6</v>
      </c>
      <c r="O51" s="301" t="s">
        <v>5</v>
      </c>
      <c r="P51" s="133">
        <v>218</v>
      </c>
      <c r="Q51" s="133">
        <v>1067</v>
      </c>
      <c r="U51" s="301" t="s">
        <v>17</v>
      </c>
    </row>
    <row r="52" spans="1:21" x14ac:dyDescent="0.3">
      <c r="A52" s="301" t="s">
        <v>480</v>
      </c>
      <c r="B52" s="301" t="s">
        <v>80</v>
      </c>
      <c r="G52" s="301" t="s">
        <v>12</v>
      </c>
      <c r="H52" s="301" t="s">
        <v>391</v>
      </c>
      <c r="I52" s="301" t="s">
        <v>775</v>
      </c>
      <c r="J52" s="301" t="s">
        <v>1218</v>
      </c>
      <c r="K52" s="133"/>
      <c r="M52" s="301" t="s">
        <v>7</v>
      </c>
      <c r="N52" s="301" t="s">
        <v>8</v>
      </c>
      <c r="O52" s="301" t="s">
        <v>5</v>
      </c>
      <c r="P52" s="133">
        <v>14</v>
      </c>
      <c r="Q52" s="133">
        <v>55</v>
      </c>
      <c r="U52" s="301" t="s">
        <v>4</v>
      </c>
    </row>
    <row r="53" spans="1:21" x14ac:dyDescent="0.3">
      <c r="A53" s="301" t="s">
        <v>480</v>
      </c>
      <c r="B53" s="301" t="s">
        <v>102</v>
      </c>
      <c r="G53" s="301" t="s">
        <v>169</v>
      </c>
      <c r="H53" s="301" t="s">
        <v>168</v>
      </c>
      <c r="I53" s="301" t="s">
        <v>775</v>
      </c>
      <c r="J53" s="301" t="s">
        <v>1218</v>
      </c>
      <c r="K53" s="133"/>
      <c r="M53" s="301" t="s">
        <v>13</v>
      </c>
      <c r="N53" s="301" t="s">
        <v>14</v>
      </c>
      <c r="O53" s="301" t="s">
        <v>5</v>
      </c>
      <c r="P53" s="133">
        <v>40</v>
      </c>
      <c r="Q53" s="133">
        <v>232</v>
      </c>
      <c r="U53" s="301" t="s">
        <v>7</v>
      </c>
    </row>
    <row r="54" spans="1:21" x14ac:dyDescent="0.3">
      <c r="A54" s="301" t="s">
        <v>480</v>
      </c>
      <c r="B54" s="301" t="s">
        <v>106</v>
      </c>
      <c r="G54" s="301" t="s">
        <v>716</v>
      </c>
      <c r="H54" s="301" t="s">
        <v>1241</v>
      </c>
      <c r="I54" s="301" t="s">
        <v>1692</v>
      </c>
      <c r="J54" s="301" t="s">
        <v>1218</v>
      </c>
      <c r="K54" s="133">
        <v>152</v>
      </c>
      <c r="M54" s="301" t="s">
        <v>25</v>
      </c>
      <c r="N54" s="301" t="s">
        <v>26</v>
      </c>
      <c r="O54" s="301" t="s">
        <v>5</v>
      </c>
      <c r="P54" s="133">
        <v>11</v>
      </c>
      <c r="Q54" s="133">
        <v>63</v>
      </c>
      <c r="U54" s="301" t="s">
        <v>13</v>
      </c>
    </row>
    <row r="55" spans="1:21" x14ac:dyDescent="0.3">
      <c r="A55" s="301" t="s">
        <v>480</v>
      </c>
      <c r="B55" s="301" t="s">
        <v>116</v>
      </c>
      <c r="G55" s="301" t="s">
        <v>231</v>
      </c>
      <c r="H55" s="301" t="s">
        <v>386</v>
      </c>
      <c r="I55" s="301" t="s">
        <v>775</v>
      </c>
      <c r="J55" s="301" t="s">
        <v>1218</v>
      </c>
      <c r="K55" s="133">
        <v>32</v>
      </c>
      <c r="M55" s="301" t="s">
        <v>19</v>
      </c>
      <c r="N55" s="301" t="s">
        <v>20</v>
      </c>
      <c r="O55" s="301" t="s">
        <v>5</v>
      </c>
      <c r="P55" s="133">
        <v>17</v>
      </c>
      <c r="Q55" s="133">
        <v>75</v>
      </c>
      <c r="U55" s="301" t="s">
        <v>25</v>
      </c>
    </row>
    <row r="56" spans="1:21" x14ac:dyDescent="0.3">
      <c r="A56" s="301" t="s">
        <v>480</v>
      </c>
      <c r="B56" s="301" t="s">
        <v>130</v>
      </c>
      <c r="G56" s="301" t="s">
        <v>913</v>
      </c>
      <c r="H56" s="301" t="s">
        <v>914</v>
      </c>
      <c r="I56" s="301" t="s">
        <v>1692</v>
      </c>
      <c r="J56" s="73">
        <v>41122</v>
      </c>
      <c r="K56" s="133">
        <v>107</v>
      </c>
      <c r="M56" s="301" t="s">
        <v>23</v>
      </c>
      <c r="N56" s="301" t="s">
        <v>24</v>
      </c>
      <c r="O56" s="301" t="s">
        <v>5</v>
      </c>
      <c r="P56" s="133">
        <v>20</v>
      </c>
      <c r="Q56" s="133">
        <v>95</v>
      </c>
      <c r="U56" s="301" t="s">
        <v>19</v>
      </c>
    </row>
    <row r="57" spans="1:21" x14ac:dyDescent="0.3">
      <c r="A57" s="301" t="s">
        <v>480</v>
      </c>
      <c r="B57" s="301" t="s">
        <v>138</v>
      </c>
      <c r="G57" s="301" t="s">
        <v>362</v>
      </c>
      <c r="H57" s="301" t="s">
        <v>29</v>
      </c>
      <c r="I57" s="301" t="s">
        <v>1692</v>
      </c>
      <c r="J57" s="73">
        <v>41030</v>
      </c>
      <c r="K57" s="133">
        <v>163</v>
      </c>
      <c r="M57" s="301" t="s">
        <v>208</v>
      </c>
      <c r="N57" s="301" t="s">
        <v>209</v>
      </c>
      <c r="O57" s="301" t="s">
        <v>185</v>
      </c>
      <c r="P57" s="133">
        <v>427</v>
      </c>
      <c r="Q57" s="133">
        <v>2006</v>
      </c>
      <c r="U57" s="301" t="s">
        <v>23</v>
      </c>
    </row>
    <row r="58" spans="1:21" x14ac:dyDescent="0.3">
      <c r="A58" s="301" t="s">
        <v>480</v>
      </c>
      <c r="B58" s="301" t="s">
        <v>136</v>
      </c>
      <c r="G58" s="301" t="s">
        <v>194</v>
      </c>
      <c r="H58" s="301" t="s">
        <v>193</v>
      </c>
      <c r="I58" s="301" t="s">
        <v>1692</v>
      </c>
      <c r="J58" s="73">
        <v>40695</v>
      </c>
      <c r="K58" s="133">
        <v>717</v>
      </c>
      <c r="M58" s="301" t="s">
        <v>210</v>
      </c>
      <c r="N58" s="301" t="s">
        <v>211</v>
      </c>
      <c r="O58" s="301" t="s">
        <v>185</v>
      </c>
      <c r="P58" s="133"/>
      <c r="Q58" s="133"/>
      <c r="U58" s="301" t="s">
        <v>208</v>
      </c>
    </row>
    <row r="59" spans="1:21" x14ac:dyDescent="0.3">
      <c r="A59" s="301" t="s">
        <v>480</v>
      </c>
      <c r="B59" s="301" t="s">
        <v>68</v>
      </c>
      <c r="G59" s="301" t="s">
        <v>14</v>
      </c>
      <c r="H59" s="301" t="s">
        <v>13</v>
      </c>
      <c r="I59" s="301" t="s">
        <v>1692</v>
      </c>
      <c r="J59" s="73">
        <v>40878</v>
      </c>
      <c r="K59" s="133">
        <v>40</v>
      </c>
      <c r="M59" s="301" t="s">
        <v>206</v>
      </c>
      <c r="N59" s="301" t="s">
        <v>207</v>
      </c>
      <c r="O59" s="301" t="s">
        <v>185</v>
      </c>
      <c r="P59" s="133"/>
      <c r="Q59" s="133"/>
      <c r="U59" s="301" t="s">
        <v>210</v>
      </c>
    </row>
    <row r="60" spans="1:21" x14ac:dyDescent="0.3">
      <c r="A60" s="301" t="s">
        <v>480</v>
      </c>
      <c r="B60" s="301" t="s">
        <v>84</v>
      </c>
      <c r="G60" s="301" t="s">
        <v>1724</v>
      </c>
      <c r="H60" s="301" t="s">
        <v>1721</v>
      </c>
      <c r="I60" s="301" t="s">
        <v>1692</v>
      </c>
      <c r="J60" s="301" t="s">
        <v>1723</v>
      </c>
      <c r="K60" s="133">
        <v>32</v>
      </c>
      <c r="M60" s="301" t="s">
        <v>216</v>
      </c>
      <c r="N60" s="301" t="s">
        <v>217</v>
      </c>
      <c r="O60" s="301" t="s">
        <v>185</v>
      </c>
      <c r="P60" s="133"/>
      <c r="Q60" s="133"/>
      <c r="U60" s="301" t="s">
        <v>206</v>
      </c>
    </row>
    <row r="61" spans="1:21" x14ac:dyDescent="0.3">
      <c r="A61" s="301" t="s">
        <v>480</v>
      </c>
      <c r="B61" s="301" t="s">
        <v>86</v>
      </c>
      <c r="G61" s="301" t="s">
        <v>751</v>
      </c>
      <c r="H61" s="301" t="s">
        <v>752</v>
      </c>
      <c r="I61" s="301" t="s">
        <v>1692</v>
      </c>
      <c r="J61" s="301" t="s">
        <v>1218</v>
      </c>
      <c r="K61" s="133"/>
      <c r="M61" s="301" t="s">
        <v>226</v>
      </c>
      <c r="N61" s="301" t="s">
        <v>227</v>
      </c>
      <c r="O61" s="301" t="s">
        <v>185</v>
      </c>
      <c r="P61" s="133"/>
      <c r="Q61" s="133"/>
      <c r="U61" s="301" t="s">
        <v>216</v>
      </c>
    </row>
    <row r="62" spans="1:21" x14ac:dyDescent="0.3">
      <c r="A62" s="301" t="s">
        <v>480</v>
      </c>
      <c r="B62" s="301" t="s">
        <v>100</v>
      </c>
      <c r="G62" s="301" t="s">
        <v>1881</v>
      </c>
      <c r="H62" s="301" t="s">
        <v>388</v>
      </c>
      <c r="I62" s="301" t="s">
        <v>1692</v>
      </c>
      <c r="J62" s="301" t="s">
        <v>1218</v>
      </c>
      <c r="K62" s="133">
        <v>67</v>
      </c>
      <c r="M62" s="301" t="s">
        <v>212</v>
      </c>
      <c r="N62" s="301" t="s">
        <v>213</v>
      </c>
      <c r="O62" s="301" t="s">
        <v>185</v>
      </c>
      <c r="P62" s="133">
        <v>26</v>
      </c>
      <c r="Q62" s="133">
        <v>137</v>
      </c>
      <c r="U62" s="301" t="s">
        <v>226</v>
      </c>
    </row>
    <row r="63" spans="1:21" x14ac:dyDescent="0.3">
      <c r="A63" s="301" t="s">
        <v>480</v>
      </c>
      <c r="B63" s="301" t="s">
        <v>104</v>
      </c>
      <c r="G63" s="301" t="s">
        <v>1881</v>
      </c>
      <c r="H63" s="301" t="s">
        <v>389</v>
      </c>
      <c r="I63" s="301" t="s">
        <v>1692</v>
      </c>
      <c r="J63" s="301" t="s">
        <v>1218</v>
      </c>
      <c r="K63" s="133">
        <v>223</v>
      </c>
      <c r="M63" s="301" t="s">
        <v>201</v>
      </c>
      <c r="N63" s="301" t="s">
        <v>202</v>
      </c>
      <c r="O63" s="301" t="s">
        <v>185</v>
      </c>
      <c r="P63" s="133">
        <v>299</v>
      </c>
      <c r="Q63" s="133">
        <v>1373</v>
      </c>
      <c r="U63" s="301" t="s">
        <v>212</v>
      </c>
    </row>
    <row r="64" spans="1:21" x14ac:dyDescent="0.3">
      <c r="A64" s="301" t="s">
        <v>480</v>
      </c>
      <c r="B64" s="301" t="s">
        <v>98</v>
      </c>
      <c r="G64" s="301" t="s">
        <v>1884</v>
      </c>
      <c r="H64" s="301" t="s">
        <v>11</v>
      </c>
      <c r="I64" s="301" t="s">
        <v>1692</v>
      </c>
      <c r="J64" s="301" t="s">
        <v>1218</v>
      </c>
      <c r="K64" s="133">
        <v>181</v>
      </c>
      <c r="M64" s="301" t="s">
        <v>203</v>
      </c>
      <c r="N64" s="301" t="s">
        <v>204</v>
      </c>
      <c r="O64" s="301" t="s">
        <v>185</v>
      </c>
      <c r="P64" s="133"/>
      <c r="Q64" s="133"/>
      <c r="U64" s="301" t="s">
        <v>201</v>
      </c>
    </row>
    <row r="65" spans="1:21" x14ac:dyDescent="0.3">
      <c r="A65" s="301" t="s">
        <v>480</v>
      </c>
      <c r="B65" s="301" t="s">
        <v>142</v>
      </c>
      <c r="G65" s="301" t="s">
        <v>810</v>
      </c>
      <c r="H65" s="301" t="s">
        <v>809</v>
      </c>
      <c r="I65" s="301" t="s">
        <v>775</v>
      </c>
      <c r="J65" s="301" t="s">
        <v>1218</v>
      </c>
      <c r="K65" s="133">
        <v>0</v>
      </c>
      <c r="M65" s="301" t="s">
        <v>199</v>
      </c>
      <c r="N65" s="301" t="s">
        <v>200</v>
      </c>
      <c r="O65" s="301" t="s">
        <v>185</v>
      </c>
      <c r="P65" s="133"/>
      <c r="Q65" s="133"/>
      <c r="U65" s="301" t="s">
        <v>203</v>
      </c>
    </row>
    <row r="66" spans="1:21" x14ac:dyDescent="0.3">
      <c r="A66" s="301" t="s">
        <v>480</v>
      </c>
      <c r="B66" s="301" t="s">
        <v>551</v>
      </c>
      <c r="G66" s="301" t="s">
        <v>1885</v>
      </c>
      <c r="H66" s="301" t="s">
        <v>891</v>
      </c>
      <c r="I66" s="301" t="s">
        <v>1692</v>
      </c>
      <c r="J66" s="73">
        <v>41487</v>
      </c>
      <c r="K66" s="133">
        <v>10</v>
      </c>
      <c r="M66" s="301" t="s">
        <v>220</v>
      </c>
      <c r="N66" s="301" t="s">
        <v>221</v>
      </c>
      <c r="O66" s="301" t="s">
        <v>185</v>
      </c>
      <c r="P66" s="133"/>
      <c r="Q66" s="133"/>
      <c r="U66" s="301" t="s">
        <v>199</v>
      </c>
    </row>
    <row r="67" spans="1:21" x14ac:dyDescent="0.3">
      <c r="A67" s="301" t="s">
        <v>480</v>
      </c>
      <c r="B67" s="301" t="s">
        <v>108</v>
      </c>
      <c r="G67" s="301" t="s">
        <v>252</v>
      </c>
      <c r="H67" s="301" t="s">
        <v>251</v>
      </c>
      <c r="I67" s="301" t="s">
        <v>1692</v>
      </c>
      <c r="J67" s="73">
        <v>40725</v>
      </c>
      <c r="K67" s="133">
        <v>199</v>
      </c>
      <c r="M67" s="301" t="s">
        <v>150</v>
      </c>
      <c r="N67" s="301" t="s">
        <v>152</v>
      </c>
      <c r="O67" s="301" t="s">
        <v>151</v>
      </c>
      <c r="P67" s="133">
        <v>190</v>
      </c>
      <c r="Q67" s="133">
        <v>853</v>
      </c>
      <c r="U67" s="301" t="s">
        <v>220</v>
      </c>
    </row>
    <row r="68" spans="1:21" x14ac:dyDescent="0.3">
      <c r="A68" s="301" t="s">
        <v>480</v>
      </c>
      <c r="B68" s="301" t="s">
        <v>110</v>
      </c>
      <c r="G68" s="301" t="s">
        <v>254</v>
      </c>
      <c r="H68" s="301" t="s">
        <v>253</v>
      </c>
      <c r="I68" s="301" t="s">
        <v>1692</v>
      </c>
      <c r="J68" s="73">
        <v>40725</v>
      </c>
      <c r="K68" s="133">
        <v>100</v>
      </c>
      <c r="M68" s="301" t="s">
        <v>304</v>
      </c>
      <c r="N68" s="301" t="s">
        <v>305</v>
      </c>
      <c r="O68" s="301" t="s">
        <v>301</v>
      </c>
      <c r="P68" s="133">
        <v>47</v>
      </c>
      <c r="Q68" s="133">
        <v>276</v>
      </c>
      <c r="U68" s="301" t="s">
        <v>150</v>
      </c>
    </row>
    <row r="69" spans="1:21" x14ac:dyDescent="0.3">
      <c r="A69" s="301" t="s">
        <v>480</v>
      </c>
      <c r="B69" s="301" t="s">
        <v>112</v>
      </c>
      <c r="G69" s="301" t="s">
        <v>1712</v>
      </c>
      <c r="H69" s="301" t="s">
        <v>1653</v>
      </c>
      <c r="I69" s="301" t="s">
        <v>1692</v>
      </c>
      <c r="J69" s="73">
        <v>43312</v>
      </c>
      <c r="K69" s="133">
        <v>140</v>
      </c>
      <c r="M69" s="301" t="s">
        <v>306</v>
      </c>
      <c r="N69" s="301" t="s">
        <v>307</v>
      </c>
      <c r="O69" s="301" t="s">
        <v>301</v>
      </c>
      <c r="P69" s="133">
        <v>47</v>
      </c>
      <c r="Q69" s="133">
        <v>194</v>
      </c>
      <c r="U69" s="301" t="s">
        <v>304</v>
      </c>
    </row>
    <row r="70" spans="1:21" x14ac:dyDescent="0.3">
      <c r="A70" s="301" t="s">
        <v>480</v>
      </c>
      <c r="B70" s="301" t="s">
        <v>114</v>
      </c>
      <c r="G70" s="301" t="s">
        <v>196</v>
      </c>
      <c r="H70" s="301" t="s">
        <v>195</v>
      </c>
      <c r="I70" s="301" t="s">
        <v>1692</v>
      </c>
      <c r="J70" s="73">
        <v>41061</v>
      </c>
      <c r="K70" s="133">
        <v>1527</v>
      </c>
      <c r="M70" s="301" t="s">
        <v>222</v>
      </c>
      <c r="N70" s="301" t="s">
        <v>223</v>
      </c>
      <c r="O70" s="301" t="s">
        <v>185</v>
      </c>
      <c r="P70" s="133">
        <v>129</v>
      </c>
      <c r="Q70" s="133">
        <v>646</v>
      </c>
      <c r="U70" s="301" t="s">
        <v>306</v>
      </c>
    </row>
    <row r="71" spans="1:21" x14ac:dyDescent="0.3">
      <c r="A71" s="301" t="s">
        <v>480</v>
      </c>
      <c r="B71" s="301" t="s">
        <v>118</v>
      </c>
      <c r="G71" s="301" t="s">
        <v>1197</v>
      </c>
      <c r="H71" s="301" t="s">
        <v>1175</v>
      </c>
      <c r="I71" s="301" t="s">
        <v>775</v>
      </c>
      <c r="J71" s="301" t="s">
        <v>1218</v>
      </c>
      <c r="K71" s="133"/>
      <c r="M71" s="301" t="s">
        <v>189</v>
      </c>
      <c r="N71" s="301" t="s">
        <v>190</v>
      </c>
      <c r="O71" s="301" t="s">
        <v>185</v>
      </c>
      <c r="P71" s="133">
        <v>210</v>
      </c>
      <c r="Q71" s="133">
        <v>1212</v>
      </c>
      <c r="U71" s="301" t="s">
        <v>222</v>
      </c>
    </row>
    <row r="72" spans="1:21" x14ac:dyDescent="0.3">
      <c r="A72" s="301" t="s">
        <v>480</v>
      </c>
      <c r="B72" s="301" t="s">
        <v>122</v>
      </c>
      <c r="G72" s="301" t="s">
        <v>1506</v>
      </c>
      <c r="H72" s="301" t="s">
        <v>1536</v>
      </c>
      <c r="I72" s="301" t="s">
        <v>1692</v>
      </c>
      <c r="J72" s="73">
        <v>42929</v>
      </c>
      <c r="K72" s="133">
        <v>14</v>
      </c>
      <c r="M72" s="301" t="s">
        <v>184</v>
      </c>
      <c r="N72" s="301" t="s">
        <v>186</v>
      </c>
      <c r="O72" s="301" t="s">
        <v>185</v>
      </c>
      <c r="P72" s="133">
        <v>38</v>
      </c>
      <c r="Q72" s="133">
        <v>244</v>
      </c>
      <c r="U72" s="301" t="s">
        <v>189</v>
      </c>
    </row>
    <row r="73" spans="1:21" x14ac:dyDescent="0.3">
      <c r="A73" s="301" t="s">
        <v>480</v>
      </c>
      <c r="B73" s="301" t="s">
        <v>124</v>
      </c>
      <c r="G73" s="301" t="s">
        <v>1207</v>
      </c>
      <c r="H73" s="301" t="s">
        <v>1174</v>
      </c>
      <c r="I73" s="301" t="s">
        <v>775</v>
      </c>
      <c r="J73" s="301" t="s">
        <v>1218</v>
      </c>
      <c r="K73" s="133"/>
      <c r="M73" s="301" t="s">
        <v>228</v>
      </c>
      <c r="N73" s="301" t="s">
        <v>229</v>
      </c>
      <c r="O73" s="301" t="s">
        <v>185</v>
      </c>
      <c r="P73" s="133">
        <v>49</v>
      </c>
      <c r="Q73" s="133">
        <v>300</v>
      </c>
      <c r="U73" s="301" t="s">
        <v>184</v>
      </c>
    </row>
    <row r="74" spans="1:21" x14ac:dyDescent="0.3">
      <c r="A74" s="301" t="s">
        <v>480</v>
      </c>
      <c r="B74" s="301" t="s">
        <v>96</v>
      </c>
      <c r="G74" s="301" t="s">
        <v>16</v>
      </c>
      <c r="H74" s="301" t="s">
        <v>15</v>
      </c>
      <c r="I74" s="301" t="s">
        <v>775</v>
      </c>
      <c r="J74" s="301" t="s">
        <v>1218</v>
      </c>
      <c r="K74" s="133"/>
      <c r="M74" s="301" t="s">
        <v>224</v>
      </c>
      <c r="N74" s="301" t="s">
        <v>225</v>
      </c>
      <c r="O74" s="301" t="s">
        <v>185</v>
      </c>
      <c r="P74" s="133">
        <v>44</v>
      </c>
      <c r="Q74" s="133">
        <v>276</v>
      </c>
      <c r="U74" s="301" t="s">
        <v>228</v>
      </c>
    </row>
    <row r="75" spans="1:21" x14ac:dyDescent="0.3">
      <c r="A75" s="301" t="s">
        <v>480</v>
      </c>
      <c r="B75" s="301" t="s">
        <v>132</v>
      </c>
      <c r="G75" s="301" t="s">
        <v>1666</v>
      </c>
      <c r="H75" s="301" t="s">
        <v>1658</v>
      </c>
      <c r="I75" s="301" t="s">
        <v>1692</v>
      </c>
      <c r="J75" s="301" t="s">
        <v>1218</v>
      </c>
      <c r="K75" s="133">
        <v>16</v>
      </c>
      <c r="M75" s="301" t="s">
        <v>143</v>
      </c>
      <c r="N75" s="301" t="s">
        <v>145</v>
      </c>
      <c r="O75" s="301" t="s">
        <v>144</v>
      </c>
      <c r="P75" s="133"/>
      <c r="Q75" s="133"/>
      <c r="U75" s="301" t="s">
        <v>224</v>
      </c>
    </row>
    <row r="76" spans="1:21" x14ac:dyDescent="0.3">
      <c r="A76" s="301" t="s">
        <v>480</v>
      </c>
      <c r="B76" s="301" t="s">
        <v>134</v>
      </c>
      <c r="G76" s="301" t="s">
        <v>1196</v>
      </c>
      <c r="H76" s="301" t="s">
        <v>1172</v>
      </c>
      <c r="I76" s="301" t="s">
        <v>775</v>
      </c>
      <c r="J76" s="301" t="s">
        <v>1218</v>
      </c>
      <c r="K76" s="133"/>
      <c r="M76" s="301" t="s">
        <v>298</v>
      </c>
      <c r="N76" s="301" t="s">
        <v>300</v>
      </c>
      <c r="O76" s="301" t="s">
        <v>299</v>
      </c>
      <c r="P76" s="133">
        <v>17</v>
      </c>
      <c r="Q76" s="133">
        <v>92</v>
      </c>
      <c r="U76" s="301" t="s">
        <v>143</v>
      </c>
    </row>
    <row r="77" spans="1:21" x14ac:dyDescent="0.3">
      <c r="A77" s="301" t="s">
        <v>480</v>
      </c>
      <c r="B77" s="301" t="s">
        <v>64</v>
      </c>
      <c r="G77" s="301" t="s">
        <v>474</v>
      </c>
      <c r="H77" s="301" t="s">
        <v>475</v>
      </c>
      <c r="I77" s="301" t="s">
        <v>1692</v>
      </c>
      <c r="J77" s="301" t="s">
        <v>1218</v>
      </c>
      <c r="K77" s="133">
        <v>3</v>
      </c>
      <c r="M77" s="301" t="s">
        <v>175</v>
      </c>
      <c r="N77" s="301" t="s">
        <v>1480</v>
      </c>
      <c r="O77" s="301" t="s">
        <v>173</v>
      </c>
      <c r="P77" s="133">
        <v>15</v>
      </c>
      <c r="Q77" s="133">
        <v>74</v>
      </c>
      <c r="U77" s="301" t="s">
        <v>298</v>
      </c>
    </row>
    <row r="78" spans="1:21" x14ac:dyDescent="0.3">
      <c r="A78" s="301" t="s">
        <v>480</v>
      </c>
      <c r="B78" s="301" t="s">
        <v>126</v>
      </c>
      <c r="G78" s="301" t="s">
        <v>370</v>
      </c>
      <c r="H78" s="301" t="s">
        <v>380</v>
      </c>
      <c r="I78" s="301" t="s">
        <v>775</v>
      </c>
      <c r="J78" s="73">
        <v>41275</v>
      </c>
      <c r="K78" s="133"/>
      <c r="M78" s="301" t="s">
        <v>172</v>
      </c>
      <c r="N78" s="301" t="s">
        <v>174</v>
      </c>
      <c r="O78" s="301" t="s">
        <v>173</v>
      </c>
      <c r="P78" s="133">
        <v>13</v>
      </c>
      <c r="Q78" s="133">
        <v>72</v>
      </c>
      <c r="U78" s="301" t="s">
        <v>175</v>
      </c>
    </row>
    <row r="79" spans="1:21" x14ac:dyDescent="0.3">
      <c r="A79" s="301" t="s">
        <v>480</v>
      </c>
      <c r="B79" s="301" t="s">
        <v>74</v>
      </c>
      <c r="G79" s="301" t="s">
        <v>954</v>
      </c>
      <c r="H79" s="301" t="s">
        <v>955</v>
      </c>
      <c r="I79" s="301" t="s">
        <v>775</v>
      </c>
      <c r="J79" s="73">
        <v>42019</v>
      </c>
      <c r="K79" s="133"/>
      <c r="M79" s="301" t="s">
        <v>177</v>
      </c>
      <c r="N79" s="301" t="s">
        <v>178</v>
      </c>
      <c r="O79" s="301" t="s">
        <v>173</v>
      </c>
      <c r="P79" s="133">
        <v>10</v>
      </c>
      <c r="Q79" s="133">
        <v>43</v>
      </c>
      <c r="U79" s="301" t="s">
        <v>172</v>
      </c>
    </row>
    <row r="80" spans="1:21" x14ac:dyDescent="0.3">
      <c r="A80" s="301" t="s">
        <v>480</v>
      </c>
      <c r="B80" s="301" t="s">
        <v>140</v>
      </c>
      <c r="G80" s="301" t="s">
        <v>367</v>
      </c>
      <c r="H80" s="301" t="s">
        <v>381</v>
      </c>
      <c r="I80" s="301" t="s">
        <v>1692</v>
      </c>
      <c r="J80" s="73">
        <v>41244</v>
      </c>
      <c r="K80" s="133">
        <v>53</v>
      </c>
      <c r="M80" s="301" t="s">
        <v>179</v>
      </c>
      <c r="N80" s="301" t="s">
        <v>181</v>
      </c>
      <c r="O80" s="301" t="s">
        <v>180</v>
      </c>
      <c r="P80" s="133">
        <v>11</v>
      </c>
      <c r="Q80" s="133">
        <v>68</v>
      </c>
      <c r="U80" s="301" t="s">
        <v>177</v>
      </c>
    </row>
    <row r="81" spans="1:21" x14ac:dyDescent="0.3">
      <c r="A81" s="301" t="s">
        <v>480</v>
      </c>
      <c r="B81" s="301" t="s">
        <v>467</v>
      </c>
      <c r="G81" s="301" t="s">
        <v>1230</v>
      </c>
      <c r="H81" s="301" t="s">
        <v>1229</v>
      </c>
      <c r="I81" s="301" t="s">
        <v>1692</v>
      </c>
      <c r="J81" s="73">
        <v>42724</v>
      </c>
      <c r="K81" s="133">
        <v>37</v>
      </c>
      <c r="M81" s="301" t="s">
        <v>182</v>
      </c>
      <c r="N81" s="301" t="s">
        <v>183</v>
      </c>
      <c r="O81" s="301" t="s">
        <v>180</v>
      </c>
      <c r="P81" s="133">
        <v>0</v>
      </c>
      <c r="Q81" s="133">
        <v>0</v>
      </c>
      <c r="U81" s="301" t="s">
        <v>179</v>
      </c>
    </row>
    <row r="82" spans="1:21" x14ac:dyDescent="0.3">
      <c r="A82" s="301" t="s">
        <v>480</v>
      </c>
      <c r="B82" s="301" t="s">
        <v>913</v>
      </c>
      <c r="G82" s="301" t="s">
        <v>368</v>
      </c>
      <c r="H82" s="301" t="s">
        <v>382</v>
      </c>
      <c r="I82" s="301" t="s">
        <v>1692</v>
      </c>
      <c r="J82" s="73">
        <v>41244</v>
      </c>
      <c r="K82" s="133">
        <v>28</v>
      </c>
      <c r="M82" s="301" t="s">
        <v>109</v>
      </c>
      <c r="N82" s="301" t="s">
        <v>110</v>
      </c>
      <c r="O82" s="301" t="s">
        <v>480</v>
      </c>
      <c r="P82" s="133">
        <v>0</v>
      </c>
      <c r="Q82" s="133">
        <v>0</v>
      </c>
      <c r="U82" s="301" t="s">
        <v>182</v>
      </c>
    </row>
    <row r="83" spans="1:21" x14ac:dyDescent="0.3">
      <c r="A83" s="301" t="s">
        <v>480</v>
      </c>
      <c r="B83" s="301" t="s">
        <v>954</v>
      </c>
      <c r="G83" s="301" t="s">
        <v>1273</v>
      </c>
      <c r="H83" s="301" t="s">
        <v>1272</v>
      </c>
      <c r="I83" s="301" t="s">
        <v>1692</v>
      </c>
      <c r="J83" s="73">
        <v>42781</v>
      </c>
      <c r="K83" s="133">
        <v>61</v>
      </c>
      <c r="M83" s="301" t="s">
        <v>111</v>
      </c>
      <c r="N83" s="301" t="s">
        <v>112</v>
      </c>
      <c r="O83" s="301" t="s">
        <v>480</v>
      </c>
      <c r="P83" s="133">
        <v>0</v>
      </c>
      <c r="Q83" s="133">
        <v>0</v>
      </c>
      <c r="U83" s="301" t="s">
        <v>109</v>
      </c>
    </row>
    <row r="84" spans="1:21" x14ac:dyDescent="0.3">
      <c r="A84" s="301" t="s">
        <v>480</v>
      </c>
      <c r="B84" s="301" t="s">
        <v>1131</v>
      </c>
      <c r="G84" s="301" t="s">
        <v>256</v>
      </c>
      <c r="H84" s="301" t="s">
        <v>255</v>
      </c>
      <c r="I84" s="301" t="s">
        <v>775</v>
      </c>
      <c r="J84" s="73">
        <v>40909</v>
      </c>
      <c r="K84" s="133">
        <v>45</v>
      </c>
      <c r="M84" s="301" t="s">
        <v>85</v>
      </c>
      <c r="N84" s="301" t="s">
        <v>86</v>
      </c>
      <c r="O84" s="301" t="s">
        <v>480</v>
      </c>
      <c r="P84" s="133">
        <v>0</v>
      </c>
      <c r="Q84" s="133">
        <v>0</v>
      </c>
      <c r="U84" s="301" t="s">
        <v>111</v>
      </c>
    </row>
    <row r="85" spans="1:21" x14ac:dyDescent="0.3">
      <c r="A85" s="301" t="s">
        <v>480</v>
      </c>
      <c r="B85" s="301" t="s">
        <v>1152</v>
      </c>
      <c r="G85" s="301" t="s">
        <v>174</v>
      </c>
      <c r="H85" s="301" t="s">
        <v>172</v>
      </c>
      <c r="I85" s="301" t="s">
        <v>1692</v>
      </c>
      <c r="J85" s="73">
        <v>41030</v>
      </c>
      <c r="K85" s="133">
        <v>13</v>
      </c>
      <c r="M85" s="301" t="s">
        <v>83</v>
      </c>
      <c r="N85" s="301" t="s">
        <v>84</v>
      </c>
      <c r="O85" s="301" t="s">
        <v>480</v>
      </c>
      <c r="P85" s="133">
        <v>0</v>
      </c>
      <c r="Q85" s="133">
        <v>0</v>
      </c>
      <c r="U85" s="301" t="s">
        <v>85</v>
      </c>
    </row>
    <row r="86" spans="1:21" x14ac:dyDescent="0.3">
      <c r="A86" s="301" t="s">
        <v>480</v>
      </c>
      <c r="B86" s="301" t="s">
        <v>1156</v>
      </c>
      <c r="G86" s="301" t="s">
        <v>145</v>
      </c>
      <c r="H86" s="301" t="s">
        <v>143</v>
      </c>
      <c r="I86" s="301" t="s">
        <v>775</v>
      </c>
      <c r="J86" s="301" t="s">
        <v>1218</v>
      </c>
      <c r="K86" s="133"/>
      <c r="M86" s="301" t="s">
        <v>69</v>
      </c>
      <c r="N86" s="301" t="s">
        <v>70</v>
      </c>
      <c r="O86" s="301" t="s">
        <v>480</v>
      </c>
      <c r="P86" s="133"/>
      <c r="Q86" s="133"/>
      <c r="U86" s="301" t="s">
        <v>83</v>
      </c>
    </row>
    <row r="87" spans="1:21" x14ac:dyDescent="0.3">
      <c r="A87" s="301" t="s">
        <v>480</v>
      </c>
      <c r="B87" s="301" t="s">
        <v>1153</v>
      </c>
      <c r="G87" s="301" t="s">
        <v>469</v>
      </c>
      <c r="H87" s="301" t="s">
        <v>470</v>
      </c>
      <c r="I87" s="301" t="s">
        <v>775</v>
      </c>
      <c r="J87" s="73">
        <v>41365</v>
      </c>
      <c r="K87" s="133">
        <v>0</v>
      </c>
      <c r="M87" s="301" t="s">
        <v>103</v>
      </c>
      <c r="N87" s="301" t="s">
        <v>104</v>
      </c>
      <c r="O87" s="301" t="s">
        <v>480</v>
      </c>
      <c r="P87" s="133">
        <v>0</v>
      </c>
      <c r="Q87" s="133">
        <v>0</v>
      </c>
      <c r="U87" s="301" t="s">
        <v>69</v>
      </c>
    </row>
    <row r="88" spans="1:21" x14ac:dyDescent="0.3">
      <c r="A88" s="301" t="s">
        <v>480</v>
      </c>
      <c r="B88" s="301" t="s">
        <v>1155</v>
      </c>
      <c r="G88" s="301" t="s">
        <v>1033</v>
      </c>
      <c r="H88" s="301" t="s">
        <v>313</v>
      </c>
      <c r="I88" s="301" t="s">
        <v>775</v>
      </c>
      <c r="J88" s="73">
        <v>40695</v>
      </c>
      <c r="K88" s="133">
        <v>0</v>
      </c>
      <c r="M88" s="301" t="s">
        <v>67</v>
      </c>
      <c r="N88" s="301" t="s">
        <v>68</v>
      </c>
      <c r="O88" s="301" t="s">
        <v>480</v>
      </c>
      <c r="P88" s="133">
        <v>0</v>
      </c>
      <c r="Q88" s="133">
        <v>0</v>
      </c>
      <c r="U88" s="301" t="s">
        <v>103</v>
      </c>
    </row>
    <row r="89" spans="1:21" x14ac:dyDescent="0.3">
      <c r="A89" s="301" t="s">
        <v>480</v>
      </c>
      <c r="B89" s="301" t="s">
        <v>1154</v>
      </c>
      <c r="G89" s="301" t="s">
        <v>1627</v>
      </c>
      <c r="H89" s="301" t="s">
        <v>1615</v>
      </c>
      <c r="I89" s="301" t="s">
        <v>1692</v>
      </c>
      <c r="J89" s="73">
        <v>43212</v>
      </c>
      <c r="K89" s="133">
        <v>76</v>
      </c>
      <c r="M89" s="301" t="s">
        <v>99</v>
      </c>
      <c r="N89" s="301" t="s">
        <v>100</v>
      </c>
      <c r="O89" s="301" t="s">
        <v>480</v>
      </c>
      <c r="P89" s="133">
        <v>3</v>
      </c>
      <c r="Q89" s="133">
        <v>15</v>
      </c>
      <c r="U89" s="301" t="s">
        <v>67</v>
      </c>
    </row>
    <row r="90" spans="1:21" x14ac:dyDescent="0.3">
      <c r="A90" s="301" t="s">
        <v>480</v>
      </c>
      <c r="B90" s="301" t="s">
        <v>1274</v>
      </c>
      <c r="G90" s="301" t="s">
        <v>34</v>
      </c>
      <c r="H90" s="301" t="s">
        <v>33</v>
      </c>
      <c r="I90" s="301" t="s">
        <v>775</v>
      </c>
      <c r="J90" s="301" t="s">
        <v>1218</v>
      </c>
      <c r="K90" s="133"/>
      <c r="M90" s="301" t="s">
        <v>49</v>
      </c>
      <c r="N90" s="301" t="s">
        <v>50</v>
      </c>
      <c r="O90" s="301" t="s">
        <v>480</v>
      </c>
      <c r="P90" s="133"/>
      <c r="Q90" s="133"/>
      <c r="U90" s="301" t="s">
        <v>99</v>
      </c>
    </row>
    <row r="91" spans="1:21" x14ac:dyDescent="0.3">
      <c r="A91" s="301" t="s">
        <v>480</v>
      </c>
      <c r="B91" s="301" t="s">
        <v>1612</v>
      </c>
      <c r="G91" s="301" t="s">
        <v>198</v>
      </c>
      <c r="H91" s="301" t="s">
        <v>197</v>
      </c>
      <c r="I91" s="301" t="s">
        <v>1692</v>
      </c>
      <c r="J91" s="73">
        <v>40817</v>
      </c>
      <c r="K91" s="133">
        <v>522</v>
      </c>
      <c r="M91" s="301" t="s">
        <v>65</v>
      </c>
      <c r="N91" s="301" t="s">
        <v>66</v>
      </c>
      <c r="O91" s="301" t="s">
        <v>480</v>
      </c>
      <c r="P91" s="133">
        <v>0</v>
      </c>
      <c r="Q91" s="133">
        <v>0</v>
      </c>
      <c r="U91" s="301" t="s">
        <v>49</v>
      </c>
    </row>
    <row r="92" spans="1:21" x14ac:dyDescent="0.3">
      <c r="A92" s="301" t="s">
        <v>480</v>
      </c>
      <c r="B92" s="301" t="s">
        <v>1666</v>
      </c>
      <c r="G92" s="301" t="s">
        <v>1612</v>
      </c>
      <c r="H92" s="301" t="s">
        <v>1656</v>
      </c>
      <c r="I92" s="301" t="s">
        <v>1692</v>
      </c>
      <c r="J92" s="301" t="s">
        <v>1218</v>
      </c>
      <c r="K92" s="133">
        <v>47</v>
      </c>
      <c r="M92" s="301" t="s">
        <v>53</v>
      </c>
      <c r="N92" s="301" t="s">
        <v>54</v>
      </c>
      <c r="O92" s="301" t="s">
        <v>480</v>
      </c>
      <c r="P92" s="133">
        <v>0</v>
      </c>
      <c r="Q92" s="133">
        <v>0</v>
      </c>
      <c r="U92" s="301" t="s">
        <v>65</v>
      </c>
    </row>
    <row r="93" spans="1:21" x14ac:dyDescent="0.3">
      <c r="A93" s="301" t="s">
        <v>719</v>
      </c>
      <c r="B93" s="301" t="s">
        <v>535</v>
      </c>
      <c r="G93" s="301" t="s">
        <v>303</v>
      </c>
      <c r="H93" s="301" t="s">
        <v>302</v>
      </c>
      <c r="I93" s="301" t="s">
        <v>775</v>
      </c>
      <c r="J93" s="73">
        <v>41701</v>
      </c>
      <c r="K93" s="133">
        <v>375</v>
      </c>
      <c r="M93" s="301" t="s">
        <v>115</v>
      </c>
      <c r="N93" s="301" t="s">
        <v>116</v>
      </c>
      <c r="O93" s="301" t="s">
        <v>480</v>
      </c>
      <c r="P93" s="133">
        <v>0</v>
      </c>
      <c r="Q93" s="133">
        <v>0</v>
      </c>
      <c r="U93" s="301" t="s">
        <v>53</v>
      </c>
    </row>
    <row r="94" spans="1:21" x14ac:dyDescent="0.3">
      <c r="A94" s="301" t="s">
        <v>719</v>
      </c>
      <c r="B94" s="301" t="s">
        <v>1058</v>
      </c>
      <c r="G94" s="301" t="s">
        <v>35</v>
      </c>
      <c r="H94" s="301" t="s">
        <v>360</v>
      </c>
      <c r="I94" s="301" t="s">
        <v>775</v>
      </c>
      <c r="J94" s="301" t="s">
        <v>1218</v>
      </c>
      <c r="K94" s="133">
        <v>0</v>
      </c>
      <c r="M94" s="301" t="s">
        <v>79</v>
      </c>
      <c r="N94" s="301" t="s">
        <v>80</v>
      </c>
      <c r="O94" s="301" t="s">
        <v>480</v>
      </c>
      <c r="P94" s="133">
        <v>0</v>
      </c>
      <c r="Q94" s="133">
        <v>0</v>
      </c>
      <c r="U94" s="301" t="s">
        <v>115</v>
      </c>
    </row>
    <row r="95" spans="1:21" x14ac:dyDescent="0.3">
      <c r="A95" s="301" t="s">
        <v>719</v>
      </c>
      <c r="B95" s="301" t="s">
        <v>1141</v>
      </c>
      <c r="G95" s="301" t="s">
        <v>1274</v>
      </c>
      <c r="H95" s="301" t="s">
        <v>1265</v>
      </c>
      <c r="I95" s="301" t="s">
        <v>1692</v>
      </c>
      <c r="J95" s="73">
        <v>42887</v>
      </c>
      <c r="K95" s="133">
        <v>124</v>
      </c>
      <c r="M95" s="301" t="s">
        <v>137</v>
      </c>
      <c r="N95" s="301" t="s">
        <v>138</v>
      </c>
      <c r="O95" s="301" t="s">
        <v>480</v>
      </c>
      <c r="P95" s="133">
        <v>0</v>
      </c>
      <c r="Q95" s="133">
        <v>0</v>
      </c>
      <c r="U95" s="301" t="s">
        <v>79</v>
      </c>
    </row>
    <row r="96" spans="1:21" x14ac:dyDescent="0.3">
      <c r="A96" s="301" t="s">
        <v>361</v>
      </c>
      <c r="B96" s="301" t="s">
        <v>35</v>
      </c>
      <c r="G96" s="301" t="s">
        <v>240</v>
      </c>
      <c r="H96" s="301" t="s">
        <v>239</v>
      </c>
      <c r="I96" s="301" t="s">
        <v>1692</v>
      </c>
      <c r="J96" s="73">
        <v>40603</v>
      </c>
      <c r="K96" s="133">
        <v>152</v>
      </c>
      <c r="M96" s="301" t="s">
        <v>101</v>
      </c>
      <c r="N96" s="301" t="s">
        <v>102</v>
      </c>
      <c r="O96" s="301" t="s">
        <v>480</v>
      </c>
      <c r="P96" s="133">
        <v>0</v>
      </c>
      <c r="Q96" s="133">
        <v>0</v>
      </c>
      <c r="U96" s="301" t="s">
        <v>137</v>
      </c>
    </row>
    <row r="97" spans="1:21" x14ac:dyDescent="0.3">
      <c r="A97" s="301" t="s">
        <v>144</v>
      </c>
      <c r="B97" s="301" t="s">
        <v>145</v>
      </c>
      <c r="G97" s="301" t="s">
        <v>284</v>
      </c>
      <c r="H97" s="301" t="s">
        <v>283</v>
      </c>
      <c r="I97" s="301" t="s">
        <v>1692</v>
      </c>
      <c r="J97" s="73">
        <v>40695</v>
      </c>
      <c r="K97" s="133">
        <v>138</v>
      </c>
      <c r="M97" s="301" t="s">
        <v>105</v>
      </c>
      <c r="N97" s="301" t="s">
        <v>106</v>
      </c>
      <c r="O97" s="301" t="s">
        <v>480</v>
      </c>
      <c r="P97" s="133">
        <v>0</v>
      </c>
      <c r="Q97" s="133">
        <v>0</v>
      </c>
      <c r="U97" s="301" t="s">
        <v>101</v>
      </c>
    </row>
    <row r="98" spans="1:21" x14ac:dyDescent="0.3">
      <c r="A98" s="301" t="s">
        <v>146</v>
      </c>
      <c r="B98" s="301" t="s">
        <v>837</v>
      </c>
      <c r="G98" s="301" t="s">
        <v>363</v>
      </c>
      <c r="H98" s="301" t="s">
        <v>376</v>
      </c>
      <c r="I98" s="301" t="s">
        <v>1692</v>
      </c>
      <c r="J98" s="73">
        <v>40940</v>
      </c>
      <c r="K98" s="133">
        <v>206</v>
      </c>
      <c r="M98" s="301" t="s">
        <v>129</v>
      </c>
      <c r="N98" s="301" t="s">
        <v>130</v>
      </c>
      <c r="O98" s="301" t="s">
        <v>480</v>
      </c>
      <c r="P98" s="133">
        <v>0</v>
      </c>
      <c r="Q98" s="133">
        <v>0</v>
      </c>
      <c r="U98" s="301" t="s">
        <v>105</v>
      </c>
    </row>
    <row r="99" spans="1:21" x14ac:dyDescent="0.3">
      <c r="A99" s="301" t="s">
        <v>146</v>
      </c>
      <c r="B99" s="301" t="s">
        <v>370</v>
      </c>
      <c r="G99" s="301" t="s">
        <v>90</v>
      </c>
      <c r="H99" s="301" t="s">
        <v>89</v>
      </c>
      <c r="I99" s="301" t="s">
        <v>1692</v>
      </c>
      <c r="J99" s="73">
        <v>41275</v>
      </c>
      <c r="K99" s="133">
        <v>18</v>
      </c>
      <c r="M99" s="301" t="s">
        <v>133</v>
      </c>
      <c r="N99" s="301" t="s">
        <v>134</v>
      </c>
      <c r="O99" s="301" t="s">
        <v>480</v>
      </c>
      <c r="P99" s="133"/>
      <c r="Q99" s="133"/>
      <c r="U99" s="301" t="s">
        <v>129</v>
      </c>
    </row>
    <row r="100" spans="1:21" x14ac:dyDescent="0.3">
      <c r="A100" s="301" t="s">
        <v>146</v>
      </c>
      <c r="B100" s="301" t="s">
        <v>367</v>
      </c>
      <c r="G100" s="301" t="s">
        <v>92</v>
      </c>
      <c r="H100" s="301" t="s">
        <v>91</v>
      </c>
      <c r="I100" s="301" t="s">
        <v>1692</v>
      </c>
      <c r="J100" s="73">
        <v>41275</v>
      </c>
      <c r="K100" s="133">
        <v>12</v>
      </c>
      <c r="M100" s="301" t="s">
        <v>113</v>
      </c>
      <c r="N100" s="301" t="s">
        <v>114</v>
      </c>
      <c r="O100" s="301" t="s">
        <v>480</v>
      </c>
      <c r="P100" s="133">
        <v>0</v>
      </c>
      <c r="Q100" s="133">
        <v>0</v>
      </c>
      <c r="U100" s="301" t="s">
        <v>133</v>
      </c>
    </row>
    <row r="101" spans="1:21" x14ac:dyDescent="0.3">
      <c r="A101" s="301" t="s">
        <v>146</v>
      </c>
      <c r="B101" s="301" t="s">
        <v>368</v>
      </c>
      <c r="G101" s="301" t="s">
        <v>18</v>
      </c>
      <c r="H101" s="301" t="s">
        <v>17</v>
      </c>
      <c r="I101" s="301" t="s">
        <v>1692</v>
      </c>
      <c r="J101" s="73">
        <v>40695</v>
      </c>
      <c r="K101" s="133">
        <v>139</v>
      </c>
      <c r="M101" s="301" t="s">
        <v>107</v>
      </c>
      <c r="N101" s="301" t="s">
        <v>108</v>
      </c>
      <c r="O101" s="301" t="s">
        <v>480</v>
      </c>
      <c r="P101" s="133">
        <v>47</v>
      </c>
      <c r="Q101" s="133">
        <v>225</v>
      </c>
      <c r="U101" s="301" t="s">
        <v>113</v>
      </c>
    </row>
    <row r="102" spans="1:21" x14ac:dyDescent="0.3">
      <c r="A102" s="301" t="s">
        <v>146</v>
      </c>
      <c r="B102" s="301" t="s">
        <v>369</v>
      </c>
      <c r="G102" s="301" t="s">
        <v>1189</v>
      </c>
      <c r="H102" s="301" t="s">
        <v>1171</v>
      </c>
      <c r="I102" s="301" t="s">
        <v>1692</v>
      </c>
      <c r="J102" s="301" t="s">
        <v>1218</v>
      </c>
      <c r="K102" s="133">
        <v>28</v>
      </c>
      <c r="M102" s="301" t="s">
        <v>95</v>
      </c>
      <c r="N102" s="301" t="s">
        <v>96</v>
      </c>
      <c r="O102" s="301" t="s">
        <v>480</v>
      </c>
      <c r="P102" s="133">
        <v>0</v>
      </c>
      <c r="Q102" s="133">
        <v>0</v>
      </c>
      <c r="U102" s="301" t="s">
        <v>107</v>
      </c>
    </row>
    <row r="103" spans="1:21" x14ac:dyDescent="0.3">
      <c r="A103" s="301" t="s">
        <v>146</v>
      </c>
      <c r="B103" s="301" t="s">
        <v>365</v>
      </c>
      <c r="G103" s="301" t="s">
        <v>186</v>
      </c>
      <c r="H103" s="301" t="s">
        <v>184</v>
      </c>
      <c r="I103" s="301" t="s">
        <v>1692</v>
      </c>
      <c r="J103" s="73">
        <v>41030</v>
      </c>
      <c r="K103" s="133">
        <v>38</v>
      </c>
      <c r="M103" s="301" t="s">
        <v>139</v>
      </c>
      <c r="N103" s="301" t="s">
        <v>140</v>
      </c>
      <c r="O103" s="301" t="s">
        <v>480</v>
      </c>
      <c r="P103" s="133">
        <v>16</v>
      </c>
      <c r="Q103" s="133">
        <v>69</v>
      </c>
      <c r="U103" s="301" t="s">
        <v>95</v>
      </c>
    </row>
    <row r="104" spans="1:21" x14ac:dyDescent="0.3">
      <c r="A104" s="301" t="s">
        <v>146</v>
      </c>
      <c r="B104" s="301" t="s">
        <v>149</v>
      </c>
      <c r="G104" s="301" t="s">
        <v>223</v>
      </c>
      <c r="H104" s="301" t="s">
        <v>222</v>
      </c>
      <c r="I104" s="301" t="s">
        <v>1692</v>
      </c>
      <c r="J104" s="73">
        <v>40848</v>
      </c>
      <c r="K104" s="133">
        <v>129</v>
      </c>
      <c r="M104" s="301" t="s">
        <v>135</v>
      </c>
      <c r="N104" s="301" t="s">
        <v>136</v>
      </c>
      <c r="O104" s="301" t="s">
        <v>480</v>
      </c>
      <c r="P104" s="133">
        <v>0</v>
      </c>
      <c r="Q104" s="133">
        <v>0</v>
      </c>
      <c r="U104" s="301" t="s">
        <v>139</v>
      </c>
    </row>
    <row r="105" spans="1:21" x14ac:dyDescent="0.3">
      <c r="A105" s="301" t="s">
        <v>146</v>
      </c>
      <c r="B105" s="301" t="s">
        <v>371</v>
      </c>
      <c r="G105" s="301" t="s">
        <v>190</v>
      </c>
      <c r="H105" s="301" t="s">
        <v>189</v>
      </c>
      <c r="I105" s="301" t="s">
        <v>1692</v>
      </c>
      <c r="J105" s="73">
        <v>41000</v>
      </c>
      <c r="K105" s="133">
        <v>210</v>
      </c>
      <c r="M105" s="301" t="s">
        <v>93</v>
      </c>
      <c r="N105" s="301" t="s">
        <v>94</v>
      </c>
      <c r="O105" s="301" t="s">
        <v>480</v>
      </c>
      <c r="P105" s="133">
        <v>0</v>
      </c>
      <c r="Q105" s="133">
        <v>0</v>
      </c>
      <c r="U105" s="301" t="s">
        <v>135</v>
      </c>
    </row>
    <row r="106" spans="1:21" x14ac:dyDescent="0.3">
      <c r="A106" s="301" t="s">
        <v>146</v>
      </c>
      <c r="B106" s="301" t="s">
        <v>941</v>
      </c>
      <c r="G106" s="301" t="s">
        <v>158</v>
      </c>
      <c r="H106" s="301" t="s">
        <v>157</v>
      </c>
      <c r="I106" s="301" t="s">
        <v>775</v>
      </c>
      <c r="J106" s="73">
        <v>41122</v>
      </c>
      <c r="K106" s="133">
        <v>0</v>
      </c>
      <c r="M106" s="301" t="s">
        <v>121</v>
      </c>
      <c r="N106" s="301" t="s">
        <v>122</v>
      </c>
      <c r="O106" s="301" t="s">
        <v>480</v>
      </c>
      <c r="P106" s="133">
        <v>0</v>
      </c>
      <c r="Q106" s="133">
        <v>0</v>
      </c>
      <c r="U106" s="301" t="s">
        <v>93</v>
      </c>
    </row>
    <row r="107" spans="1:21" x14ac:dyDescent="0.3">
      <c r="A107" s="301" t="s">
        <v>146</v>
      </c>
      <c r="B107" s="301" t="s">
        <v>1080</v>
      </c>
      <c r="G107" s="301" t="s">
        <v>1044</v>
      </c>
      <c r="H107" s="301" t="s">
        <v>1043</v>
      </c>
      <c r="I107" s="301" t="s">
        <v>1692</v>
      </c>
      <c r="J107" s="73">
        <v>42180</v>
      </c>
      <c r="K107" s="133">
        <v>61</v>
      </c>
      <c r="M107" s="301" t="s">
        <v>71</v>
      </c>
      <c r="N107" s="301" t="s">
        <v>72</v>
      </c>
      <c r="O107" s="301" t="s">
        <v>480</v>
      </c>
      <c r="P107" s="133">
        <v>6</v>
      </c>
      <c r="Q107" s="133">
        <v>31</v>
      </c>
      <c r="U107" s="301" t="s">
        <v>121</v>
      </c>
    </row>
    <row r="108" spans="1:21" x14ac:dyDescent="0.3">
      <c r="A108" s="301" t="s">
        <v>146</v>
      </c>
      <c r="B108" s="301" t="s">
        <v>1144</v>
      </c>
      <c r="G108" s="301" t="s">
        <v>1480</v>
      </c>
      <c r="H108" s="301" t="s">
        <v>175</v>
      </c>
      <c r="I108" s="301" t="s">
        <v>1692</v>
      </c>
      <c r="J108" s="73">
        <v>41030</v>
      </c>
      <c r="K108" s="133">
        <v>15</v>
      </c>
      <c r="M108" s="301" t="s">
        <v>131</v>
      </c>
      <c r="N108" s="301" t="s">
        <v>132</v>
      </c>
      <c r="O108" s="301" t="s">
        <v>480</v>
      </c>
      <c r="P108" s="133">
        <v>0</v>
      </c>
      <c r="Q108" s="133">
        <v>0</v>
      </c>
      <c r="U108" s="301" t="s">
        <v>71</v>
      </c>
    </row>
    <row r="109" spans="1:21" x14ac:dyDescent="0.3">
      <c r="A109" s="301" t="s">
        <v>146</v>
      </c>
      <c r="B109" s="301" t="s">
        <v>1230</v>
      </c>
      <c r="G109" s="301" t="s">
        <v>1052</v>
      </c>
      <c r="H109" s="301" t="s">
        <v>1055</v>
      </c>
      <c r="I109" s="301" t="s">
        <v>775</v>
      </c>
      <c r="J109" s="73">
        <v>42125</v>
      </c>
      <c r="K109" s="133">
        <v>6</v>
      </c>
      <c r="M109" s="301" t="s">
        <v>354</v>
      </c>
      <c r="N109" s="301" t="s">
        <v>1030</v>
      </c>
      <c r="O109" s="301" t="s">
        <v>309</v>
      </c>
      <c r="P109" s="133"/>
      <c r="Q109" s="133"/>
      <c r="U109" s="301" t="s">
        <v>131</v>
      </c>
    </row>
    <row r="110" spans="1:21" x14ac:dyDescent="0.3">
      <c r="A110" s="301" t="s">
        <v>146</v>
      </c>
      <c r="B110" s="301" t="s">
        <v>1237</v>
      </c>
      <c r="G110" s="301" t="s">
        <v>94</v>
      </c>
      <c r="H110" s="301" t="s">
        <v>93</v>
      </c>
      <c r="I110" s="301" t="s">
        <v>775</v>
      </c>
      <c r="J110" s="301" t="s">
        <v>1218</v>
      </c>
      <c r="K110" s="133">
        <v>0</v>
      </c>
      <c r="M110" s="301" t="s">
        <v>332</v>
      </c>
      <c r="N110" s="301" t="s">
        <v>333</v>
      </c>
      <c r="O110" s="301" t="s">
        <v>309</v>
      </c>
      <c r="P110" s="133">
        <v>117</v>
      </c>
      <c r="Q110" s="133">
        <v>421</v>
      </c>
      <c r="U110" s="301" t="s">
        <v>354</v>
      </c>
    </row>
    <row r="111" spans="1:21" x14ac:dyDescent="0.3">
      <c r="A111" s="301" t="s">
        <v>146</v>
      </c>
      <c r="B111" s="301" t="s">
        <v>1523</v>
      </c>
      <c r="G111" s="301" t="s">
        <v>819</v>
      </c>
      <c r="H111" s="301" t="s">
        <v>820</v>
      </c>
      <c r="I111" s="301" t="s">
        <v>775</v>
      </c>
      <c r="J111" s="73">
        <v>41518</v>
      </c>
      <c r="K111" s="133"/>
      <c r="M111" s="301" t="s">
        <v>355</v>
      </c>
      <c r="N111" s="301" t="s">
        <v>356</v>
      </c>
      <c r="O111" s="301" t="s">
        <v>309</v>
      </c>
      <c r="P111" s="133">
        <v>0</v>
      </c>
      <c r="Q111" s="133">
        <v>0</v>
      </c>
      <c r="U111" s="301" t="s">
        <v>332</v>
      </c>
    </row>
    <row r="112" spans="1:21" x14ac:dyDescent="0.3">
      <c r="A112" s="301" t="s">
        <v>146</v>
      </c>
      <c r="B112" s="301" t="s">
        <v>1555</v>
      </c>
      <c r="G112" s="301" t="s">
        <v>319</v>
      </c>
      <c r="H112" s="301" t="s">
        <v>318</v>
      </c>
      <c r="I112" s="301" t="s">
        <v>1692</v>
      </c>
      <c r="J112" s="73">
        <v>41030</v>
      </c>
      <c r="K112" s="133">
        <v>32</v>
      </c>
      <c r="M112" s="301" t="s">
        <v>334</v>
      </c>
      <c r="N112" s="301" t="s">
        <v>335</v>
      </c>
      <c r="O112" s="301" t="s">
        <v>309</v>
      </c>
      <c r="P112" s="133">
        <v>136</v>
      </c>
      <c r="Q112" s="133">
        <v>985</v>
      </c>
      <c r="U112" s="301" t="s">
        <v>355</v>
      </c>
    </row>
    <row r="113" spans="1:21" x14ac:dyDescent="0.3">
      <c r="A113" s="301" t="s">
        <v>146</v>
      </c>
      <c r="B113" s="301" t="s">
        <v>1589</v>
      </c>
      <c r="G113" s="301" t="s">
        <v>321</v>
      </c>
      <c r="H113" s="301" t="s">
        <v>320</v>
      </c>
      <c r="I113" s="301" t="s">
        <v>1692</v>
      </c>
      <c r="J113" s="73">
        <v>40695</v>
      </c>
      <c r="K113" s="133">
        <v>407</v>
      </c>
      <c r="M113" s="301" t="s">
        <v>350</v>
      </c>
      <c r="N113" s="301" t="s">
        <v>351</v>
      </c>
      <c r="O113" s="301" t="s">
        <v>309</v>
      </c>
      <c r="P113" s="133">
        <v>1403</v>
      </c>
      <c r="Q113" s="133">
        <v>7165</v>
      </c>
      <c r="U113" s="301" t="s">
        <v>334</v>
      </c>
    </row>
    <row r="114" spans="1:21" x14ac:dyDescent="0.3">
      <c r="A114" s="301" t="s">
        <v>146</v>
      </c>
      <c r="B114" s="301" t="s">
        <v>1590</v>
      </c>
      <c r="G114" s="301" t="s">
        <v>200</v>
      </c>
      <c r="H114" s="301" t="s">
        <v>199</v>
      </c>
      <c r="I114" s="301" t="s">
        <v>775</v>
      </c>
      <c r="J114" s="301" t="s">
        <v>1218</v>
      </c>
      <c r="K114" s="133"/>
      <c r="M114" s="301" t="s">
        <v>313</v>
      </c>
      <c r="N114" s="301" t="s">
        <v>1033</v>
      </c>
      <c r="O114" s="301" t="s">
        <v>309</v>
      </c>
      <c r="P114" s="133">
        <v>0</v>
      </c>
      <c r="Q114" s="133">
        <v>0</v>
      </c>
      <c r="U114" s="301" t="s">
        <v>350</v>
      </c>
    </row>
    <row r="115" spans="1:21" x14ac:dyDescent="0.3">
      <c r="A115" s="301" t="s">
        <v>146</v>
      </c>
      <c r="B115" s="301" t="s">
        <v>1727</v>
      </c>
      <c r="G115" s="301" t="s">
        <v>1590</v>
      </c>
      <c r="H115" s="301" t="s">
        <v>1119</v>
      </c>
      <c r="I115" s="301" t="s">
        <v>1692</v>
      </c>
      <c r="J115" s="73">
        <v>42435</v>
      </c>
      <c r="K115" s="133">
        <v>66</v>
      </c>
      <c r="M115" s="301" t="s">
        <v>330</v>
      </c>
      <c r="N115" s="301" t="s">
        <v>331</v>
      </c>
      <c r="O115" s="301" t="s">
        <v>309</v>
      </c>
      <c r="P115" s="133">
        <v>0</v>
      </c>
      <c r="Q115" s="133">
        <v>0</v>
      </c>
      <c r="U115" s="301" t="s">
        <v>313</v>
      </c>
    </row>
    <row r="116" spans="1:21" x14ac:dyDescent="0.3">
      <c r="A116" s="301" t="s">
        <v>146</v>
      </c>
      <c r="B116" s="301" t="s">
        <v>1724</v>
      </c>
      <c r="G116" s="301" t="s">
        <v>327</v>
      </c>
      <c r="H116" s="301" t="s">
        <v>326</v>
      </c>
      <c r="I116" s="301" t="s">
        <v>1692</v>
      </c>
      <c r="J116" s="73">
        <v>41456</v>
      </c>
      <c r="K116" s="133">
        <v>346</v>
      </c>
      <c r="M116" s="301" t="s">
        <v>320</v>
      </c>
      <c r="N116" s="301" t="s">
        <v>321</v>
      </c>
      <c r="O116" s="301" t="s">
        <v>309</v>
      </c>
      <c r="P116" s="133">
        <v>407</v>
      </c>
      <c r="Q116" s="133">
        <v>1731</v>
      </c>
      <c r="U116" s="301" t="s">
        <v>330</v>
      </c>
    </row>
    <row r="117" spans="1:21" x14ac:dyDescent="0.3">
      <c r="A117" s="301" t="s">
        <v>817</v>
      </c>
      <c r="B117" s="301" t="s">
        <v>819</v>
      </c>
      <c r="G117" s="301" t="s">
        <v>329</v>
      </c>
      <c r="H117" s="301" t="s">
        <v>328</v>
      </c>
      <c r="I117" s="301" t="s">
        <v>1692</v>
      </c>
      <c r="J117" s="73">
        <v>41426</v>
      </c>
      <c r="K117" s="133">
        <v>327</v>
      </c>
      <c r="M117" s="301" t="s">
        <v>343</v>
      </c>
      <c r="N117" s="301" t="s">
        <v>1028</v>
      </c>
      <c r="O117" s="301" t="s">
        <v>309</v>
      </c>
      <c r="P117" s="133">
        <v>185</v>
      </c>
      <c r="Q117" s="133">
        <v>943</v>
      </c>
      <c r="U117" s="301" t="s">
        <v>320</v>
      </c>
    </row>
    <row r="118" spans="1:21" x14ac:dyDescent="0.3">
      <c r="A118" s="301" t="s">
        <v>151</v>
      </c>
      <c r="B118" s="301" t="s">
        <v>808</v>
      </c>
      <c r="G118" s="301" t="s">
        <v>323</v>
      </c>
      <c r="H118" s="301" t="s">
        <v>322</v>
      </c>
      <c r="I118" s="301" t="s">
        <v>1692</v>
      </c>
      <c r="J118" s="73">
        <v>41061</v>
      </c>
      <c r="K118" s="133">
        <v>515</v>
      </c>
      <c r="M118" s="301" t="s">
        <v>195</v>
      </c>
      <c r="N118" s="301" t="s">
        <v>196</v>
      </c>
      <c r="O118" s="301" t="s">
        <v>185</v>
      </c>
      <c r="P118" s="133">
        <v>1527</v>
      </c>
      <c r="Q118" s="133">
        <v>8721</v>
      </c>
      <c r="U118" s="301" t="s">
        <v>343</v>
      </c>
    </row>
    <row r="119" spans="1:21" x14ac:dyDescent="0.3">
      <c r="A119" s="301" t="s">
        <v>151</v>
      </c>
      <c r="B119" s="301" t="s">
        <v>803</v>
      </c>
      <c r="G119" s="301" t="s">
        <v>325</v>
      </c>
      <c r="H119" s="301" t="s">
        <v>324</v>
      </c>
      <c r="I119" s="301" t="s">
        <v>1692</v>
      </c>
      <c r="J119" s="73">
        <v>40878</v>
      </c>
      <c r="K119" s="133">
        <v>55</v>
      </c>
      <c r="M119" s="301" t="s">
        <v>193</v>
      </c>
      <c r="N119" s="301" t="s">
        <v>194</v>
      </c>
      <c r="O119" s="301" t="s">
        <v>185</v>
      </c>
      <c r="P119" s="133">
        <v>717</v>
      </c>
      <c r="Q119" s="133">
        <v>3658</v>
      </c>
      <c r="U119" s="301" t="s">
        <v>195</v>
      </c>
    </row>
    <row r="120" spans="1:21" x14ac:dyDescent="0.3">
      <c r="A120" s="301" t="s">
        <v>151</v>
      </c>
      <c r="B120" s="301" t="s">
        <v>804</v>
      </c>
      <c r="G120" s="301" t="s">
        <v>1694</v>
      </c>
      <c r="H120" s="301" t="s">
        <v>1695</v>
      </c>
      <c r="I120" s="301" t="s">
        <v>1691</v>
      </c>
      <c r="J120" s="73">
        <v>43252</v>
      </c>
      <c r="K120" s="133">
        <v>95</v>
      </c>
      <c r="M120" s="301" t="s">
        <v>191</v>
      </c>
      <c r="N120" s="301" t="s">
        <v>192</v>
      </c>
      <c r="O120" s="301" t="s">
        <v>185</v>
      </c>
      <c r="P120" s="133">
        <v>80</v>
      </c>
      <c r="Q120" s="133">
        <v>378</v>
      </c>
      <c r="U120" s="301" t="s">
        <v>193</v>
      </c>
    </row>
    <row r="121" spans="1:21" x14ac:dyDescent="0.3">
      <c r="A121" s="301" t="s">
        <v>151</v>
      </c>
      <c r="B121" s="301" t="s">
        <v>188</v>
      </c>
      <c r="G121" s="301" t="s">
        <v>811</v>
      </c>
      <c r="H121" s="301" t="s">
        <v>812</v>
      </c>
      <c r="I121" s="301" t="s">
        <v>1692</v>
      </c>
      <c r="J121" s="73">
        <v>41548</v>
      </c>
      <c r="K121" s="133">
        <v>432</v>
      </c>
      <c r="M121" s="301" t="s">
        <v>218</v>
      </c>
      <c r="N121" s="301" t="s">
        <v>219</v>
      </c>
      <c r="O121" s="301" t="s">
        <v>185</v>
      </c>
      <c r="P121" s="133">
        <v>632</v>
      </c>
      <c r="Q121" s="133">
        <v>3550</v>
      </c>
      <c r="U121" s="301" t="s">
        <v>191</v>
      </c>
    </row>
    <row r="122" spans="1:21" x14ac:dyDescent="0.3">
      <c r="A122" s="301" t="s">
        <v>151</v>
      </c>
      <c r="B122" s="301" t="s">
        <v>810</v>
      </c>
      <c r="G122" s="301" t="s">
        <v>845</v>
      </c>
      <c r="H122" s="301" t="s">
        <v>844</v>
      </c>
      <c r="I122" s="301" t="s">
        <v>1692</v>
      </c>
      <c r="J122" s="73">
        <v>41548</v>
      </c>
      <c r="K122" s="133">
        <v>156</v>
      </c>
      <c r="M122" s="301" t="s">
        <v>197</v>
      </c>
      <c r="N122" s="301" t="s">
        <v>198</v>
      </c>
      <c r="O122" s="301" t="s">
        <v>151</v>
      </c>
      <c r="P122" s="133">
        <v>522</v>
      </c>
      <c r="Q122" s="133">
        <v>2536</v>
      </c>
      <c r="U122" s="301" t="s">
        <v>218</v>
      </c>
    </row>
    <row r="123" spans="1:21" x14ac:dyDescent="0.3">
      <c r="A123" s="301" t="s">
        <v>151</v>
      </c>
      <c r="B123" s="301" t="s">
        <v>469</v>
      </c>
      <c r="G123" s="301" t="s">
        <v>258</v>
      </c>
      <c r="H123" s="301" t="s">
        <v>257</v>
      </c>
      <c r="I123" s="301" t="s">
        <v>1692</v>
      </c>
      <c r="J123" s="73">
        <v>40756</v>
      </c>
      <c r="K123" s="133">
        <v>61</v>
      </c>
      <c r="M123" s="301" t="s">
        <v>187</v>
      </c>
      <c r="N123" s="301" t="s">
        <v>188</v>
      </c>
      <c r="O123" s="301" t="s">
        <v>151</v>
      </c>
      <c r="P123" s="133">
        <v>357</v>
      </c>
      <c r="Q123" s="133">
        <v>1692</v>
      </c>
      <c r="U123" s="301" t="s">
        <v>197</v>
      </c>
    </row>
    <row r="124" spans="1:21" x14ac:dyDescent="0.3">
      <c r="A124" s="301" t="s">
        <v>151</v>
      </c>
      <c r="B124" s="301" t="s">
        <v>198</v>
      </c>
      <c r="G124" s="301" t="s">
        <v>202</v>
      </c>
      <c r="H124" s="301" t="s">
        <v>201</v>
      </c>
      <c r="I124" s="301" t="s">
        <v>1692</v>
      </c>
      <c r="J124" s="73">
        <v>41030</v>
      </c>
      <c r="K124" s="133">
        <v>299</v>
      </c>
      <c r="M124" s="301" t="s">
        <v>214</v>
      </c>
      <c r="N124" s="301" t="s">
        <v>215</v>
      </c>
      <c r="O124" s="301" t="s">
        <v>185</v>
      </c>
      <c r="P124" s="133">
        <v>354</v>
      </c>
      <c r="Q124" s="133">
        <v>1546</v>
      </c>
      <c r="U124" s="301" t="s">
        <v>187</v>
      </c>
    </row>
    <row r="125" spans="1:21" x14ac:dyDescent="0.3">
      <c r="A125" s="301" t="s">
        <v>151</v>
      </c>
      <c r="B125" s="301" t="s">
        <v>158</v>
      </c>
      <c r="G125" s="301" t="s">
        <v>260</v>
      </c>
      <c r="H125" s="301" t="s">
        <v>259</v>
      </c>
      <c r="I125" s="301" t="s">
        <v>1692</v>
      </c>
      <c r="J125" s="73">
        <v>40725</v>
      </c>
      <c r="K125" s="133">
        <v>103</v>
      </c>
      <c r="M125" s="301" t="s">
        <v>153</v>
      </c>
      <c r="N125" s="301" t="s">
        <v>154</v>
      </c>
      <c r="O125" s="301" t="s">
        <v>151</v>
      </c>
      <c r="P125" s="133">
        <v>437</v>
      </c>
      <c r="Q125" s="133">
        <v>2316</v>
      </c>
      <c r="U125" s="301" t="s">
        <v>214</v>
      </c>
    </row>
    <row r="126" spans="1:21" x14ac:dyDescent="0.3">
      <c r="A126" s="301" t="s">
        <v>151</v>
      </c>
      <c r="B126" s="301" t="s">
        <v>811</v>
      </c>
      <c r="G126" s="301" t="s">
        <v>1195</v>
      </c>
      <c r="H126" s="301" t="s">
        <v>1183</v>
      </c>
      <c r="I126" s="301" t="s">
        <v>1692</v>
      </c>
      <c r="J126" s="301" t="s">
        <v>1218</v>
      </c>
      <c r="K126" s="133">
        <v>37</v>
      </c>
      <c r="M126" s="301" t="s">
        <v>159</v>
      </c>
      <c r="N126" s="301" t="s">
        <v>160</v>
      </c>
      <c r="O126" s="301" t="s">
        <v>151</v>
      </c>
      <c r="P126" s="133">
        <v>127</v>
      </c>
      <c r="Q126" s="133">
        <v>653</v>
      </c>
      <c r="U126" s="301" t="s">
        <v>153</v>
      </c>
    </row>
    <row r="127" spans="1:21" x14ac:dyDescent="0.3">
      <c r="A127" s="301" t="s">
        <v>151</v>
      </c>
      <c r="B127" s="301" t="s">
        <v>802</v>
      </c>
      <c r="G127" s="301" t="s">
        <v>802</v>
      </c>
      <c r="H127" s="301" t="s">
        <v>796</v>
      </c>
      <c r="I127" s="301" t="s">
        <v>775</v>
      </c>
      <c r="J127" s="301" t="s">
        <v>1218</v>
      </c>
      <c r="K127" s="133">
        <v>0</v>
      </c>
      <c r="M127" s="301" t="s">
        <v>155</v>
      </c>
      <c r="N127" s="301" t="s">
        <v>1883</v>
      </c>
      <c r="O127" s="301" t="s">
        <v>151</v>
      </c>
      <c r="P127" s="133">
        <v>175</v>
      </c>
      <c r="Q127" s="133">
        <v>834</v>
      </c>
      <c r="U127" s="301" t="s">
        <v>159</v>
      </c>
    </row>
    <row r="128" spans="1:21" x14ac:dyDescent="0.3">
      <c r="A128" s="301" t="s">
        <v>151</v>
      </c>
      <c r="B128" s="301" t="s">
        <v>801</v>
      </c>
      <c r="G128" s="301" t="s">
        <v>801</v>
      </c>
      <c r="H128" s="301" t="s">
        <v>800</v>
      </c>
      <c r="I128" s="301" t="s">
        <v>775</v>
      </c>
      <c r="J128" s="301" t="s">
        <v>1218</v>
      </c>
      <c r="K128" s="133">
        <v>0</v>
      </c>
      <c r="M128" s="301" t="s">
        <v>157</v>
      </c>
      <c r="N128" s="301" t="s">
        <v>158</v>
      </c>
      <c r="O128" s="301" t="s">
        <v>151</v>
      </c>
      <c r="P128" s="133">
        <v>0</v>
      </c>
      <c r="Q128" s="133">
        <v>0</v>
      </c>
      <c r="U128" s="301" t="s">
        <v>155</v>
      </c>
    </row>
    <row r="129" spans="1:21" x14ac:dyDescent="0.3">
      <c r="A129" s="301" t="s">
        <v>151</v>
      </c>
      <c r="B129" s="301" t="s">
        <v>160</v>
      </c>
      <c r="G129" s="301" t="s">
        <v>1237</v>
      </c>
      <c r="H129" s="301" t="s">
        <v>1238</v>
      </c>
      <c r="I129" s="301" t="s">
        <v>1692</v>
      </c>
      <c r="J129" s="301" t="s">
        <v>1218</v>
      </c>
      <c r="K129" s="133">
        <v>24</v>
      </c>
      <c r="M129" s="301" t="s">
        <v>161</v>
      </c>
      <c r="N129" s="301" t="s">
        <v>162</v>
      </c>
      <c r="O129" s="301" t="s">
        <v>151</v>
      </c>
      <c r="P129" s="133">
        <v>0</v>
      </c>
      <c r="Q129" s="133">
        <v>0</v>
      </c>
      <c r="U129" s="301" t="s">
        <v>157</v>
      </c>
    </row>
    <row r="130" spans="1:21" x14ac:dyDescent="0.3">
      <c r="A130" s="301" t="s">
        <v>151</v>
      </c>
      <c r="B130" s="301" t="s">
        <v>154</v>
      </c>
      <c r="G130" s="301" t="s">
        <v>204</v>
      </c>
      <c r="H130" s="301" t="s">
        <v>203</v>
      </c>
      <c r="I130" s="301" t="s">
        <v>775</v>
      </c>
      <c r="J130" s="301" t="s">
        <v>1218</v>
      </c>
      <c r="K130" s="133"/>
      <c r="M130" s="301" t="s">
        <v>163</v>
      </c>
      <c r="N130" s="301" t="s">
        <v>164</v>
      </c>
      <c r="O130" s="301" t="s">
        <v>151</v>
      </c>
      <c r="P130" s="133">
        <v>0</v>
      </c>
      <c r="Q130" s="133">
        <v>0</v>
      </c>
      <c r="U130" s="301" t="s">
        <v>161</v>
      </c>
    </row>
    <row r="131" spans="1:21" x14ac:dyDescent="0.3">
      <c r="A131" s="301" t="s">
        <v>151</v>
      </c>
      <c r="B131" s="301" t="s">
        <v>152</v>
      </c>
      <c r="G131" s="301" t="s">
        <v>1138</v>
      </c>
      <c r="H131" s="301" t="s">
        <v>1121</v>
      </c>
      <c r="I131" s="301" t="s">
        <v>775</v>
      </c>
      <c r="J131" s="73">
        <v>42370</v>
      </c>
      <c r="K131" s="133">
        <v>36</v>
      </c>
      <c r="M131" s="301" t="s">
        <v>360</v>
      </c>
      <c r="N131" s="301" t="s">
        <v>35</v>
      </c>
      <c r="O131" s="301" t="s">
        <v>361</v>
      </c>
      <c r="P131" s="133">
        <v>0</v>
      </c>
      <c r="Q131" s="133">
        <v>0</v>
      </c>
      <c r="U131" s="301" t="s">
        <v>163</v>
      </c>
    </row>
    <row r="132" spans="1:21" x14ac:dyDescent="0.3">
      <c r="A132" s="301" t="s">
        <v>151</v>
      </c>
      <c r="B132" s="301" t="s">
        <v>295</v>
      </c>
      <c r="G132" s="301" t="s">
        <v>205</v>
      </c>
      <c r="H132" s="301" t="s">
        <v>390</v>
      </c>
      <c r="I132" s="301" t="s">
        <v>775</v>
      </c>
      <c r="J132" s="301" t="s">
        <v>1218</v>
      </c>
      <c r="K132" s="133"/>
      <c r="M132" s="301" t="s">
        <v>302</v>
      </c>
      <c r="N132" s="301" t="s">
        <v>303</v>
      </c>
      <c r="O132" s="301" t="s">
        <v>237</v>
      </c>
      <c r="P132" s="133">
        <v>375</v>
      </c>
      <c r="Q132" s="133">
        <v>1691</v>
      </c>
      <c r="U132" s="301" t="s">
        <v>360</v>
      </c>
    </row>
    <row r="133" spans="1:21" x14ac:dyDescent="0.3">
      <c r="A133" s="301" t="s">
        <v>151</v>
      </c>
      <c r="B133" s="301" t="s">
        <v>471</v>
      </c>
      <c r="G133" s="301" t="s">
        <v>160</v>
      </c>
      <c r="H133" s="301" t="s">
        <v>159</v>
      </c>
      <c r="I133" s="301" t="s">
        <v>1692</v>
      </c>
      <c r="J133" s="73">
        <v>40940</v>
      </c>
      <c r="K133" s="133">
        <v>127</v>
      </c>
      <c r="M133" s="301" t="s">
        <v>87</v>
      </c>
      <c r="N133" s="301" t="s">
        <v>88</v>
      </c>
      <c r="O133" s="301" t="s">
        <v>480</v>
      </c>
      <c r="P133" s="133">
        <v>34</v>
      </c>
      <c r="Q133" s="133">
        <v>137</v>
      </c>
      <c r="U133" s="301" t="s">
        <v>302</v>
      </c>
    </row>
    <row r="134" spans="1:21" x14ac:dyDescent="0.3">
      <c r="A134" s="301" t="s">
        <v>151</v>
      </c>
      <c r="B134" s="301" t="s">
        <v>162</v>
      </c>
      <c r="G134" s="301" t="s">
        <v>936</v>
      </c>
      <c r="H134" s="301" t="s">
        <v>937</v>
      </c>
      <c r="I134" s="301" t="s">
        <v>1692</v>
      </c>
      <c r="J134" s="73">
        <v>41730</v>
      </c>
      <c r="K134" s="133">
        <v>156</v>
      </c>
      <c r="M134" s="301" t="s">
        <v>285</v>
      </c>
      <c r="N134" s="301" t="s">
        <v>286</v>
      </c>
      <c r="O134" s="301" t="s">
        <v>180</v>
      </c>
      <c r="P134" s="133">
        <v>26</v>
      </c>
      <c r="Q134" s="133">
        <v>117</v>
      </c>
      <c r="U134" s="301" t="s">
        <v>87</v>
      </c>
    </row>
    <row r="135" spans="1:21" x14ac:dyDescent="0.3">
      <c r="A135" s="301" t="s">
        <v>151</v>
      </c>
      <c r="B135" s="301" t="s">
        <v>791</v>
      </c>
      <c r="G135" s="301" t="s">
        <v>154</v>
      </c>
      <c r="H135" s="301" t="s">
        <v>153</v>
      </c>
      <c r="I135" s="301" t="s">
        <v>1692</v>
      </c>
      <c r="J135" s="73">
        <v>40848</v>
      </c>
      <c r="K135" s="133">
        <v>437</v>
      </c>
      <c r="M135" s="301" t="s">
        <v>9</v>
      </c>
      <c r="N135" s="301" t="s">
        <v>10</v>
      </c>
      <c r="O135" s="301" t="s">
        <v>5</v>
      </c>
      <c r="P135" s="133">
        <v>0</v>
      </c>
      <c r="Q135" s="133">
        <v>0</v>
      </c>
      <c r="U135" s="301" t="s">
        <v>285</v>
      </c>
    </row>
    <row r="136" spans="1:21" x14ac:dyDescent="0.3">
      <c r="A136" s="301" t="s">
        <v>151</v>
      </c>
      <c r="B136" s="301" t="s">
        <v>792</v>
      </c>
      <c r="G136" s="301" t="s">
        <v>909</v>
      </c>
      <c r="H136" s="301" t="s">
        <v>910</v>
      </c>
      <c r="I136" s="301" t="s">
        <v>1692</v>
      </c>
      <c r="J136" s="73">
        <v>41791</v>
      </c>
      <c r="K136" s="133">
        <v>138</v>
      </c>
      <c r="M136" s="301" t="s">
        <v>352</v>
      </c>
      <c r="N136" s="301" t="s">
        <v>353</v>
      </c>
      <c r="O136" s="301" t="s">
        <v>309</v>
      </c>
      <c r="P136" s="133">
        <v>79</v>
      </c>
      <c r="Q136" s="133">
        <v>527</v>
      </c>
      <c r="U136" s="301" t="s">
        <v>9</v>
      </c>
    </row>
    <row r="137" spans="1:21" x14ac:dyDescent="0.3">
      <c r="A137" s="301" t="s">
        <v>151</v>
      </c>
      <c r="B137" s="301" t="s">
        <v>164</v>
      </c>
      <c r="G137" s="301" t="s">
        <v>1883</v>
      </c>
      <c r="H137" s="301" t="s">
        <v>155</v>
      </c>
      <c r="I137" s="301" t="s">
        <v>1692</v>
      </c>
      <c r="J137" s="301" t="s">
        <v>1218</v>
      </c>
      <c r="K137" s="133">
        <v>175</v>
      </c>
      <c r="M137" s="301" t="s">
        <v>271</v>
      </c>
      <c r="N137" s="301" t="s">
        <v>272</v>
      </c>
      <c r="O137" s="301" t="s">
        <v>237</v>
      </c>
      <c r="P137" s="133">
        <v>149</v>
      </c>
      <c r="Q137" s="133">
        <v>885</v>
      </c>
      <c r="U137" s="301" t="s">
        <v>352</v>
      </c>
    </row>
    <row r="138" spans="1:21" x14ac:dyDescent="0.3">
      <c r="A138" s="301" t="s">
        <v>151</v>
      </c>
      <c r="B138" s="301" t="s">
        <v>813</v>
      </c>
      <c r="G138" s="301" t="s">
        <v>331</v>
      </c>
      <c r="H138" s="301" t="s">
        <v>330</v>
      </c>
      <c r="I138" s="301" t="s">
        <v>775</v>
      </c>
      <c r="J138" s="301" t="s">
        <v>1218</v>
      </c>
      <c r="K138" s="133">
        <v>0</v>
      </c>
      <c r="M138" s="301" t="s">
        <v>11</v>
      </c>
      <c r="N138" s="301" t="s">
        <v>1884</v>
      </c>
      <c r="O138" s="301" t="s">
        <v>5</v>
      </c>
      <c r="P138" s="133">
        <v>181</v>
      </c>
      <c r="Q138" s="133">
        <v>906</v>
      </c>
      <c r="U138" s="301" t="s">
        <v>271</v>
      </c>
    </row>
    <row r="139" spans="1:21" x14ac:dyDescent="0.3">
      <c r="A139" s="301" t="s">
        <v>151</v>
      </c>
      <c r="B139" s="301" t="s">
        <v>845</v>
      </c>
      <c r="G139" s="301" t="s">
        <v>207</v>
      </c>
      <c r="H139" s="301" t="s">
        <v>206</v>
      </c>
      <c r="I139" s="301" t="s">
        <v>775</v>
      </c>
      <c r="J139" s="73">
        <v>40817</v>
      </c>
      <c r="K139" s="133"/>
      <c r="M139" s="301" t="s">
        <v>91</v>
      </c>
      <c r="N139" s="301" t="s">
        <v>92</v>
      </c>
      <c r="O139" s="301" t="s">
        <v>480</v>
      </c>
      <c r="P139" s="133">
        <v>12</v>
      </c>
      <c r="Q139" s="133">
        <v>60</v>
      </c>
      <c r="U139" s="301" t="s">
        <v>11</v>
      </c>
    </row>
    <row r="140" spans="1:21" x14ac:dyDescent="0.3">
      <c r="A140" s="301" t="s">
        <v>151</v>
      </c>
      <c r="B140" s="301" t="s">
        <v>886</v>
      </c>
      <c r="G140" s="301" t="s">
        <v>167</v>
      </c>
      <c r="H140" s="301" t="s">
        <v>165</v>
      </c>
      <c r="I140" s="301" t="s">
        <v>1692</v>
      </c>
      <c r="J140" s="73">
        <v>41000</v>
      </c>
      <c r="K140" s="133">
        <v>29</v>
      </c>
      <c r="M140" s="301" t="s">
        <v>119</v>
      </c>
      <c r="N140" s="301" t="s">
        <v>120</v>
      </c>
      <c r="O140" s="301" t="s">
        <v>480</v>
      </c>
      <c r="P140" s="133">
        <v>68</v>
      </c>
      <c r="Q140" s="133">
        <v>343</v>
      </c>
      <c r="U140" s="301" t="s">
        <v>91</v>
      </c>
    </row>
    <row r="141" spans="1:21" x14ac:dyDescent="0.3">
      <c r="A141" s="301" t="s">
        <v>151</v>
      </c>
      <c r="B141" s="301" t="s">
        <v>909</v>
      </c>
      <c r="G141" s="301" t="s">
        <v>760</v>
      </c>
      <c r="H141" s="301" t="s">
        <v>761</v>
      </c>
      <c r="I141" s="301" t="s">
        <v>1692</v>
      </c>
      <c r="J141" s="73">
        <v>41030</v>
      </c>
      <c r="K141" s="133">
        <v>30</v>
      </c>
      <c r="M141" s="301" t="s">
        <v>51</v>
      </c>
      <c r="N141" s="301" t="s">
        <v>52</v>
      </c>
      <c r="O141" s="301" t="s">
        <v>480</v>
      </c>
      <c r="P141" s="133">
        <v>36</v>
      </c>
      <c r="Q141" s="133">
        <v>227</v>
      </c>
      <c r="U141" s="301" t="s">
        <v>119</v>
      </c>
    </row>
    <row r="142" spans="1:21" x14ac:dyDescent="0.3">
      <c r="A142" s="301" t="s">
        <v>151</v>
      </c>
      <c r="B142" s="301" t="s">
        <v>936</v>
      </c>
      <c r="G142" s="301" t="s">
        <v>152</v>
      </c>
      <c r="H142" s="301" t="s">
        <v>150</v>
      </c>
      <c r="I142" s="301" t="s">
        <v>1692</v>
      </c>
      <c r="J142" s="73">
        <v>41579</v>
      </c>
      <c r="K142" s="133">
        <v>190</v>
      </c>
      <c r="M142" s="301" t="s">
        <v>47</v>
      </c>
      <c r="N142" s="301" t="s">
        <v>48</v>
      </c>
      <c r="O142" s="301" t="s">
        <v>480</v>
      </c>
      <c r="P142" s="133"/>
      <c r="Q142" s="133"/>
      <c r="U142" s="301" t="s">
        <v>51</v>
      </c>
    </row>
    <row r="143" spans="1:21" x14ac:dyDescent="0.3">
      <c r="A143" s="301" t="s">
        <v>151</v>
      </c>
      <c r="B143" s="301" t="s">
        <v>1717</v>
      </c>
      <c r="G143" s="301" t="s">
        <v>54</v>
      </c>
      <c r="H143" s="301" t="s">
        <v>53</v>
      </c>
      <c r="I143" s="301" t="s">
        <v>775</v>
      </c>
      <c r="J143" s="301" t="s">
        <v>1218</v>
      </c>
      <c r="K143" s="133">
        <v>0</v>
      </c>
      <c r="M143" s="301" t="s">
        <v>127</v>
      </c>
      <c r="N143" s="301" t="s">
        <v>128</v>
      </c>
      <c r="O143" s="301" t="s">
        <v>480</v>
      </c>
      <c r="P143" s="133">
        <v>0</v>
      </c>
      <c r="Q143" s="133">
        <v>0</v>
      </c>
      <c r="U143" s="301" t="s">
        <v>47</v>
      </c>
    </row>
    <row r="144" spans="1:21" x14ac:dyDescent="0.3">
      <c r="A144" s="301" t="s">
        <v>151</v>
      </c>
      <c r="B144" s="301" t="s">
        <v>1883</v>
      </c>
      <c r="G144" s="301" t="s">
        <v>66</v>
      </c>
      <c r="H144" s="301" t="s">
        <v>65</v>
      </c>
      <c r="I144" s="301" t="s">
        <v>775</v>
      </c>
      <c r="J144" s="301" t="s">
        <v>1218</v>
      </c>
      <c r="K144" s="133">
        <v>0</v>
      </c>
      <c r="M144" s="301" t="s">
        <v>59</v>
      </c>
      <c r="N144" s="301" t="s">
        <v>60</v>
      </c>
      <c r="O144" s="301" t="s">
        <v>480</v>
      </c>
      <c r="P144" s="133"/>
      <c r="Q144" s="133"/>
      <c r="U144" s="301" t="s">
        <v>127</v>
      </c>
    </row>
    <row r="145" spans="1:21" x14ac:dyDescent="0.3">
      <c r="A145" s="301" t="s">
        <v>151</v>
      </c>
      <c r="B145" s="301" t="s">
        <v>1881</v>
      </c>
      <c r="G145" s="301" t="s">
        <v>80</v>
      </c>
      <c r="H145" s="301" t="s">
        <v>79</v>
      </c>
      <c r="I145" s="301" t="s">
        <v>775</v>
      </c>
      <c r="J145" s="301" t="s">
        <v>1218</v>
      </c>
      <c r="K145" s="133">
        <v>0</v>
      </c>
      <c r="M145" s="301" t="s">
        <v>38</v>
      </c>
      <c r="N145" s="301" t="s">
        <v>39</v>
      </c>
      <c r="O145" s="301" t="s">
        <v>480</v>
      </c>
      <c r="P145" s="133"/>
      <c r="Q145" s="133"/>
      <c r="U145" s="301" t="s">
        <v>59</v>
      </c>
    </row>
    <row r="146" spans="1:21" x14ac:dyDescent="0.3">
      <c r="A146" s="301" t="s">
        <v>166</v>
      </c>
      <c r="B146" s="301" t="s">
        <v>167</v>
      </c>
      <c r="G146" s="301" t="s">
        <v>102</v>
      </c>
      <c r="H146" s="301" t="s">
        <v>101</v>
      </c>
      <c r="I146" s="301" t="s">
        <v>775</v>
      </c>
      <c r="J146" s="301" t="s">
        <v>1218</v>
      </c>
      <c r="K146" s="133">
        <v>0</v>
      </c>
      <c r="M146" s="301" t="s">
        <v>75</v>
      </c>
      <c r="N146" s="301" t="s">
        <v>76</v>
      </c>
      <c r="O146" s="301" t="s">
        <v>480</v>
      </c>
      <c r="P146" s="133">
        <v>70</v>
      </c>
      <c r="Q146" s="133">
        <v>376</v>
      </c>
      <c r="U146" s="301" t="s">
        <v>38</v>
      </c>
    </row>
    <row r="147" spans="1:21" x14ac:dyDescent="0.3">
      <c r="A147" s="301" t="s">
        <v>166</v>
      </c>
      <c r="B147" s="301" t="s">
        <v>760</v>
      </c>
      <c r="G147" s="301" t="s">
        <v>106</v>
      </c>
      <c r="H147" s="301" t="s">
        <v>105</v>
      </c>
      <c r="I147" s="301" t="s">
        <v>775</v>
      </c>
      <c r="J147" s="301" t="s">
        <v>1218</v>
      </c>
      <c r="K147" s="133">
        <v>0</v>
      </c>
      <c r="M147" s="301" t="s">
        <v>73</v>
      </c>
      <c r="N147" s="301" t="s">
        <v>74</v>
      </c>
      <c r="O147" s="301" t="s">
        <v>480</v>
      </c>
      <c r="P147" s="133"/>
      <c r="Q147" s="133"/>
      <c r="U147" s="301" t="s">
        <v>75</v>
      </c>
    </row>
    <row r="148" spans="1:21" x14ac:dyDescent="0.3">
      <c r="A148" s="301" t="s">
        <v>166</v>
      </c>
      <c r="B148" s="301" t="s">
        <v>1138</v>
      </c>
      <c r="G148" s="301" t="s">
        <v>116</v>
      </c>
      <c r="H148" s="301" t="s">
        <v>115</v>
      </c>
      <c r="I148" s="301" t="s">
        <v>775</v>
      </c>
      <c r="J148" s="301" t="s">
        <v>1218</v>
      </c>
      <c r="K148" s="133">
        <v>0</v>
      </c>
      <c r="M148" s="301" t="s">
        <v>40</v>
      </c>
      <c r="N148" s="301" t="s">
        <v>41</v>
      </c>
      <c r="O148" s="301" t="s">
        <v>480</v>
      </c>
      <c r="P148" s="133">
        <v>70</v>
      </c>
      <c r="Q148" s="133">
        <v>372</v>
      </c>
      <c r="U148" s="301" t="s">
        <v>73</v>
      </c>
    </row>
    <row r="149" spans="1:21" x14ac:dyDescent="0.3">
      <c r="A149" s="301" t="s">
        <v>173</v>
      </c>
      <c r="B149" s="301" t="s">
        <v>174</v>
      </c>
      <c r="G149" s="301" t="s">
        <v>130</v>
      </c>
      <c r="H149" s="301" t="s">
        <v>129</v>
      </c>
      <c r="I149" s="301" t="s">
        <v>775</v>
      </c>
      <c r="J149" s="301" t="s">
        <v>1218</v>
      </c>
      <c r="K149" s="133">
        <v>0</v>
      </c>
      <c r="M149" s="301" t="s">
        <v>141</v>
      </c>
      <c r="N149" s="301" t="s">
        <v>142</v>
      </c>
      <c r="O149" s="301" t="s">
        <v>480</v>
      </c>
      <c r="P149" s="133">
        <v>0</v>
      </c>
      <c r="Q149" s="133">
        <v>0</v>
      </c>
      <c r="U149" s="301" t="s">
        <v>40</v>
      </c>
    </row>
    <row r="150" spans="1:21" x14ac:dyDescent="0.3">
      <c r="A150" s="301" t="s">
        <v>173</v>
      </c>
      <c r="B150" s="301" t="s">
        <v>178</v>
      </c>
      <c r="G150" s="301" t="s">
        <v>138</v>
      </c>
      <c r="H150" s="301" t="s">
        <v>137</v>
      </c>
      <c r="I150" s="301" t="s">
        <v>775</v>
      </c>
      <c r="J150" s="301" t="s">
        <v>1218</v>
      </c>
      <c r="K150" s="133">
        <v>0</v>
      </c>
      <c r="M150" s="301" t="s">
        <v>97</v>
      </c>
      <c r="N150" s="301" t="s">
        <v>98</v>
      </c>
      <c r="O150" s="301" t="s">
        <v>480</v>
      </c>
      <c r="P150" s="133">
        <v>0</v>
      </c>
      <c r="Q150" s="133">
        <v>0</v>
      </c>
      <c r="U150" s="301" t="s">
        <v>141</v>
      </c>
    </row>
    <row r="151" spans="1:21" x14ac:dyDescent="0.3">
      <c r="A151" s="301" t="s">
        <v>173</v>
      </c>
      <c r="B151" s="301" t="s">
        <v>1061</v>
      </c>
      <c r="G151" s="301" t="s">
        <v>262</v>
      </c>
      <c r="H151" s="301" t="s">
        <v>261</v>
      </c>
      <c r="I151" s="301" t="s">
        <v>1692</v>
      </c>
      <c r="J151" s="73">
        <v>40817</v>
      </c>
      <c r="K151" s="133">
        <v>22</v>
      </c>
      <c r="M151" s="301" t="s">
        <v>61</v>
      </c>
      <c r="N151" s="301" t="s">
        <v>62</v>
      </c>
      <c r="O151" s="301" t="s">
        <v>480</v>
      </c>
      <c r="P151" s="133"/>
      <c r="Q151" s="133"/>
      <c r="U151" s="301" t="s">
        <v>97</v>
      </c>
    </row>
    <row r="152" spans="1:21" x14ac:dyDescent="0.3">
      <c r="A152" s="301" t="s">
        <v>173</v>
      </c>
      <c r="B152" s="301" t="s">
        <v>1060</v>
      </c>
      <c r="G152" s="301" t="s">
        <v>264</v>
      </c>
      <c r="H152" s="301" t="s">
        <v>263</v>
      </c>
      <c r="I152" s="301" t="s">
        <v>1692</v>
      </c>
      <c r="J152" s="73">
        <v>40817</v>
      </c>
      <c r="K152" s="133">
        <v>21</v>
      </c>
      <c r="M152" s="301" t="s">
        <v>77</v>
      </c>
      <c r="N152" s="301" t="s">
        <v>78</v>
      </c>
      <c r="O152" s="301" t="s">
        <v>480</v>
      </c>
      <c r="P152" s="133"/>
      <c r="Q152" s="133"/>
      <c r="U152" s="301" t="s">
        <v>61</v>
      </c>
    </row>
    <row r="153" spans="1:21" x14ac:dyDescent="0.3">
      <c r="A153" s="301" t="s">
        <v>173</v>
      </c>
      <c r="B153" s="301" t="s">
        <v>1052</v>
      </c>
      <c r="G153" s="301" t="s">
        <v>136</v>
      </c>
      <c r="H153" s="301" t="s">
        <v>135</v>
      </c>
      <c r="I153" s="301" t="s">
        <v>775</v>
      </c>
      <c r="J153" s="301" t="s">
        <v>1218</v>
      </c>
      <c r="K153" s="133">
        <v>0</v>
      </c>
      <c r="M153" s="301" t="s">
        <v>89</v>
      </c>
      <c r="N153" s="301" t="s">
        <v>90</v>
      </c>
      <c r="O153" s="301" t="s">
        <v>480</v>
      </c>
      <c r="P153" s="133">
        <v>18</v>
      </c>
      <c r="Q153" s="133">
        <v>105</v>
      </c>
      <c r="U153" s="301" t="s">
        <v>77</v>
      </c>
    </row>
    <row r="154" spans="1:21" x14ac:dyDescent="0.3">
      <c r="A154" s="301" t="s">
        <v>173</v>
      </c>
      <c r="B154" s="301" t="s">
        <v>1480</v>
      </c>
      <c r="G154" s="301" t="s">
        <v>68</v>
      </c>
      <c r="H154" s="301" t="s">
        <v>67</v>
      </c>
      <c r="I154" s="301" t="s">
        <v>775</v>
      </c>
      <c r="J154" s="301" t="s">
        <v>1218</v>
      </c>
      <c r="K154" s="133">
        <v>0</v>
      </c>
      <c r="M154" s="301" t="s">
        <v>117</v>
      </c>
      <c r="N154" s="301" t="s">
        <v>118</v>
      </c>
      <c r="O154" s="301" t="s">
        <v>480</v>
      </c>
      <c r="P154" s="133">
        <v>10</v>
      </c>
      <c r="Q154" s="133">
        <v>38</v>
      </c>
      <c r="U154" s="301" t="s">
        <v>89</v>
      </c>
    </row>
    <row r="155" spans="1:21" x14ac:dyDescent="0.3">
      <c r="A155" s="301" t="s">
        <v>173</v>
      </c>
      <c r="B155" s="301" t="s">
        <v>1511</v>
      </c>
      <c r="G155" s="301" t="s">
        <v>84</v>
      </c>
      <c r="H155" s="301" t="s">
        <v>83</v>
      </c>
      <c r="I155" s="301" t="s">
        <v>775</v>
      </c>
      <c r="J155" s="301" t="s">
        <v>1218</v>
      </c>
      <c r="K155" s="133">
        <v>0</v>
      </c>
      <c r="M155" s="301" t="s">
        <v>123</v>
      </c>
      <c r="N155" s="301" t="s">
        <v>124</v>
      </c>
      <c r="O155" s="301" t="s">
        <v>480</v>
      </c>
      <c r="P155" s="133">
        <v>8</v>
      </c>
      <c r="Q155" s="133">
        <v>32</v>
      </c>
      <c r="U155" s="301" t="s">
        <v>117</v>
      </c>
    </row>
    <row r="156" spans="1:21" x14ac:dyDescent="0.3">
      <c r="A156" s="301" t="s">
        <v>173</v>
      </c>
      <c r="B156" s="301" t="s">
        <v>1626</v>
      </c>
      <c r="G156" s="301" t="s">
        <v>86</v>
      </c>
      <c r="H156" s="301" t="s">
        <v>85</v>
      </c>
      <c r="I156" s="301" t="s">
        <v>775</v>
      </c>
      <c r="J156" s="301" t="s">
        <v>1218</v>
      </c>
      <c r="K156" s="133">
        <v>0</v>
      </c>
      <c r="M156" s="301" t="s">
        <v>125</v>
      </c>
      <c r="N156" s="301" t="s">
        <v>126</v>
      </c>
      <c r="O156" s="301" t="s">
        <v>480</v>
      </c>
      <c r="P156" s="133">
        <v>32</v>
      </c>
      <c r="Q156" s="133">
        <v>173</v>
      </c>
      <c r="U156" s="301" t="s">
        <v>123</v>
      </c>
    </row>
    <row r="157" spans="1:21" x14ac:dyDescent="0.3">
      <c r="A157" s="301" t="s">
        <v>173</v>
      </c>
      <c r="B157" s="301" t="s">
        <v>1627</v>
      </c>
      <c r="G157" s="301" t="s">
        <v>100</v>
      </c>
      <c r="H157" s="301" t="s">
        <v>99</v>
      </c>
      <c r="I157" s="301" t="s">
        <v>1692</v>
      </c>
      <c r="J157" s="73">
        <v>41122</v>
      </c>
      <c r="K157" s="133">
        <v>3</v>
      </c>
      <c r="M157" s="301" t="s">
        <v>63</v>
      </c>
      <c r="N157" s="301" t="s">
        <v>64</v>
      </c>
      <c r="O157" s="301" t="s">
        <v>480</v>
      </c>
      <c r="P157" s="133"/>
      <c r="Q157" s="133"/>
      <c r="U157" s="301" t="s">
        <v>125</v>
      </c>
    </row>
    <row r="158" spans="1:21" x14ac:dyDescent="0.3">
      <c r="A158" s="301" t="s">
        <v>173</v>
      </c>
      <c r="B158" s="301" t="s">
        <v>1629</v>
      </c>
      <c r="G158" s="301" t="s">
        <v>104</v>
      </c>
      <c r="H158" s="301" t="s">
        <v>103</v>
      </c>
      <c r="I158" s="301" t="s">
        <v>775</v>
      </c>
      <c r="J158" s="301" t="s">
        <v>1218</v>
      </c>
      <c r="K158" s="133">
        <v>0</v>
      </c>
      <c r="M158" s="301" t="s">
        <v>81</v>
      </c>
      <c r="N158" s="301" t="s">
        <v>82</v>
      </c>
      <c r="O158" s="301" t="s">
        <v>480</v>
      </c>
      <c r="P158" s="133"/>
      <c r="Q158" s="133"/>
      <c r="U158" s="301" t="s">
        <v>63</v>
      </c>
    </row>
    <row r="159" spans="1:21" x14ac:dyDescent="0.3">
      <c r="A159" s="301" t="s">
        <v>173</v>
      </c>
      <c r="B159" s="301" t="s">
        <v>1687</v>
      </c>
      <c r="G159" s="301" t="s">
        <v>98</v>
      </c>
      <c r="H159" s="301" t="s">
        <v>97</v>
      </c>
      <c r="I159" s="301" t="s">
        <v>775</v>
      </c>
      <c r="J159" s="301" t="s">
        <v>1218</v>
      </c>
      <c r="K159" s="133">
        <v>0</v>
      </c>
      <c r="M159" s="301" t="s">
        <v>57</v>
      </c>
      <c r="N159" s="301" t="s">
        <v>58</v>
      </c>
      <c r="O159" s="301" t="s">
        <v>480</v>
      </c>
      <c r="P159" s="133"/>
      <c r="Q159" s="133"/>
      <c r="U159" s="301" t="s">
        <v>81</v>
      </c>
    </row>
    <row r="160" spans="1:21" x14ac:dyDescent="0.3">
      <c r="A160" s="301" t="s">
        <v>180</v>
      </c>
      <c r="B160" s="301" t="s">
        <v>183</v>
      </c>
      <c r="G160" s="301" t="s">
        <v>1589</v>
      </c>
      <c r="H160" s="301" t="s">
        <v>383</v>
      </c>
      <c r="I160" s="301" t="s">
        <v>1692</v>
      </c>
      <c r="J160" s="73">
        <v>41275</v>
      </c>
      <c r="K160" s="133">
        <v>76</v>
      </c>
      <c r="M160" s="301" t="s">
        <v>55</v>
      </c>
      <c r="N160" s="301" t="s">
        <v>56</v>
      </c>
      <c r="O160" s="301" t="s">
        <v>480</v>
      </c>
      <c r="P160" s="133">
        <v>0</v>
      </c>
      <c r="Q160" s="133">
        <v>0</v>
      </c>
      <c r="U160" s="301" t="s">
        <v>57</v>
      </c>
    </row>
    <row r="161" spans="1:21" x14ac:dyDescent="0.3">
      <c r="A161" s="301" t="s">
        <v>180</v>
      </c>
      <c r="B161" s="301" t="s">
        <v>286</v>
      </c>
      <c r="G161" s="301" t="s">
        <v>1887</v>
      </c>
      <c r="H161" s="301" t="s">
        <v>985</v>
      </c>
      <c r="I161" s="301" t="s">
        <v>1692</v>
      </c>
      <c r="J161" s="73">
        <v>41275</v>
      </c>
      <c r="K161" s="133">
        <v>15</v>
      </c>
      <c r="M161" s="301" t="s">
        <v>42</v>
      </c>
      <c r="N161" s="301" t="s">
        <v>43</v>
      </c>
      <c r="O161" s="301" t="s">
        <v>480</v>
      </c>
      <c r="P161" s="133">
        <v>13</v>
      </c>
      <c r="Q161" s="133">
        <v>84</v>
      </c>
      <c r="U161" s="301" t="s">
        <v>55</v>
      </c>
    </row>
    <row r="162" spans="1:21" x14ac:dyDescent="0.3">
      <c r="A162" s="301" t="s">
        <v>180</v>
      </c>
      <c r="B162" s="301" t="s">
        <v>181</v>
      </c>
      <c r="G162" s="301" t="s">
        <v>1031</v>
      </c>
      <c r="H162" s="301" t="s">
        <v>357</v>
      </c>
      <c r="I162" s="301" t="s">
        <v>775</v>
      </c>
      <c r="J162" s="301" t="s">
        <v>1218</v>
      </c>
      <c r="K162" s="133"/>
      <c r="M162" s="301" t="s">
        <v>45</v>
      </c>
      <c r="N162" s="301" t="s">
        <v>44</v>
      </c>
      <c r="O162" s="301" t="s">
        <v>480</v>
      </c>
      <c r="P162" s="133">
        <v>2</v>
      </c>
      <c r="Q162" s="133">
        <v>14</v>
      </c>
      <c r="U162" s="301" t="s">
        <v>42</v>
      </c>
    </row>
    <row r="163" spans="1:21" x14ac:dyDescent="0.3">
      <c r="A163" s="301" t="s">
        <v>180</v>
      </c>
      <c r="B163" s="301" t="s">
        <v>1886</v>
      </c>
      <c r="G163" s="301" t="s">
        <v>209</v>
      </c>
      <c r="H163" s="301" t="s">
        <v>208</v>
      </c>
      <c r="I163" s="301" t="s">
        <v>1692</v>
      </c>
      <c r="J163" s="73">
        <v>40695</v>
      </c>
      <c r="K163" s="133">
        <v>427</v>
      </c>
      <c r="M163" s="301" t="s">
        <v>46</v>
      </c>
      <c r="N163" s="301" t="s">
        <v>551</v>
      </c>
      <c r="O163" s="301" t="s">
        <v>480</v>
      </c>
      <c r="P163" s="133">
        <v>11</v>
      </c>
      <c r="Q163" s="133">
        <v>43</v>
      </c>
      <c r="U163" s="301" t="s">
        <v>45</v>
      </c>
    </row>
    <row r="164" spans="1:21" x14ac:dyDescent="0.3">
      <c r="A164" s="301" t="s">
        <v>180</v>
      </c>
      <c r="B164" s="301" t="s">
        <v>1887</v>
      </c>
      <c r="G164" s="301" t="s">
        <v>211</v>
      </c>
      <c r="H164" s="301" t="s">
        <v>210</v>
      </c>
      <c r="I164" s="301" t="s">
        <v>775</v>
      </c>
      <c r="J164" s="73">
        <v>40756</v>
      </c>
      <c r="K164" s="133"/>
      <c r="M164" s="301" t="s">
        <v>374</v>
      </c>
      <c r="N164" s="301" t="s">
        <v>364</v>
      </c>
      <c r="O164" s="301" t="s">
        <v>5</v>
      </c>
      <c r="P164" s="133">
        <v>147</v>
      </c>
      <c r="Q164" s="133">
        <v>783</v>
      </c>
      <c r="U164" s="301" t="s">
        <v>46</v>
      </c>
    </row>
    <row r="165" spans="1:21" x14ac:dyDescent="0.3">
      <c r="A165" s="301" t="s">
        <v>185</v>
      </c>
      <c r="B165" s="301" t="s">
        <v>192</v>
      </c>
      <c r="G165" s="301" t="s">
        <v>1206</v>
      </c>
      <c r="H165" s="301" t="s">
        <v>1173</v>
      </c>
      <c r="I165" s="301" t="s">
        <v>775</v>
      </c>
      <c r="J165" s="301" t="s">
        <v>1218</v>
      </c>
      <c r="K165" s="133"/>
      <c r="M165" s="301" t="s">
        <v>375</v>
      </c>
      <c r="N165" s="301" t="s">
        <v>465</v>
      </c>
      <c r="O165" s="301" t="s">
        <v>5</v>
      </c>
      <c r="P165" s="133">
        <v>12</v>
      </c>
      <c r="Q165" s="133">
        <v>52</v>
      </c>
      <c r="U165" s="301" t="s">
        <v>374</v>
      </c>
    </row>
    <row r="166" spans="1:21" x14ac:dyDescent="0.3">
      <c r="A166" s="301" t="s">
        <v>185</v>
      </c>
      <c r="B166" s="301" t="s">
        <v>194</v>
      </c>
      <c r="G166" s="301" t="s">
        <v>1128</v>
      </c>
      <c r="H166" s="301" t="s">
        <v>1123</v>
      </c>
      <c r="I166" s="301" t="s">
        <v>1692</v>
      </c>
      <c r="J166" s="73">
        <v>42430</v>
      </c>
      <c r="K166" s="133">
        <v>62</v>
      </c>
      <c r="M166" s="301" t="s">
        <v>376</v>
      </c>
      <c r="N166" s="301" t="s">
        <v>363</v>
      </c>
      <c r="O166" s="301" t="s">
        <v>27</v>
      </c>
      <c r="P166" s="133">
        <v>206</v>
      </c>
      <c r="Q166" s="133">
        <v>856</v>
      </c>
      <c r="U166" s="301" t="s">
        <v>375</v>
      </c>
    </row>
    <row r="167" spans="1:21" x14ac:dyDescent="0.3">
      <c r="A167" s="301" t="s">
        <v>185</v>
      </c>
      <c r="B167" s="301" t="s">
        <v>196</v>
      </c>
      <c r="G167" s="301" t="s">
        <v>1127</v>
      </c>
      <c r="H167" s="301" t="s">
        <v>1122</v>
      </c>
      <c r="I167" s="301" t="s">
        <v>775</v>
      </c>
      <c r="J167" s="73">
        <v>42401</v>
      </c>
      <c r="K167" s="133"/>
      <c r="M167" s="301" t="s">
        <v>388</v>
      </c>
      <c r="N167" s="301" t="s">
        <v>1881</v>
      </c>
      <c r="O167" s="301" t="s">
        <v>151</v>
      </c>
      <c r="P167" s="133">
        <v>67</v>
      </c>
      <c r="Q167" s="133">
        <v>324</v>
      </c>
      <c r="U167" s="301" t="s">
        <v>376</v>
      </c>
    </row>
    <row r="168" spans="1:21" x14ac:dyDescent="0.3">
      <c r="A168" s="301" t="s">
        <v>185</v>
      </c>
      <c r="B168" s="301" t="s">
        <v>474</v>
      </c>
      <c r="G168" s="301" t="s">
        <v>233</v>
      </c>
      <c r="H168" s="301" t="s">
        <v>232</v>
      </c>
      <c r="I168" s="301" t="s">
        <v>775</v>
      </c>
      <c r="J168" s="73">
        <v>41091</v>
      </c>
      <c r="K168" s="133"/>
      <c r="M168" s="301" t="s">
        <v>389</v>
      </c>
      <c r="N168" s="301" t="s">
        <v>1881</v>
      </c>
      <c r="O168" s="301" t="s">
        <v>185</v>
      </c>
      <c r="P168" s="133">
        <v>223</v>
      </c>
      <c r="Q168" s="133">
        <v>1067</v>
      </c>
      <c r="U168" s="301" t="s">
        <v>388</v>
      </c>
    </row>
    <row r="169" spans="1:21" x14ac:dyDescent="0.3">
      <c r="A169" s="301" t="s">
        <v>185</v>
      </c>
      <c r="B169" s="301" t="s">
        <v>186</v>
      </c>
      <c r="G169" s="301" t="s">
        <v>235</v>
      </c>
      <c r="H169" s="301" t="s">
        <v>234</v>
      </c>
      <c r="I169" s="301" t="s">
        <v>775</v>
      </c>
      <c r="J169" s="301" t="s">
        <v>1218</v>
      </c>
      <c r="K169" s="133"/>
      <c r="M169" s="301" t="s">
        <v>390</v>
      </c>
      <c r="N169" s="301" t="s">
        <v>205</v>
      </c>
      <c r="O169" s="301" t="s">
        <v>185</v>
      </c>
      <c r="P169" s="133"/>
      <c r="Q169" s="133"/>
      <c r="U169" s="301" t="s">
        <v>389</v>
      </c>
    </row>
    <row r="170" spans="1:21" x14ac:dyDescent="0.3">
      <c r="A170" s="301" t="s">
        <v>185</v>
      </c>
      <c r="B170" s="301" t="s">
        <v>223</v>
      </c>
      <c r="G170" s="301" t="s">
        <v>295</v>
      </c>
      <c r="H170" s="301" t="s">
        <v>1130</v>
      </c>
      <c r="I170" s="301" t="s">
        <v>775</v>
      </c>
      <c r="J170" s="301" t="s">
        <v>1218</v>
      </c>
      <c r="K170" s="133"/>
      <c r="M170" s="301" t="s">
        <v>391</v>
      </c>
      <c r="N170" s="301" t="s">
        <v>12</v>
      </c>
      <c r="O170" s="301" t="s">
        <v>301</v>
      </c>
      <c r="P170" s="133"/>
      <c r="Q170" s="133"/>
      <c r="U170" s="301" t="s">
        <v>390</v>
      </c>
    </row>
    <row r="171" spans="1:21" x14ac:dyDescent="0.3">
      <c r="A171" s="301" t="s">
        <v>185</v>
      </c>
      <c r="B171" s="301" t="s">
        <v>190</v>
      </c>
      <c r="G171" s="301" t="s">
        <v>471</v>
      </c>
      <c r="H171" s="301" t="s">
        <v>472</v>
      </c>
      <c r="I171" s="301" t="s">
        <v>775</v>
      </c>
      <c r="J171" s="73">
        <v>41091</v>
      </c>
      <c r="K171" s="133">
        <v>0</v>
      </c>
      <c r="M171" s="301" t="s">
        <v>475</v>
      </c>
      <c r="N171" s="301" t="s">
        <v>474</v>
      </c>
      <c r="O171" s="301" t="s">
        <v>185</v>
      </c>
      <c r="P171" s="133">
        <v>3</v>
      </c>
      <c r="Q171" s="133">
        <v>18</v>
      </c>
      <c r="U171" s="301" t="s">
        <v>391</v>
      </c>
    </row>
    <row r="172" spans="1:21" x14ac:dyDescent="0.3">
      <c r="A172" s="301" t="s">
        <v>185</v>
      </c>
      <c r="B172" s="301" t="s">
        <v>200</v>
      </c>
      <c r="G172" s="301" t="s">
        <v>1144</v>
      </c>
      <c r="H172" s="301" t="s">
        <v>1126</v>
      </c>
      <c r="I172" s="301" t="s">
        <v>1692</v>
      </c>
      <c r="J172" s="73">
        <v>42401</v>
      </c>
      <c r="K172" s="133">
        <v>30</v>
      </c>
      <c r="M172" s="301" t="s">
        <v>468</v>
      </c>
      <c r="N172" s="301" t="s">
        <v>467</v>
      </c>
      <c r="O172" s="301" t="s">
        <v>480</v>
      </c>
      <c r="P172" s="133">
        <v>0</v>
      </c>
      <c r="Q172" s="133">
        <v>0</v>
      </c>
      <c r="U172" s="301" t="s">
        <v>475</v>
      </c>
    </row>
    <row r="173" spans="1:21" x14ac:dyDescent="0.3">
      <c r="A173" s="301" t="s">
        <v>185</v>
      </c>
      <c r="B173" s="301" t="s">
        <v>202</v>
      </c>
      <c r="G173" s="301" t="s">
        <v>369</v>
      </c>
      <c r="H173" s="301" t="s">
        <v>147</v>
      </c>
      <c r="I173" s="301" t="s">
        <v>1692</v>
      </c>
      <c r="J173" s="73">
        <v>40787</v>
      </c>
      <c r="K173" s="133">
        <v>38</v>
      </c>
      <c r="M173" s="301" t="s">
        <v>470</v>
      </c>
      <c r="N173" s="301" t="s">
        <v>469</v>
      </c>
      <c r="O173" s="301" t="s">
        <v>151</v>
      </c>
      <c r="P173" s="133">
        <v>0</v>
      </c>
      <c r="Q173" s="133">
        <v>0</v>
      </c>
      <c r="U173" s="301" t="s">
        <v>468</v>
      </c>
    </row>
    <row r="174" spans="1:21" x14ac:dyDescent="0.3">
      <c r="A174" s="301" t="s">
        <v>185</v>
      </c>
      <c r="B174" s="301" t="s">
        <v>204</v>
      </c>
      <c r="G174" s="301" t="s">
        <v>941</v>
      </c>
      <c r="H174" s="301" t="s">
        <v>940</v>
      </c>
      <c r="I174" s="301" t="s">
        <v>1692</v>
      </c>
      <c r="J174" s="73">
        <v>40787</v>
      </c>
      <c r="K174" s="133">
        <v>19</v>
      </c>
      <c r="M174" s="301" t="s">
        <v>472</v>
      </c>
      <c r="N174" s="301" t="s">
        <v>471</v>
      </c>
      <c r="O174" s="301" t="s">
        <v>151</v>
      </c>
      <c r="P174" s="133">
        <v>0</v>
      </c>
      <c r="Q174" s="133">
        <v>0</v>
      </c>
      <c r="U174" s="301" t="s">
        <v>470</v>
      </c>
    </row>
    <row r="175" spans="1:21" x14ac:dyDescent="0.3">
      <c r="A175" s="301" t="s">
        <v>185</v>
      </c>
      <c r="B175" s="301" t="s">
        <v>205</v>
      </c>
      <c r="G175" s="301" t="s">
        <v>365</v>
      </c>
      <c r="H175" s="301" t="s">
        <v>384</v>
      </c>
      <c r="I175" s="301" t="s">
        <v>775</v>
      </c>
      <c r="J175" s="73">
        <v>40787</v>
      </c>
      <c r="K175" s="133">
        <v>0</v>
      </c>
      <c r="M175" s="301" t="s">
        <v>473</v>
      </c>
      <c r="N175" s="301" t="s">
        <v>791</v>
      </c>
      <c r="O175" s="301" t="s">
        <v>151</v>
      </c>
      <c r="P175" s="133">
        <v>0</v>
      </c>
      <c r="Q175" s="133">
        <v>0</v>
      </c>
      <c r="U175" s="301" t="s">
        <v>472</v>
      </c>
    </row>
    <row r="176" spans="1:21" x14ac:dyDescent="0.3">
      <c r="A176" s="301" t="s">
        <v>185</v>
      </c>
      <c r="B176" s="301" t="s">
        <v>207</v>
      </c>
      <c r="G176" s="301" t="s">
        <v>142</v>
      </c>
      <c r="H176" s="301" t="s">
        <v>141</v>
      </c>
      <c r="I176" s="301" t="s">
        <v>775</v>
      </c>
      <c r="J176" s="73">
        <v>41275</v>
      </c>
      <c r="K176" s="133">
        <v>0</v>
      </c>
      <c r="M176" s="301" t="s">
        <v>750</v>
      </c>
      <c r="N176" s="301" t="s">
        <v>746</v>
      </c>
      <c r="O176" s="301" t="s">
        <v>746</v>
      </c>
      <c r="P176" s="133">
        <v>5</v>
      </c>
      <c r="Q176" s="133">
        <v>32</v>
      </c>
      <c r="U176" s="301" t="s">
        <v>473</v>
      </c>
    </row>
    <row r="177" spans="1:21" x14ac:dyDescent="0.3">
      <c r="A177" s="301" t="s">
        <v>185</v>
      </c>
      <c r="B177" s="301" t="s">
        <v>209</v>
      </c>
      <c r="G177" s="301" t="s">
        <v>901</v>
      </c>
      <c r="H177" s="301" t="s">
        <v>902</v>
      </c>
      <c r="I177" s="301" t="s">
        <v>1692</v>
      </c>
      <c r="J177" s="73">
        <v>41703</v>
      </c>
      <c r="K177" s="133">
        <v>40</v>
      </c>
      <c r="M177" s="301" t="s">
        <v>752</v>
      </c>
      <c r="N177" s="301" t="s">
        <v>751</v>
      </c>
      <c r="O177" s="301" t="s">
        <v>309</v>
      </c>
      <c r="P177" s="133"/>
      <c r="Q177" s="133">
        <v>872</v>
      </c>
      <c r="U177" s="301" t="s">
        <v>750</v>
      </c>
    </row>
    <row r="178" spans="1:21" x14ac:dyDescent="0.3">
      <c r="A178" s="301" t="s">
        <v>185</v>
      </c>
      <c r="B178" s="301" t="s">
        <v>211</v>
      </c>
      <c r="G178" s="301" t="s">
        <v>911</v>
      </c>
      <c r="H178" s="301" t="s">
        <v>912</v>
      </c>
      <c r="I178" s="301" t="s">
        <v>1692</v>
      </c>
      <c r="J178" s="73">
        <v>41734</v>
      </c>
      <c r="K178" s="133">
        <v>17</v>
      </c>
      <c r="M178" s="301" t="s">
        <v>793</v>
      </c>
      <c r="N178" s="301" t="s">
        <v>792</v>
      </c>
      <c r="O178" s="301" t="s">
        <v>151</v>
      </c>
      <c r="P178" s="133">
        <v>0</v>
      </c>
      <c r="Q178" s="133">
        <v>0</v>
      </c>
      <c r="U178" s="301" t="s">
        <v>752</v>
      </c>
    </row>
    <row r="179" spans="1:21" x14ac:dyDescent="0.3">
      <c r="A179" s="301" t="s">
        <v>185</v>
      </c>
      <c r="B179" s="301" t="s">
        <v>213</v>
      </c>
      <c r="G179" s="301" t="s">
        <v>8</v>
      </c>
      <c r="H179" s="301" t="s">
        <v>7</v>
      </c>
      <c r="I179" s="301" t="s">
        <v>1692</v>
      </c>
      <c r="J179" s="73">
        <v>41183</v>
      </c>
      <c r="K179" s="133">
        <v>14</v>
      </c>
      <c r="M179" s="301" t="s">
        <v>789</v>
      </c>
      <c r="N179" s="301" t="s">
        <v>790</v>
      </c>
      <c r="O179" s="301" t="s">
        <v>27</v>
      </c>
      <c r="P179" s="133">
        <v>57</v>
      </c>
      <c r="Q179" s="133">
        <v>274</v>
      </c>
      <c r="U179" s="301" t="s">
        <v>793</v>
      </c>
    </row>
    <row r="180" spans="1:21" x14ac:dyDescent="0.3">
      <c r="A180" s="301" t="s">
        <v>185</v>
      </c>
      <c r="B180" s="301" t="s">
        <v>215</v>
      </c>
      <c r="G180" s="301" t="s">
        <v>1154</v>
      </c>
      <c r="H180" s="301" t="s">
        <v>1162</v>
      </c>
      <c r="I180" s="301" t="s">
        <v>1692</v>
      </c>
      <c r="J180" s="73">
        <v>42584</v>
      </c>
      <c r="K180" s="133">
        <v>25</v>
      </c>
      <c r="M180" s="301" t="s">
        <v>783</v>
      </c>
      <c r="N180" s="301" t="s">
        <v>795</v>
      </c>
      <c r="O180" s="301" t="s">
        <v>5</v>
      </c>
      <c r="P180" s="133">
        <v>0</v>
      </c>
      <c r="Q180" s="133">
        <v>0</v>
      </c>
      <c r="U180" s="301" t="s">
        <v>789</v>
      </c>
    </row>
    <row r="181" spans="1:21" x14ac:dyDescent="0.3">
      <c r="A181" s="301" t="s">
        <v>185</v>
      </c>
      <c r="B181" s="301" t="s">
        <v>217</v>
      </c>
      <c r="G181" s="301" t="s">
        <v>266</v>
      </c>
      <c r="H181" s="301" t="s">
        <v>265</v>
      </c>
      <c r="I181" s="301" t="s">
        <v>775</v>
      </c>
      <c r="J181" s="73">
        <v>40817</v>
      </c>
      <c r="K181" s="133"/>
      <c r="M181" s="301" t="s">
        <v>796</v>
      </c>
      <c r="N181" s="301" t="s">
        <v>802</v>
      </c>
      <c r="O181" s="301" t="s">
        <v>151</v>
      </c>
      <c r="P181" s="133">
        <v>0</v>
      </c>
      <c r="Q181" s="133">
        <v>0</v>
      </c>
      <c r="U181" s="301" t="s">
        <v>783</v>
      </c>
    </row>
    <row r="182" spans="1:21" x14ac:dyDescent="0.3">
      <c r="A182" s="301" t="s">
        <v>185</v>
      </c>
      <c r="B182" s="301" t="s">
        <v>229</v>
      </c>
      <c r="G182" s="301" t="s">
        <v>1626</v>
      </c>
      <c r="H182" s="301" t="s">
        <v>1614</v>
      </c>
      <c r="I182" s="301" t="s">
        <v>1692</v>
      </c>
      <c r="J182" s="73">
        <v>43212</v>
      </c>
      <c r="K182" s="133">
        <v>45</v>
      </c>
      <c r="M182" s="301" t="s">
        <v>800</v>
      </c>
      <c r="N182" s="301" t="s">
        <v>801</v>
      </c>
      <c r="O182" s="301" t="s">
        <v>151</v>
      </c>
      <c r="P182" s="133">
        <v>0</v>
      </c>
      <c r="Q182" s="133">
        <v>0</v>
      </c>
      <c r="U182" s="301" t="s">
        <v>796</v>
      </c>
    </row>
    <row r="183" spans="1:21" x14ac:dyDescent="0.3">
      <c r="A183" s="301" t="s">
        <v>185</v>
      </c>
      <c r="B183" s="301" t="s">
        <v>219</v>
      </c>
      <c r="G183" s="301" t="s">
        <v>213</v>
      </c>
      <c r="H183" s="301" t="s">
        <v>212</v>
      </c>
      <c r="I183" s="301" t="s">
        <v>1692</v>
      </c>
      <c r="J183" s="301" t="s">
        <v>1218</v>
      </c>
      <c r="K183" s="133">
        <v>26</v>
      </c>
      <c r="M183" s="301" t="s">
        <v>805</v>
      </c>
      <c r="N183" s="301" t="s">
        <v>804</v>
      </c>
      <c r="O183" s="301" t="s">
        <v>151</v>
      </c>
      <c r="P183" s="133">
        <v>0</v>
      </c>
      <c r="Q183" s="133">
        <v>0</v>
      </c>
      <c r="U183" s="301" t="s">
        <v>800</v>
      </c>
    </row>
    <row r="184" spans="1:21" x14ac:dyDescent="0.3">
      <c r="A184" s="301" t="s">
        <v>185</v>
      </c>
      <c r="B184" s="301" t="s">
        <v>221</v>
      </c>
      <c r="G184" s="301" t="s">
        <v>162</v>
      </c>
      <c r="H184" s="301" t="s">
        <v>161</v>
      </c>
      <c r="I184" s="301" t="s">
        <v>775</v>
      </c>
      <c r="J184" s="301" t="s">
        <v>1218</v>
      </c>
      <c r="K184" s="133">
        <v>0</v>
      </c>
      <c r="M184" s="301" t="s">
        <v>806</v>
      </c>
      <c r="N184" s="301" t="s">
        <v>808</v>
      </c>
      <c r="O184" s="301" t="s">
        <v>151</v>
      </c>
      <c r="P184" s="133">
        <v>0</v>
      </c>
      <c r="Q184" s="133">
        <v>0</v>
      </c>
      <c r="U184" s="301" t="s">
        <v>805</v>
      </c>
    </row>
    <row r="185" spans="1:21" x14ac:dyDescent="0.3">
      <c r="A185" s="301" t="s">
        <v>185</v>
      </c>
      <c r="B185" s="301" t="s">
        <v>225</v>
      </c>
      <c r="G185" s="301" t="s">
        <v>291</v>
      </c>
      <c r="H185" s="301" t="s">
        <v>290</v>
      </c>
      <c r="I185" s="301" t="s">
        <v>1692</v>
      </c>
      <c r="J185" s="73">
        <v>41609</v>
      </c>
      <c r="K185" s="133">
        <v>76</v>
      </c>
      <c r="M185" s="301" t="s">
        <v>807</v>
      </c>
      <c r="N185" s="301" t="s">
        <v>803</v>
      </c>
      <c r="O185" s="301" t="s">
        <v>151</v>
      </c>
      <c r="P185" s="133">
        <v>0</v>
      </c>
      <c r="Q185" s="133">
        <v>0</v>
      </c>
      <c r="U185" s="301" t="s">
        <v>806</v>
      </c>
    </row>
    <row r="186" spans="1:21" x14ac:dyDescent="0.3">
      <c r="A186" s="301" t="s">
        <v>185</v>
      </c>
      <c r="B186" s="301" t="s">
        <v>227</v>
      </c>
      <c r="G186" s="301" t="s">
        <v>289</v>
      </c>
      <c r="H186" s="301" t="s">
        <v>287</v>
      </c>
      <c r="I186" s="301" t="s">
        <v>1692</v>
      </c>
      <c r="J186" s="73">
        <v>40878</v>
      </c>
      <c r="K186" s="133">
        <v>64</v>
      </c>
      <c r="M186" s="301" t="s">
        <v>809</v>
      </c>
      <c r="N186" s="301" t="s">
        <v>810</v>
      </c>
      <c r="O186" s="301" t="s">
        <v>151</v>
      </c>
      <c r="P186" s="133">
        <v>0</v>
      </c>
      <c r="Q186" s="133">
        <v>0</v>
      </c>
      <c r="U186" s="301" t="s">
        <v>807</v>
      </c>
    </row>
    <row r="187" spans="1:21" x14ac:dyDescent="0.3">
      <c r="A187" s="301" t="s">
        <v>185</v>
      </c>
      <c r="B187" s="301" t="s">
        <v>1078</v>
      </c>
      <c r="G187" s="301" t="s">
        <v>903</v>
      </c>
      <c r="H187" s="301" t="s">
        <v>904</v>
      </c>
      <c r="I187" s="301" t="s">
        <v>1692</v>
      </c>
      <c r="J187" s="73">
        <v>41947</v>
      </c>
      <c r="K187" s="133">
        <v>36</v>
      </c>
      <c r="M187" s="301" t="s">
        <v>812</v>
      </c>
      <c r="N187" s="301" t="s">
        <v>811</v>
      </c>
      <c r="O187" s="301" t="s">
        <v>151</v>
      </c>
      <c r="P187" s="133">
        <v>432</v>
      </c>
      <c r="Q187" s="133">
        <v>2528</v>
      </c>
      <c r="U187" s="301" t="s">
        <v>809</v>
      </c>
    </row>
    <row r="188" spans="1:21" x14ac:dyDescent="0.3">
      <c r="A188" s="301" t="s">
        <v>185</v>
      </c>
      <c r="B188" s="301" t="s">
        <v>1881</v>
      </c>
      <c r="G188" s="301" t="s">
        <v>372</v>
      </c>
      <c r="H188" s="301" t="s">
        <v>294</v>
      </c>
      <c r="I188" s="301" t="s">
        <v>1692</v>
      </c>
      <c r="J188" s="73">
        <v>40878</v>
      </c>
      <c r="K188" s="133">
        <v>43</v>
      </c>
      <c r="M188" s="301" t="s">
        <v>814</v>
      </c>
      <c r="N188" s="301" t="s">
        <v>813</v>
      </c>
      <c r="O188" s="301" t="s">
        <v>151</v>
      </c>
      <c r="P188" s="133">
        <v>0</v>
      </c>
      <c r="Q188" s="133">
        <v>0</v>
      </c>
      <c r="U188" s="301" t="s">
        <v>812</v>
      </c>
    </row>
    <row r="189" spans="1:21" x14ac:dyDescent="0.3">
      <c r="A189" s="301" t="s">
        <v>230</v>
      </c>
      <c r="B189" s="301" t="s">
        <v>169</v>
      </c>
      <c r="G189" s="301" t="s">
        <v>373</v>
      </c>
      <c r="H189" s="301" t="s">
        <v>387</v>
      </c>
      <c r="I189" s="301" t="s">
        <v>775</v>
      </c>
      <c r="J189" s="301" t="s">
        <v>1218</v>
      </c>
      <c r="K189" s="133">
        <v>0</v>
      </c>
      <c r="M189" s="301" t="s">
        <v>816</v>
      </c>
      <c r="N189" s="301" t="s">
        <v>815</v>
      </c>
      <c r="O189" s="301" t="s">
        <v>299</v>
      </c>
      <c r="P189" s="133">
        <v>0</v>
      </c>
      <c r="Q189" s="133">
        <v>0</v>
      </c>
      <c r="U189" s="301" t="s">
        <v>814</v>
      </c>
    </row>
    <row r="190" spans="1:21" x14ac:dyDescent="0.3">
      <c r="A190" s="301" t="s">
        <v>230</v>
      </c>
      <c r="B190" s="301" t="s">
        <v>231</v>
      </c>
      <c r="G190" s="301" t="s">
        <v>293</v>
      </c>
      <c r="H190" s="301" t="s">
        <v>292</v>
      </c>
      <c r="I190" s="301" t="s">
        <v>775</v>
      </c>
      <c r="J190" s="301" t="s">
        <v>1218</v>
      </c>
      <c r="K190" s="133"/>
      <c r="M190" s="301" t="s">
        <v>820</v>
      </c>
      <c r="N190" s="301" t="s">
        <v>819</v>
      </c>
      <c r="O190" s="301" t="s">
        <v>817</v>
      </c>
      <c r="P190" s="133"/>
      <c r="Q190" s="133"/>
      <c r="U190" s="301" t="s">
        <v>816</v>
      </c>
    </row>
    <row r="191" spans="1:21" x14ac:dyDescent="0.3">
      <c r="A191" s="301" t="s">
        <v>230</v>
      </c>
      <c r="B191" s="301" t="s">
        <v>233</v>
      </c>
      <c r="G191" s="301" t="s">
        <v>359</v>
      </c>
      <c r="H191" s="301" t="s">
        <v>771</v>
      </c>
      <c r="I191" s="301" t="s">
        <v>775</v>
      </c>
      <c r="J191" s="73">
        <v>40787</v>
      </c>
      <c r="K191" s="133">
        <v>9</v>
      </c>
      <c r="M191" s="301" t="s">
        <v>821</v>
      </c>
      <c r="N191" s="301" t="s">
        <v>822</v>
      </c>
      <c r="O191" s="301" t="s">
        <v>5</v>
      </c>
      <c r="P191" s="133"/>
      <c r="Q191" s="133"/>
      <c r="U191" s="301" t="s">
        <v>820</v>
      </c>
    </row>
    <row r="192" spans="1:21" x14ac:dyDescent="0.3">
      <c r="A192" s="301" t="s">
        <v>230</v>
      </c>
      <c r="B192" s="301" t="s">
        <v>235</v>
      </c>
      <c r="G192" s="301" t="s">
        <v>171</v>
      </c>
      <c r="H192" s="301" t="s">
        <v>170</v>
      </c>
      <c r="I192" s="301" t="s">
        <v>775</v>
      </c>
      <c r="J192" s="301" t="s">
        <v>1218</v>
      </c>
      <c r="K192" s="133"/>
      <c r="M192" s="301" t="s">
        <v>287</v>
      </c>
      <c r="N192" s="301" t="s">
        <v>289</v>
      </c>
      <c r="O192" s="301" t="s">
        <v>288</v>
      </c>
      <c r="P192" s="133">
        <v>64</v>
      </c>
      <c r="Q192" s="133">
        <v>349</v>
      </c>
      <c r="U192" s="301" t="s">
        <v>821</v>
      </c>
    </row>
    <row r="193" spans="1:21" x14ac:dyDescent="0.3">
      <c r="A193" s="301" t="s">
        <v>230</v>
      </c>
      <c r="B193" s="301" t="s">
        <v>359</v>
      </c>
      <c r="G193" s="301" t="s">
        <v>149</v>
      </c>
      <c r="H193" s="301" t="s">
        <v>148</v>
      </c>
      <c r="I193" s="301" t="s">
        <v>1692</v>
      </c>
      <c r="J193" s="73">
        <v>40878</v>
      </c>
      <c r="K193" s="133">
        <v>56</v>
      </c>
      <c r="M193" s="301" t="s">
        <v>292</v>
      </c>
      <c r="N193" s="301" t="s">
        <v>293</v>
      </c>
      <c r="O193" s="301" t="s">
        <v>288</v>
      </c>
      <c r="P193" s="133"/>
      <c r="Q193" s="133"/>
      <c r="U193" s="301" t="s">
        <v>844</v>
      </c>
    </row>
    <row r="194" spans="1:21" x14ac:dyDescent="0.3">
      <c r="A194" s="301" t="s">
        <v>230</v>
      </c>
      <c r="B194" s="301" t="s">
        <v>171</v>
      </c>
      <c r="G194" s="301" t="s">
        <v>1555</v>
      </c>
      <c r="H194" s="301" t="s">
        <v>1124</v>
      </c>
      <c r="I194" s="301" t="s">
        <v>1692</v>
      </c>
      <c r="J194" s="73">
        <v>42401</v>
      </c>
      <c r="K194" s="133">
        <v>36</v>
      </c>
      <c r="M194" s="301" t="s">
        <v>294</v>
      </c>
      <c r="N194" s="301" t="s">
        <v>372</v>
      </c>
      <c r="O194" s="301" t="s">
        <v>288</v>
      </c>
      <c r="P194" s="133">
        <v>43</v>
      </c>
      <c r="Q194" s="133">
        <v>218</v>
      </c>
      <c r="U194" s="301" t="s">
        <v>872</v>
      </c>
    </row>
    <row r="195" spans="1:21" x14ac:dyDescent="0.3">
      <c r="A195" s="301" t="s">
        <v>230</v>
      </c>
      <c r="B195" s="301" t="s">
        <v>901</v>
      </c>
      <c r="G195" s="301" t="s">
        <v>791</v>
      </c>
      <c r="H195" s="301" t="s">
        <v>473</v>
      </c>
      <c r="I195" s="301" t="s">
        <v>775</v>
      </c>
      <c r="J195" s="73">
        <v>41091</v>
      </c>
      <c r="K195" s="133">
        <v>0</v>
      </c>
      <c r="M195" s="301" t="s">
        <v>290</v>
      </c>
      <c r="N195" s="301" t="s">
        <v>291</v>
      </c>
      <c r="O195" s="301" t="s">
        <v>288</v>
      </c>
      <c r="P195" s="133">
        <v>76</v>
      </c>
      <c r="Q195" s="133">
        <v>385</v>
      </c>
      <c r="U195" s="301" t="s">
        <v>874</v>
      </c>
    </row>
    <row r="196" spans="1:21" x14ac:dyDescent="0.3">
      <c r="A196" s="301" t="s">
        <v>230</v>
      </c>
      <c r="B196" s="301" t="s">
        <v>911</v>
      </c>
      <c r="G196" s="301" t="s">
        <v>792</v>
      </c>
      <c r="H196" s="301" t="s">
        <v>793</v>
      </c>
      <c r="I196" s="301" t="s">
        <v>775</v>
      </c>
      <c r="J196" s="301" t="s">
        <v>1218</v>
      </c>
      <c r="K196" s="133">
        <v>0</v>
      </c>
      <c r="M196" s="301" t="s">
        <v>234</v>
      </c>
      <c r="N196" s="301" t="s">
        <v>235</v>
      </c>
      <c r="O196" s="301" t="s">
        <v>230</v>
      </c>
      <c r="P196" s="133"/>
      <c r="Q196" s="133"/>
      <c r="U196" s="301" t="s">
        <v>887</v>
      </c>
    </row>
    <row r="197" spans="1:21" x14ac:dyDescent="0.3">
      <c r="A197" s="301" t="s">
        <v>230</v>
      </c>
      <c r="B197" s="301" t="s">
        <v>1196</v>
      </c>
      <c r="G197" s="301" t="s">
        <v>164</v>
      </c>
      <c r="H197" s="301" t="s">
        <v>163</v>
      </c>
      <c r="I197" s="301" t="s">
        <v>775</v>
      </c>
      <c r="J197" s="301" t="s">
        <v>1218</v>
      </c>
      <c r="K197" s="133">
        <v>0</v>
      </c>
      <c r="M197" s="301" t="s">
        <v>147</v>
      </c>
      <c r="N197" s="301" t="s">
        <v>369</v>
      </c>
      <c r="O197" s="301" t="s">
        <v>146</v>
      </c>
      <c r="P197" s="133">
        <v>38</v>
      </c>
      <c r="Q197" s="133">
        <v>208</v>
      </c>
      <c r="U197" s="301" t="s">
        <v>891</v>
      </c>
    </row>
    <row r="198" spans="1:21" x14ac:dyDescent="0.3">
      <c r="A198" s="301" t="s">
        <v>230</v>
      </c>
      <c r="B198" s="301" t="s">
        <v>1206</v>
      </c>
      <c r="G198" s="301" t="s">
        <v>551</v>
      </c>
      <c r="H198" s="301" t="s">
        <v>46</v>
      </c>
      <c r="I198" s="301" t="s">
        <v>1692</v>
      </c>
      <c r="J198" s="73">
        <v>41275</v>
      </c>
      <c r="K198" s="133">
        <v>11</v>
      </c>
      <c r="M198" s="301" t="s">
        <v>148</v>
      </c>
      <c r="N198" s="301" t="s">
        <v>149</v>
      </c>
      <c r="O198" s="301" t="s">
        <v>146</v>
      </c>
      <c r="P198" s="133">
        <v>56</v>
      </c>
      <c r="Q198" s="133">
        <v>263</v>
      </c>
      <c r="U198" s="301" t="s">
        <v>910</v>
      </c>
    </row>
    <row r="199" spans="1:21" x14ac:dyDescent="0.3">
      <c r="A199" s="301" t="s">
        <v>230</v>
      </c>
      <c r="B199" s="301" t="s">
        <v>1207</v>
      </c>
      <c r="G199" s="301" t="s">
        <v>1058</v>
      </c>
      <c r="H199" s="301" t="s">
        <v>1042</v>
      </c>
      <c r="I199" s="301" t="s">
        <v>1692</v>
      </c>
      <c r="J199" s="73">
        <v>42036</v>
      </c>
      <c r="K199" s="133">
        <v>35</v>
      </c>
      <c r="M199" s="301" t="s">
        <v>165</v>
      </c>
      <c r="N199" s="301" t="s">
        <v>167</v>
      </c>
      <c r="O199" s="301" t="s">
        <v>166</v>
      </c>
      <c r="P199" s="133">
        <v>29</v>
      </c>
      <c r="Q199" s="133">
        <v>158</v>
      </c>
      <c r="U199" s="301" t="s">
        <v>914</v>
      </c>
    </row>
    <row r="200" spans="1:21" x14ac:dyDescent="0.3">
      <c r="A200" s="301" t="s">
        <v>230</v>
      </c>
      <c r="B200" s="301" t="s">
        <v>1197</v>
      </c>
      <c r="G200" s="301" t="s">
        <v>759</v>
      </c>
      <c r="H200" s="301" t="s">
        <v>296</v>
      </c>
      <c r="I200" s="301" t="s">
        <v>1692</v>
      </c>
      <c r="J200" s="73">
        <v>41000</v>
      </c>
      <c r="K200" s="133">
        <v>38</v>
      </c>
      <c r="M200" s="301" t="s">
        <v>168</v>
      </c>
      <c r="N200" s="301" t="s">
        <v>169</v>
      </c>
      <c r="O200" s="301" t="s">
        <v>230</v>
      </c>
      <c r="P200" s="133"/>
      <c r="Q200" s="133"/>
      <c r="U200" s="301" t="s">
        <v>287</v>
      </c>
    </row>
    <row r="201" spans="1:21" x14ac:dyDescent="0.3">
      <c r="A201" s="301" t="s">
        <v>230</v>
      </c>
      <c r="B201" s="301" t="s">
        <v>1208</v>
      </c>
      <c r="G201" s="301" t="s">
        <v>534</v>
      </c>
      <c r="H201" s="301" t="s">
        <v>762</v>
      </c>
      <c r="I201" s="301" t="s">
        <v>775</v>
      </c>
      <c r="J201" s="301" t="s">
        <v>1218</v>
      </c>
      <c r="K201" s="133">
        <v>118</v>
      </c>
      <c r="M201" s="301" t="s">
        <v>170</v>
      </c>
      <c r="N201" s="301" t="s">
        <v>171</v>
      </c>
      <c r="O201" s="301" t="s">
        <v>230</v>
      </c>
      <c r="P201" s="133"/>
      <c r="Q201" s="133"/>
      <c r="U201" s="301" t="s">
        <v>292</v>
      </c>
    </row>
    <row r="202" spans="1:21" x14ac:dyDescent="0.3">
      <c r="A202" s="301" t="s">
        <v>230</v>
      </c>
      <c r="B202" s="301" t="s">
        <v>1212</v>
      </c>
      <c r="G202" s="301" t="s">
        <v>915</v>
      </c>
      <c r="H202" s="301" t="s">
        <v>908</v>
      </c>
      <c r="I202" s="301" t="s">
        <v>1692</v>
      </c>
      <c r="J202" s="73">
        <v>41747</v>
      </c>
      <c r="K202" s="133">
        <v>114</v>
      </c>
      <c r="M202" s="301" t="s">
        <v>232</v>
      </c>
      <c r="N202" s="301" t="s">
        <v>233</v>
      </c>
      <c r="O202" s="301" t="s">
        <v>230</v>
      </c>
      <c r="P202" s="133"/>
      <c r="Q202" s="133"/>
      <c r="U202" s="301" t="s">
        <v>294</v>
      </c>
    </row>
    <row r="203" spans="1:21" x14ac:dyDescent="0.3">
      <c r="A203" s="301" t="s">
        <v>230</v>
      </c>
      <c r="B203" s="301" t="s">
        <v>1190</v>
      </c>
      <c r="G203" s="301" t="s">
        <v>1212</v>
      </c>
      <c r="H203" s="301" t="s">
        <v>1177</v>
      </c>
      <c r="I203" s="301" t="s">
        <v>775</v>
      </c>
      <c r="J203" s="301" t="s">
        <v>1218</v>
      </c>
      <c r="K203" s="133"/>
      <c r="M203" s="301" t="s">
        <v>296</v>
      </c>
      <c r="N203" s="301" t="s">
        <v>759</v>
      </c>
      <c r="O203" s="301" t="s">
        <v>297</v>
      </c>
      <c r="P203" s="133">
        <v>38</v>
      </c>
      <c r="Q203" s="133">
        <v>159</v>
      </c>
      <c r="U203" s="301" t="s">
        <v>290</v>
      </c>
    </row>
    <row r="204" spans="1:21" x14ac:dyDescent="0.3">
      <c r="A204" s="301" t="s">
        <v>230</v>
      </c>
      <c r="B204" s="301" t="s">
        <v>1191</v>
      </c>
      <c r="G204" s="301" t="s">
        <v>1511</v>
      </c>
      <c r="H204" s="301" t="s">
        <v>1535</v>
      </c>
      <c r="I204" s="301" t="s">
        <v>775</v>
      </c>
      <c r="J204" s="73">
        <v>42962</v>
      </c>
      <c r="K204" s="133">
        <v>245</v>
      </c>
      <c r="M204" s="301" t="s">
        <v>380</v>
      </c>
      <c r="N204" s="301" t="s">
        <v>370</v>
      </c>
      <c r="O204" s="301" t="s">
        <v>146</v>
      </c>
      <c r="P204" s="133"/>
      <c r="Q204" s="133"/>
      <c r="U204" s="301" t="s">
        <v>234</v>
      </c>
    </row>
    <row r="205" spans="1:21" x14ac:dyDescent="0.3">
      <c r="A205" s="301" t="s">
        <v>230</v>
      </c>
      <c r="B205" s="301" t="s">
        <v>1192</v>
      </c>
      <c r="G205" s="301" t="s">
        <v>1687</v>
      </c>
      <c r="H205" s="301" t="s">
        <v>1616</v>
      </c>
      <c r="I205" s="301" t="s">
        <v>1692</v>
      </c>
      <c r="J205" s="73">
        <v>43212</v>
      </c>
      <c r="K205" s="133">
        <v>112</v>
      </c>
      <c r="M205" s="301" t="s">
        <v>381</v>
      </c>
      <c r="N205" s="301" t="s">
        <v>367</v>
      </c>
      <c r="O205" s="301" t="s">
        <v>146</v>
      </c>
      <c r="P205" s="133">
        <v>53</v>
      </c>
      <c r="Q205" s="133">
        <v>261</v>
      </c>
      <c r="U205" s="301" t="s">
        <v>147</v>
      </c>
    </row>
    <row r="206" spans="1:21" x14ac:dyDescent="0.3">
      <c r="A206" s="301" t="s">
        <v>230</v>
      </c>
      <c r="B206" s="301" t="s">
        <v>1193</v>
      </c>
      <c r="G206" s="301" t="s">
        <v>1187</v>
      </c>
      <c r="H206" s="301" t="s">
        <v>1169</v>
      </c>
      <c r="I206" s="301" t="s">
        <v>775</v>
      </c>
      <c r="J206" s="301" t="s">
        <v>1218</v>
      </c>
      <c r="K206" s="133"/>
      <c r="M206" s="301" t="s">
        <v>382</v>
      </c>
      <c r="N206" s="301" t="s">
        <v>368</v>
      </c>
      <c r="O206" s="301" t="s">
        <v>146</v>
      </c>
      <c r="P206" s="133">
        <v>28</v>
      </c>
      <c r="Q206" s="133">
        <v>135</v>
      </c>
      <c r="U206" s="301" t="s">
        <v>148</v>
      </c>
    </row>
    <row r="207" spans="1:21" x14ac:dyDescent="0.3">
      <c r="A207" s="301" t="s">
        <v>230</v>
      </c>
      <c r="B207" s="301" t="s">
        <v>1194</v>
      </c>
      <c r="G207" s="301" t="s">
        <v>1188</v>
      </c>
      <c r="H207" s="301" t="s">
        <v>1170</v>
      </c>
      <c r="I207" s="301" t="s">
        <v>775</v>
      </c>
      <c r="J207" s="301" t="s">
        <v>1218</v>
      </c>
      <c r="K207" s="133"/>
      <c r="M207" s="301" t="s">
        <v>383</v>
      </c>
      <c r="N207" s="301" t="s">
        <v>1589</v>
      </c>
      <c r="O207" s="301" t="s">
        <v>146</v>
      </c>
      <c r="P207" s="133">
        <v>76</v>
      </c>
      <c r="Q207" s="133">
        <v>344</v>
      </c>
      <c r="U207" s="301" t="s">
        <v>165</v>
      </c>
    </row>
    <row r="208" spans="1:21" x14ac:dyDescent="0.3">
      <c r="A208" s="301" t="s">
        <v>230</v>
      </c>
      <c r="B208" s="301" t="s">
        <v>716</v>
      </c>
      <c r="G208" s="301" t="s">
        <v>1186</v>
      </c>
      <c r="H208" s="301" t="s">
        <v>1168</v>
      </c>
      <c r="I208" s="301" t="s">
        <v>775</v>
      </c>
      <c r="J208" s="301" t="s">
        <v>1218</v>
      </c>
      <c r="K208" s="133">
        <v>13</v>
      </c>
      <c r="M208" s="301" t="s">
        <v>384</v>
      </c>
      <c r="N208" s="301" t="s">
        <v>365</v>
      </c>
      <c r="O208" s="301" t="s">
        <v>146</v>
      </c>
      <c r="P208" s="133">
        <v>0</v>
      </c>
      <c r="Q208" s="133">
        <v>0</v>
      </c>
      <c r="U208" s="301" t="s">
        <v>168</v>
      </c>
    </row>
    <row r="209" spans="1:21" x14ac:dyDescent="0.3">
      <c r="A209" s="301" t="s">
        <v>237</v>
      </c>
      <c r="B209" s="301" t="s">
        <v>252</v>
      </c>
      <c r="G209" s="301" t="s">
        <v>270</v>
      </c>
      <c r="H209" s="301" t="s">
        <v>269</v>
      </c>
      <c r="I209" s="301" t="s">
        <v>1692</v>
      </c>
      <c r="J209" s="73">
        <v>40909</v>
      </c>
      <c r="K209" s="133">
        <v>60</v>
      </c>
      <c r="M209" s="301" t="s">
        <v>385</v>
      </c>
      <c r="N209" s="301" t="s">
        <v>371</v>
      </c>
      <c r="O209" s="301" t="s">
        <v>146</v>
      </c>
      <c r="P209" s="133">
        <v>205</v>
      </c>
      <c r="Q209" s="133">
        <v>1053</v>
      </c>
      <c r="U209" s="301" t="s">
        <v>170</v>
      </c>
    </row>
    <row r="210" spans="1:21" x14ac:dyDescent="0.3">
      <c r="A210" s="301" t="s">
        <v>237</v>
      </c>
      <c r="B210" s="301" t="s">
        <v>254</v>
      </c>
      <c r="G210" s="301" t="s">
        <v>20</v>
      </c>
      <c r="H210" s="301" t="s">
        <v>19</v>
      </c>
      <c r="I210" s="301" t="s">
        <v>775</v>
      </c>
      <c r="J210" s="73">
        <v>40848</v>
      </c>
      <c r="K210" s="133">
        <v>17</v>
      </c>
      <c r="M210" s="301" t="s">
        <v>386</v>
      </c>
      <c r="N210" s="301" t="s">
        <v>231</v>
      </c>
      <c r="O210" s="301" t="s">
        <v>230</v>
      </c>
      <c r="P210" s="133">
        <v>32</v>
      </c>
      <c r="Q210" s="133">
        <v>187</v>
      </c>
      <c r="U210" s="301" t="s">
        <v>232</v>
      </c>
    </row>
    <row r="211" spans="1:21" x14ac:dyDescent="0.3">
      <c r="A211" s="301" t="s">
        <v>237</v>
      </c>
      <c r="B211" s="301" t="s">
        <v>256</v>
      </c>
      <c r="G211" s="301" t="s">
        <v>108</v>
      </c>
      <c r="H211" s="301" t="s">
        <v>107</v>
      </c>
      <c r="I211" s="301" t="s">
        <v>1692</v>
      </c>
      <c r="J211" s="73">
        <v>41487</v>
      </c>
      <c r="K211" s="133">
        <v>47</v>
      </c>
      <c r="M211" s="301" t="s">
        <v>387</v>
      </c>
      <c r="N211" s="301" t="s">
        <v>373</v>
      </c>
      <c r="O211" s="301" t="s">
        <v>288</v>
      </c>
      <c r="P211" s="133">
        <v>0</v>
      </c>
      <c r="Q211" s="133">
        <v>0</v>
      </c>
      <c r="U211" s="301" t="s">
        <v>296</v>
      </c>
    </row>
    <row r="212" spans="1:21" x14ac:dyDescent="0.3">
      <c r="A212" s="301" t="s">
        <v>237</v>
      </c>
      <c r="B212" s="301" t="s">
        <v>303</v>
      </c>
      <c r="G212" s="301" t="s">
        <v>183</v>
      </c>
      <c r="H212" s="301" t="s">
        <v>182</v>
      </c>
      <c r="I212" s="301" t="s">
        <v>775</v>
      </c>
      <c r="J212" s="73">
        <v>40969</v>
      </c>
      <c r="K212" s="133">
        <v>0</v>
      </c>
      <c r="M212" s="301" t="s">
        <v>771</v>
      </c>
      <c r="N212" s="301" t="s">
        <v>359</v>
      </c>
      <c r="O212" s="301" t="s">
        <v>230</v>
      </c>
      <c r="P212" s="133">
        <v>9</v>
      </c>
      <c r="Q212" s="133">
        <v>44</v>
      </c>
      <c r="U212" s="301" t="s">
        <v>380</v>
      </c>
    </row>
    <row r="213" spans="1:21" x14ac:dyDescent="0.3">
      <c r="A213" s="301" t="s">
        <v>237</v>
      </c>
      <c r="B213" s="301" t="s">
        <v>240</v>
      </c>
      <c r="G213" s="301" t="s">
        <v>535</v>
      </c>
      <c r="H213" s="301" t="s">
        <v>772</v>
      </c>
      <c r="I213" s="301" t="s">
        <v>775</v>
      </c>
      <c r="J213" s="73">
        <v>41365</v>
      </c>
      <c r="K213" s="133">
        <v>67</v>
      </c>
      <c r="M213" s="301" t="s">
        <v>772</v>
      </c>
      <c r="N213" s="301" t="s">
        <v>535</v>
      </c>
      <c r="O213" s="301" t="s">
        <v>719</v>
      </c>
      <c r="P213" s="133">
        <v>67</v>
      </c>
      <c r="Q213" s="133">
        <v>392</v>
      </c>
      <c r="U213" s="301" t="s">
        <v>381</v>
      </c>
    </row>
    <row r="214" spans="1:21" x14ac:dyDescent="0.3">
      <c r="A214" s="301" t="s">
        <v>237</v>
      </c>
      <c r="B214" s="301" t="s">
        <v>284</v>
      </c>
      <c r="G214" s="301" t="s">
        <v>178</v>
      </c>
      <c r="H214" s="301" t="s">
        <v>177</v>
      </c>
      <c r="I214" s="301" t="s">
        <v>1692</v>
      </c>
      <c r="J214" s="73">
        <v>40969</v>
      </c>
      <c r="K214" s="133">
        <v>10</v>
      </c>
      <c r="M214" s="301" t="s">
        <v>761</v>
      </c>
      <c r="N214" s="301" t="s">
        <v>760</v>
      </c>
      <c r="O214" s="301" t="s">
        <v>166</v>
      </c>
      <c r="P214" s="133">
        <v>30</v>
      </c>
      <c r="Q214" s="133">
        <v>155</v>
      </c>
      <c r="U214" s="301" t="s">
        <v>382</v>
      </c>
    </row>
    <row r="215" spans="1:21" x14ac:dyDescent="0.3">
      <c r="A215" s="301" t="s">
        <v>237</v>
      </c>
      <c r="B215" s="301" t="s">
        <v>258</v>
      </c>
      <c r="G215" s="301" t="s">
        <v>815</v>
      </c>
      <c r="H215" s="301" t="s">
        <v>816</v>
      </c>
      <c r="I215" s="301" t="s">
        <v>775</v>
      </c>
      <c r="J215" s="73">
        <v>41487</v>
      </c>
      <c r="K215" s="133">
        <v>0</v>
      </c>
      <c r="M215" s="301" t="s">
        <v>762</v>
      </c>
      <c r="N215" s="301" t="s">
        <v>534</v>
      </c>
      <c r="O215" s="301" t="s">
        <v>297</v>
      </c>
      <c r="P215" s="133">
        <v>118</v>
      </c>
      <c r="Q215" s="133">
        <v>520</v>
      </c>
      <c r="U215" s="301" t="s">
        <v>383</v>
      </c>
    </row>
    <row r="216" spans="1:21" x14ac:dyDescent="0.3">
      <c r="A216" s="301" t="s">
        <v>237</v>
      </c>
      <c r="B216" s="301" t="s">
        <v>260</v>
      </c>
      <c r="G216" s="301" t="s">
        <v>342</v>
      </c>
      <c r="H216" s="301" t="s">
        <v>341</v>
      </c>
      <c r="I216" s="301" t="s">
        <v>1692</v>
      </c>
      <c r="J216" s="73">
        <v>41030</v>
      </c>
      <c r="K216" s="133">
        <v>19</v>
      </c>
      <c r="M216" s="301" t="s">
        <v>838</v>
      </c>
      <c r="N216" s="301" t="s">
        <v>837</v>
      </c>
      <c r="O216" s="301" t="s">
        <v>146</v>
      </c>
      <c r="P216" s="133">
        <v>0</v>
      </c>
      <c r="Q216" s="133">
        <v>0</v>
      </c>
      <c r="U216" s="301" t="s">
        <v>384</v>
      </c>
    </row>
    <row r="217" spans="1:21" x14ac:dyDescent="0.3">
      <c r="A217" s="301" t="s">
        <v>237</v>
      </c>
      <c r="B217" s="301" t="s">
        <v>262</v>
      </c>
      <c r="G217" s="301" t="s">
        <v>286</v>
      </c>
      <c r="H217" s="301" t="s">
        <v>285</v>
      </c>
      <c r="I217" s="301" t="s">
        <v>1692</v>
      </c>
      <c r="J217" s="73">
        <v>40940</v>
      </c>
      <c r="K217" s="133">
        <v>26</v>
      </c>
      <c r="M217" s="301" t="s">
        <v>839</v>
      </c>
      <c r="N217" s="301" t="s">
        <v>1727</v>
      </c>
      <c r="O217" s="301" t="s">
        <v>146</v>
      </c>
      <c r="P217" s="133">
        <v>86</v>
      </c>
      <c r="Q217" s="133">
        <v>525</v>
      </c>
      <c r="U217" s="301" t="s">
        <v>385</v>
      </c>
    </row>
    <row r="218" spans="1:21" x14ac:dyDescent="0.3">
      <c r="A218" s="301" t="s">
        <v>237</v>
      </c>
      <c r="B218" s="301" t="s">
        <v>264</v>
      </c>
      <c r="G218" s="301" t="s">
        <v>1032</v>
      </c>
      <c r="H218" s="301" t="s">
        <v>358</v>
      </c>
      <c r="I218" s="301" t="s">
        <v>775</v>
      </c>
      <c r="J218" s="301" t="s">
        <v>1218</v>
      </c>
      <c r="K218" s="133"/>
      <c r="M218" s="301" t="s">
        <v>844</v>
      </c>
      <c r="N218" s="301" t="s">
        <v>845</v>
      </c>
      <c r="O218" s="301" t="s">
        <v>151</v>
      </c>
      <c r="P218" s="133">
        <v>156</v>
      </c>
      <c r="Q218" s="133">
        <v>694</v>
      </c>
      <c r="U218" s="301" t="s">
        <v>386</v>
      </c>
    </row>
    <row r="219" spans="1:21" x14ac:dyDescent="0.3">
      <c r="A219" s="301" t="s">
        <v>237</v>
      </c>
      <c r="B219" s="301" t="s">
        <v>266</v>
      </c>
      <c r="G219" s="301" t="s">
        <v>1064</v>
      </c>
      <c r="H219" s="301" t="s">
        <v>1065</v>
      </c>
      <c r="I219" s="301" t="s">
        <v>1692</v>
      </c>
      <c r="J219" s="73">
        <v>42036</v>
      </c>
      <c r="K219" s="133">
        <v>111</v>
      </c>
      <c r="M219" s="301" t="s">
        <v>872</v>
      </c>
      <c r="N219" s="301" t="s">
        <v>875</v>
      </c>
      <c r="O219" s="301" t="s">
        <v>5</v>
      </c>
      <c r="P219" s="133"/>
      <c r="Q219" s="133"/>
      <c r="U219" s="301" t="s">
        <v>387</v>
      </c>
    </row>
    <row r="220" spans="1:21" x14ac:dyDescent="0.3">
      <c r="A220" s="301" t="s">
        <v>237</v>
      </c>
      <c r="B220" s="301" t="s">
        <v>270</v>
      </c>
      <c r="G220" s="301" t="s">
        <v>1080</v>
      </c>
      <c r="H220" s="301" t="s">
        <v>1081</v>
      </c>
      <c r="I220" s="301" t="s">
        <v>1692</v>
      </c>
      <c r="J220" s="73">
        <v>42036</v>
      </c>
      <c r="K220" s="133">
        <v>105</v>
      </c>
      <c r="M220" s="301" t="s">
        <v>874</v>
      </c>
      <c r="N220" s="301" t="s">
        <v>873</v>
      </c>
      <c r="O220" s="301" t="s">
        <v>27</v>
      </c>
      <c r="P220" s="133">
        <v>32</v>
      </c>
      <c r="Q220" s="133">
        <v>167</v>
      </c>
      <c r="U220" s="301" t="s">
        <v>771</v>
      </c>
    </row>
    <row r="221" spans="1:21" x14ac:dyDescent="0.3">
      <c r="A221" s="301" t="s">
        <v>237</v>
      </c>
      <c r="B221" s="301" t="s">
        <v>268</v>
      </c>
      <c r="G221" s="301" t="s">
        <v>110</v>
      </c>
      <c r="H221" s="301" t="s">
        <v>109</v>
      </c>
      <c r="I221" s="301" t="s">
        <v>775</v>
      </c>
      <c r="J221" s="73">
        <v>41122</v>
      </c>
      <c r="K221" s="133">
        <v>0</v>
      </c>
      <c r="M221" s="301" t="s">
        <v>887</v>
      </c>
      <c r="N221" s="301" t="s">
        <v>886</v>
      </c>
      <c r="O221" s="301" t="s">
        <v>151</v>
      </c>
      <c r="P221" s="133"/>
      <c r="Q221" s="133"/>
      <c r="U221" s="301" t="s">
        <v>772</v>
      </c>
    </row>
    <row r="222" spans="1:21" x14ac:dyDescent="0.3">
      <c r="A222" s="301" t="s">
        <v>237</v>
      </c>
      <c r="B222" s="301" t="s">
        <v>272</v>
      </c>
      <c r="G222" s="301" t="s">
        <v>112</v>
      </c>
      <c r="H222" s="301" t="s">
        <v>111</v>
      </c>
      <c r="I222" s="301" t="s">
        <v>775</v>
      </c>
      <c r="J222" s="301" t="s">
        <v>1218</v>
      </c>
      <c r="K222" s="133">
        <v>0</v>
      </c>
      <c r="M222" s="301" t="s">
        <v>891</v>
      </c>
      <c r="N222" s="301" t="s">
        <v>1885</v>
      </c>
      <c r="O222" s="301" t="s">
        <v>299</v>
      </c>
      <c r="P222" s="133">
        <v>10</v>
      </c>
      <c r="Q222" s="133">
        <v>56</v>
      </c>
      <c r="U222" s="301" t="s">
        <v>761</v>
      </c>
    </row>
    <row r="223" spans="1:21" x14ac:dyDescent="0.3">
      <c r="A223" s="301" t="s">
        <v>237</v>
      </c>
      <c r="B223" s="301" t="s">
        <v>276</v>
      </c>
      <c r="G223" s="301" t="s">
        <v>215</v>
      </c>
      <c r="H223" s="301" t="s">
        <v>214</v>
      </c>
      <c r="I223" s="301" t="s">
        <v>1692</v>
      </c>
      <c r="J223" s="73">
        <v>41000</v>
      </c>
      <c r="K223" s="133">
        <v>354</v>
      </c>
      <c r="M223" s="301" t="s">
        <v>902</v>
      </c>
      <c r="N223" s="301" t="s">
        <v>901</v>
      </c>
      <c r="O223" s="301" t="s">
        <v>230</v>
      </c>
      <c r="P223" s="133">
        <v>40</v>
      </c>
      <c r="Q223" s="133">
        <v>180</v>
      </c>
      <c r="U223" s="301" t="s">
        <v>762</v>
      </c>
    </row>
    <row r="224" spans="1:21" x14ac:dyDescent="0.3">
      <c r="A224" s="301" t="s">
        <v>237</v>
      </c>
      <c r="B224" s="301" t="s">
        <v>278</v>
      </c>
      <c r="G224" s="301" t="s">
        <v>217</v>
      </c>
      <c r="H224" s="301" t="s">
        <v>216</v>
      </c>
      <c r="I224" s="301" t="s">
        <v>775</v>
      </c>
      <c r="J224" s="73">
        <v>40817</v>
      </c>
      <c r="K224" s="133"/>
      <c r="M224" s="301" t="s">
        <v>904</v>
      </c>
      <c r="N224" s="301" t="s">
        <v>903</v>
      </c>
      <c r="O224" s="301" t="s">
        <v>288</v>
      </c>
      <c r="P224" s="133">
        <v>36</v>
      </c>
      <c r="Q224" s="133">
        <v>193</v>
      </c>
      <c r="U224" s="301" t="s">
        <v>838</v>
      </c>
    </row>
    <row r="225" spans="1:21" x14ac:dyDescent="0.3">
      <c r="A225" s="301" t="s">
        <v>237</v>
      </c>
      <c r="B225" s="301" t="s">
        <v>280</v>
      </c>
      <c r="G225" s="301" t="s">
        <v>268</v>
      </c>
      <c r="H225" s="301" t="s">
        <v>267</v>
      </c>
      <c r="I225" s="301" t="s">
        <v>1692</v>
      </c>
      <c r="J225" s="73">
        <v>40695</v>
      </c>
      <c r="K225" s="133">
        <v>67</v>
      </c>
      <c r="M225" s="301" t="s">
        <v>908</v>
      </c>
      <c r="N225" s="301" t="s">
        <v>915</v>
      </c>
      <c r="O225" s="301" t="s">
        <v>288</v>
      </c>
      <c r="P225" s="133">
        <v>114</v>
      </c>
      <c r="Q225" s="133">
        <v>545</v>
      </c>
      <c r="U225" s="301" t="s">
        <v>839</v>
      </c>
    </row>
    <row r="226" spans="1:21" x14ac:dyDescent="0.3">
      <c r="A226" s="301" t="s">
        <v>237</v>
      </c>
      <c r="B226" s="301" t="s">
        <v>238</v>
      </c>
      <c r="G226" s="301" t="s">
        <v>229</v>
      </c>
      <c r="H226" s="301" t="s">
        <v>228</v>
      </c>
      <c r="I226" s="301" t="s">
        <v>1692</v>
      </c>
      <c r="J226" s="73">
        <v>41122</v>
      </c>
      <c r="K226" s="133">
        <v>49</v>
      </c>
      <c r="M226" s="301" t="s">
        <v>910</v>
      </c>
      <c r="N226" s="301" t="s">
        <v>909</v>
      </c>
      <c r="O226" s="301" t="s">
        <v>151</v>
      </c>
      <c r="P226" s="133">
        <v>138</v>
      </c>
      <c r="Q226" s="133">
        <v>732</v>
      </c>
      <c r="U226" s="301" t="s">
        <v>902</v>
      </c>
    </row>
    <row r="227" spans="1:21" x14ac:dyDescent="0.3">
      <c r="A227" s="301" t="s">
        <v>237</v>
      </c>
      <c r="B227" s="301" t="s">
        <v>248</v>
      </c>
      <c r="G227" s="301" t="s">
        <v>272</v>
      </c>
      <c r="H227" s="301" t="s">
        <v>271</v>
      </c>
      <c r="I227" s="301" t="s">
        <v>1692</v>
      </c>
      <c r="J227" s="73">
        <v>41244</v>
      </c>
      <c r="K227" s="133">
        <v>149</v>
      </c>
      <c r="M227" s="301" t="s">
        <v>912</v>
      </c>
      <c r="N227" s="301" t="s">
        <v>911</v>
      </c>
      <c r="O227" s="301" t="s">
        <v>230</v>
      </c>
      <c r="P227" s="133">
        <v>17</v>
      </c>
      <c r="Q227" s="133">
        <v>80</v>
      </c>
      <c r="U227" s="301" t="s">
        <v>904</v>
      </c>
    </row>
    <row r="228" spans="1:21" x14ac:dyDescent="0.3">
      <c r="A228" s="301" t="s">
        <v>237</v>
      </c>
      <c r="B228" s="301" t="s">
        <v>250</v>
      </c>
      <c r="G228" s="301" t="s">
        <v>1683</v>
      </c>
      <c r="H228" s="301" t="s">
        <v>1682</v>
      </c>
      <c r="I228" s="301" t="s">
        <v>1692</v>
      </c>
      <c r="J228" s="73">
        <v>43252</v>
      </c>
      <c r="K228" s="133">
        <v>255</v>
      </c>
      <c r="M228" s="301" t="s">
        <v>914</v>
      </c>
      <c r="N228" s="301" t="s">
        <v>913</v>
      </c>
      <c r="O228" s="301" t="s">
        <v>480</v>
      </c>
      <c r="P228" s="133">
        <v>107</v>
      </c>
      <c r="Q228" s="133">
        <v>519</v>
      </c>
      <c r="U228" s="301" t="s">
        <v>908</v>
      </c>
    </row>
    <row r="229" spans="1:21" x14ac:dyDescent="0.3">
      <c r="A229" s="301" t="s">
        <v>237</v>
      </c>
      <c r="B229" s="301" t="s">
        <v>274</v>
      </c>
      <c r="G229" s="301" t="s">
        <v>219</v>
      </c>
      <c r="H229" s="301" t="s">
        <v>218</v>
      </c>
      <c r="I229" s="301" t="s">
        <v>1692</v>
      </c>
      <c r="J229" s="73">
        <v>41000</v>
      </c>
      <c r="K229" s="133">
        <v>632</v>
      </c>
      <c r="M229" s="301" t="s">
        <v>937</v>
      </c>
      <c r="N229" s="301" t="s">
        <v>936</v>
      </c>
      <c r="O229" s="301" t="s">
        <v>151</v>
      </c>
      <c r="P229" s="133">
        <v>156</v>
      </c>
      <c r="Q229" s="133">
        <v>650</v>
      </c>
      <c r="U229" s="301" t="s">
        <v>912</v>
      </c>
    </row>
    <row r="230" spans="1:21" x14ac:dyDescent="0.3">
      <c r="A230" s="301" t="s">
        <v>237</v>
      </c>
      <c r="B230" s="301" t="s">
        <v>282</v>
      </c>
      <c r="G230" s="301" t="s">
        <v>1028</v>
      </c>
      <c r="H230" s="301" t="s">
        <v>343</v>
      </c>
      <c r="I230" s="301" t="s">
        <v>1692</v>
      </c>
      <c r="J230" s="73">
        <v>40725</v>
      </c>
      <c r="K230" s="133">
        <v>185</v>
      </c>
      <c r="M230" s="301" t="s">
        <v>940</v>
      </c>
      <c r="N230" s="301" t="s">
        <v>941</v>
      </c>
      <c r="O230" s="301" t="s">
        <v>146</v>
      </c>
      <c r="P230" s="133">
        <v>19</v>
      </c>
      <c r="Q230" s="133">
        <v>89</v>
      </c>
      <c r="U230" s="301" t="s">
        <v>937</v>
      </c>
    </row>
    <row r="231" spans="1:21" x14ac:dyDescent="0.3">
      <c r="A231" s="301" t="s">
        <v>237</v>
      </c>
      <c r="B231" s="301" t="s">
        <v>1029</v>
      </c>
      <c r="G231" s="301" t="s">
        <v>1523</v>
      </c>
      <c r="H231" s="301" t="s">
        <v>1539</v>
      </c>
      <c r="I231" s="301" t="s">
        <v>1692</v>
      </c>
      <c r="J231" s="73">
        <v>42370</v>
      </c>
      <c r="K231" s="133">
        <v>36</v>
      </c>
      <c r="M231" s="301" t="s">
        <v>955</v>
      </c>
      <c r="N231" s="301" t="s">
        <v>954</v>
      </c>
      <c r="O231" s="301" t="s">
        <v>480</v>
      </c>
      <c r="P231" s="133"/>
      <c r="Q231" s="133"/>
      <c r="U231" s="301" t="s">
        <v>940</v>
      </c>
    </row>
    <row r="232" spans="1:21" x14ac:dyDescent="0.3">
      <c r="A232" s="301" t="s">
        <v>237</v>
      </c>
      <c r="B232" s="301" t="s">
        <v>1503</v>
      </c>
      <c r="G232" s="301" t="s">
        <v>1135</v>
      </c>
      <c r="H232" s="301" t="s">
        <v>1120</v>
      </c>
      <c r="I232" s="301" t="s">
        <v>1692</v>
      </c>
      <c r="J232" s="73">
        <v>42370</v>
      </c>
      <c r="K232" s="133">
        <v>6</v>
      </c>
      <c r="M232" s="301" t="s">
        <v>984</v>
      </c>
      <c r="N232" s="301" t="s">
        <v>1886</v>
      </c>
      <c r="O232" s="301" t="s">
        <v>180</v>
      </c>
      <c r="P232" s="133">
        <v>27</v>
      </c>
      <c r="Q232" s="133">
        <v>126</v>
      </c>
      <c r="U232" s="301" t="s">
        <v>955</v>
      </c>
    </row>
    <row r="233" spans="1:21" x14ac:dyDescent="0.3">
      <c r="A233" s="301" t="s">
        <v>237</v>
      </c>
      <c r="B233" s="301" t="s">
        <v>1506</v>
      </c>
      <c r="G233" s="301" t="s">
        <v>790</v>
      </c>
      <c r="H233" s="301" t="s">
        <v>789</v>
      </c>
      <c r="I233" s="301" t="s">
        <v>1692</v>
      </c>
      <c r="J233" s="73">
        <v>41091</v>
      </c>
      <c r="K233" s="133">
        <v>57</v>
      </c>
      <c r="M233" s="301" t="s">
        <v>985</v>
      </c>
      <c r="N233" s="301" t="s">
        <v>1887</v>
      </c>
      <c r="O233" s="301" t="s">
        <v>180</v>
      </c>
      <c r="P233" s="133">
        <v>15</v>
      </c>
      <c r="Q233" s="133">
        <v>71</v>
      </c>
      <c r="U233" s="301" t="s">
        <v>984</v>
      </c>
    </row>
    <row r="234" spans="1:21" x14ac:dyDescent="0.3">
      <c r="A234" s="301" t="s">
        <v>237</v>
      </c>
      <c r="B234" s="301" t="s">
        <v>1520</v>
      </c>
      <c r="G234" s="301" t="s">
        <v>2102</v>
      </c>
      <c r="H234" s="301" t="s">
        <v>2098</v>
      </c>
      <c r="I234" s="301" t="s">
        <v>1692</v>
      </c>
      <c r="J234" s="73">
        <v>43220</v>
      </c>
      <c r="K234" s="133">
        <v>361</v>
      </c>
      <c r="M234" s="301" t="s">
        <v>1042</v>
      </c>
      <c r="N234" s="301" t="s">
        <v>1058</v>
      </c>
      <c r="O234" s="301" t="s">
        <v>719</v>
      </c>
      <c r="P234" s="133">
        <v>35</v>
      </c>
      <c r="Q234" s="133">
        <v>183</v>
      </c>
      <c r="U234" s="301" t="s">
        <v>985</v>
      </c>
    </row>
    <row r="235" spans="1:21" x14ac:dyDescent="0.3">
      <c r="A235" s="301" t="s">
        <v>237</v>
      </c>
      <c r="B235" s="301" t="s">
        <v>1634</v>
      </c>
      <c r="G235" s="301" t="s">
        <v>114</v>
      </c>
      <c r="H235" s="301" t="s">
        <v>113</v>
      </c>
      <c r="I235" s="301" t="s">
        <v>775</v>
      </c>
      <c r="J235" s="301" t="s">
        <v>1218</v>
      </c>
      <c r="K235" s="133">
        <v>0</v>
      </c>
      <c r="M235" s="301" t="s">
        <v>1043</v>
      </c>
      <c r="N235" s="301" t="s">
        <v>1044</v>
      </c>
      <c r="O235" s="301" t="s">
        <v>299</v>
      </c>
      <c r="P235" s="133">
        <v>61</v>
      </c>
      <c r="Q235" s="133">
        <v>281</v>
      </c>
      <c r="U235" s="301" t="s">
        <v>1042</v>
      </c>
    </row>
    <row r="236" spans="1:21" x14ac:dyDescent="0.3">
      <c r="A236" s="301" t="s">
        <v>237</v>
      </c>
      <c r="B236" s="301" t="s">
        <v>1660</v>
      </c>
      <c r="G236" s="301" t="s">
        <v>364</v>
      </c>
      <c r="H236" s="301" t="s">
        <v>374</v>
      </c>
      <c r="I236" s="301" t="s">
        <v>1692</v>
      </c>
      <c r="J236" s="73">
        <v>41275</v>
      </c>
      <c r="K236" s="133">
        <v>147</v>
      </c>
      <c r="M236" s="301" t="s">
        <v>1053</v>
      </c>
      <c r="N236" s="301" t="s">
        <v>1061</v>
      </c>
      <c r="O236" s="301" t="s">
        <v>173</v>
      </c>
      <c r="P236" s="133"/>
      <c r="Q236" s="133"/>
      <c r="U236" s="301" t="s">
        <v>1043</v>
      </c>
    </row>
    <row r="237" spans="1:21" x14ac:dyDescent="0.3">
      <c r="A237" s="301" t="s">
        <v>237</v>
      </c>
      <c r="B237" s="301" t="s">
        <v>1683</v>
      </c>
      <c r="G237" s="301" t="s">
        <v>221</v>
      </c>
      <c r="H237" s="301" t="s">
        <v>220</v>
      </c>
      <c r="I237" s="301" t="s">
        <v>775</v>
      </c>
      <c r="J237" s="301" t="s">
        <v>1218</v>
      </c>
      <c r="K237" s="133"/>
      <c r="M237" s="301" t="s">
        <v>1054</v>
      </c>
      <c r="N237" s="301" t="s">
        <v>1060</v>
      </c>
      <c r="O237" s="301" t="s">
        <v>173</v>
      </c>
      <c r="P237" s="133">
        <v>27</v>
      </c>
      <c r="Q237" s="133">
        <v>135</v>
      </c>
      <c r="U237" s="301" t="s">
        <v>1053</v>
      </c>
    </row>
    <row r="238" spans="1:21" x14ac:dyDescent="0.3">
      <c r="A238" s="301" t="s">
        <v>237</v>
      </c>
      <c r="B238" s="301" t="s">
        <v>1688</v>
      </c>
      <c r="G238" s="301" t="s">
        <v>353</v>
      </c>
      <c r="H238" s="301" t="s">
        <v>352</v>
      </c>
      <c r="I238" s="301" t="s">
        <v>1692</v>
      </c>
      <c r="J238" s="73">
        <v>40848</v>
      </c>
      <c r="K238" s="133">
        <v>79</v>
      </c>
      <c r="M238" s="301" t="s">
        <v>1055</v>
      </c>
      <c r="N238" s="301" t="s">
        <v>1052</v>
      </c>
      <c r="O238" s="301" t="s">
        <v>173</v>
      </c>
      <c r="P238" s="133">
        <v>6</v>
      </c>
      <c r="Q238" s="133">
        <v>31</v>
      </c>
      <c r="U238" s="301" t="s">
        <v>1054</v>
      </c>
    </row>
    <row r="239" spans="1:21" x14ac:dyDescent="0.3">
      <c r="A239" s="301" t="s">
        <v>237</v>
      </c>
      <c r="B239" s="301" t="s">
        <v>1712</v>
      </c>
      <c r="G239" s="301" t="s">
        <v>317</v>
      </c>
      <c r="H239" s="301" t="s">
        <v>316</v>
      </c>
      <c r="I239" s="301" t="s">
        <v>1692</v>
      </c>
      <c r="J239" s="73">
        <v>40725</v>
      </c>
      <c r="K239" s="133">
        <v>115</v>
      </c>
      <c r="M239" s="301" t="s">
        <v>1065</v>
      </c>
      <c r="N239" s="301" t="s">
        <v>1064</v>
      </c>
      <c r="O239" s="301" t="s">
        <v>746</v>
      </c>
      <c r="P239" s="133">
        <v>111</v>
      </c>
      <c r="Q239" s="133">
        <v>564</v>
      </c>
      <c r="U239" s="301" t="s">
        <v>1055</v>
      </c>
    </row>
    <row r="240" spans="1:21" x14ac:dyDescent="0.3">
      <c r="A240" s="301" t="s">
        <v>288</v>
      </c>
      <c r="B240" s="301" t="s">
        <v>291</v>
      </c>
      <c r="G240" s="301" t="s">
        <v>340</v>
      </c>
      <c r="H240" s="301" t="s">
        <v>339</v>
      </c>
      <c r="I240" s="301" t="s">
        <v>1692</v>
      </c>
      <c r="J240" s="73">
        <v>40695</v>
      </c>
      <c r="K240" s="133">
        <v>67</v>
      </c>
      <c r="M240" s="301" t="s">
        <v>1067</v>
      </c>
      <c r="N240" s="301" t="s">
        <v>1066</v>
      </c>
      <c r="O240" s="301" t="s">
        <v>746</v>
      </c>
      <c r="P240" s="133">
        <v>67</v>
      </c>
      <c r="Q240" s="133">
        <v>311</v>
      </c>
      <c r="U240" s="301" t="s">
        <v>1065</v>
      </c>
    </row>
    <row r="241" spans="1:21" x14ac:dyDescent="0.3">
      <c r="A241" s="301" t="s">
        <v>288</v>
      </c>
      <c r="B241" s="301" t="s">
        <v>289</v>
      </c>
      <c r="G241" s="301" t="s">
        <v>337</v>
      </c>
      <c r="H241" s="301" t="s">
        <v>336</v>
      </c>
      <c r="I241" s="301" t="s">
        <v>1692</v>
      </c>
      <c r="J241" s="73">
        <v>40695</v>
      </c>
      <c r="K241" s="133">
        <v>36</v>
      </c>
      <c r="M241" s="301" t="s">
        <v>1079</v>
      </c>
      <c r="N241" s="301" t="s">
        <v>1078</v>
      </c>
      <c r="O241" s="301" t="s">
        <v>185</v>
      </c>
      <c r="P241" s="133"/>
      <c r="Q241" s="133"/>
      <c r="U241" s="301" t="s">
        <v>1067</v>
      </c>
    </row>
    <row r="242" spans="1:21" x14ac:dyDescent="0.3">
      <c r="A242" s="301" t="s">
        <v>288</v>
      </c>
      <c r="B242" s="301" t="s">
        <v>372</v>
      </c>
      <c r="G242" s="301" t="s">
        <v>349</v>
      </c>
      <c r="H242" s="301" t="s">
        <v>348</v>
      </c>
      <c r="I242" s="301" t="s">
        <v>775</v>
      </c>
      <c r="J242" s="73">
        <v>40940</v>
      </c>
      <c r="K242" s="133">
        <v>92</v>
      </c>
      <c r="M242" s="301" t="s">
        <v>1081</v>
      </c>
      <c r="N242" s="301" t="s">
        <v>1080</v>
      </c>
      <c r="O242" s="301" t="s">
        <v>146</v>
      </c>
      <c r="P242" s="133">
        <v>105</v>
      </c>
      <c r="Q242" s="133">
        <v>642</v>
      </c>
      <c r="U242" s="301" t="s">
        <v>1079</v>
      </c>
    </row>
    <row r="243" spans="1:21" x14ac:dyDescent="0.3">
      <c r="A243" s="301" t="s">
        <v>288</v>
      </c>
      <c r="B243" s="301" t="s">
        <v>373</v>
      </c>
      <c r="G243" s="301" t="s">
        <v>118</v>
      </c>
      <c r="H243" s="301" t="s">
        <v>117</v>
      </c>
      <c r="I243" s="301" t="s">
        <v>1692</v>
      </c>
      <c r="J243" s="73">
        <v>41275</v>
      </c>
      <c r="K243" s="133">
        <v>10</v>
      </c>
      <c r="M243" s="301" t="s">
        <v>1132</v>
      </c>
      <c r="N243" s="301" t="s">
        <v>1131</v>
      </c>
      <c r="O243" s="301" t="s">
        <v>480</v>
      </c>
      <c r="P243" s="133"/>
      <c r="Q243" s="133"/>
      <c r="U243" s="301" t="s">
        <v>1081</v>
      </c>
    </row>
    <row r="244" spans="1:21" x14ac:dyDescent="0.3">
      <c r="A244" s="301" t="s">
        <v>288</v>
      </c>
      <c r="B244" s="301" t="s">
        <v>293</v>
      </c>
      <c r="G244" s="301" t="s">
        <v>22</v>
      </c>
      <c r="H244" s="301" t="s">
        <v>21</v>
      </c>
      <c r="I244" s="301" t="s">
        <v>1692</v>
      </c>
      <c r="J244" s="73">
        <v>40725</v>
      </c>
      <c r="K244" s="133">
        <v>641</v>
      </c>
      <c r="M244" s="301" t="s">
        <v>1130</v>
      </c>
      <c r="N244" s="301" t="s">
        <v>295</v>
      </c>
      <c r="O244" s="301" t="s">
        <v>151</v>
      </c>
      <c r="P244" s="133"/>
      <c r="Q244" s="133"/>
      <c r="U244" s="301" t="s">
        <v>1132</v>
      </c>
    </row>
    <row r="245" spans="1:21" x14ac:dyDescent="0.3">
      <c r="A245" s="301" t="s">
        <v>288</v>
      </c>
      <c r="B245" s="301" t="s">
        <v>903</v>
      </c>
      <c r="G245" s="301" t="s">
        <v>122</v>
      </c>
      <c r="H245" s="301" t="s">
        <v>121</v>
      </c>
      <c r="I245" s="301" t="s">
        <v>775</v>
      </c>
      <c r="J245" s="301" t="s">
        <v>1218</v>
      </c>
      <c r="K245" s="133">
        <v>0</v>
      </c>
      <c r="M245" s="301" t="s">
        <v>1119</v>
      </c>
      <c r="N245" s="301" t="s">
        <v>1590</v>
      </c>
      <c r="O245" s="301" t="s">
        <v>146</v>
      </c>
      <c r="P245" s="133">
        <v>66</v>
      </c>
      <c r="Q245" s="133">
        <v>346</v>
      </c>
      <c r="U245" s="301" t="s">
        <v>1130</v>
      </c>
    </row>
    <row r="246" spans="1:21" x14ac:dyDescent="0.3">
      <c r="A246" s="301" t="s">
        <v>288</v>
      </c>
      <c r="B246" s="301" t="s">
        <v>915</v>
      </c>
      <c r="G246" s="301" t="s">
        <v>1255</v>
      </c>
      <c r="H246" s="301" t="s">
        <v>1538</v>
      </c>
      <c r="I246" s="301" t="s">
        <v>1692</v>
      </c>
      <c r="J246" s="73">
        <v>42751</v>
      </c>
      <c r="K246" s="133">
        <v>85</v>
      </c>
      <c r="M246" s="301" t="s">
        <v>1120</v>
      </c>
      <c r="N246" s="301" t="s">
        <v>1135</v>
      </c>
      <c r="O246" s="301" t="s">
        <v>297</v>
      </c>
      <c r="P246" s="133">
        <v>6</v>
      </c>
      <c r="Q246" s="133">
        <v>27</v>
      </c>
      <c r="U246" s="301" t="s">
        <v>1119</v>
      </c>
    </row>
    <row r="247" spans="1:21" x14ac:dyDescent="0.3">
      <c r="A247" s="301" t="s">
        <v>288</v>
      </c>
      <c r="B247" s="301" t="s">
        <v>1127</v>
      </c>
      <c r="G247" s="301" t="s">
        <v>124</v>
      </c>
      <c r="H247" s="301" t="s">
        <v>123</v>
      </c>
      <c r="I247" s="301" t="s">
        <v>775</v>
      </c>
      <c r="J247" s="73">
        <v>41275</v>
      </c>
      <c r="K247" s="133">
        <v>8</v>
      </c>
      <c r="M247" s="301" t="s">
        <v>1121</v>
      </c>
      <c r="N247" s="301" t="s">
        <v>1138</v>
      </c>
      <c r="O247" s="301" t="s">
        <v>166</v>
      </c>
      <c r="P247" s="133">
        <v>36</v>
      </c>
      <c r="Q247" s="133">
        <v>188</v>
      </c>
      <c r="U247" s="301" t="s">
        <v>1120</v>
      </c>
    </row>
    <row r="248" spans="1:21" x14ac:dyDescent="0.3">
      <c r="A248" s="301" t="s">
        <v>288</v>
      </c>
      <c r="B248" s="301" t="s">
        <v>1128</v>
      </c>
      <c r="G248" s="301" t="s">
        <v>1066</v>
      </c>
      <c r="H248" s="301" t="s">
        <v>1067</v>
      </c>
      <c r="I248" s="301" t="s">
        <v>1692</v>
      </c>
      <c r="J248" s="73">
        <v>42036</v>
      </c>
      <c r="K248" s="133">
        <v>67</v>
      </c>
      <c r="M248" s="301" t="s">
        <v>1122</v>
      </c>
      <c r="N248" s="301" t="s">
        <v>1127</v>
      </c>
      <c r="O248" s="301" t="s">
        <v>288</v>
      </c>
      <c r="P248" s="133"/>
      <c r="Q248" s="133"/>
      <c r="U248" s="301" t="s">
        <v>1121</v>
      </c>
    </row>
    <row r="249" spans="1:21" x14ac:dyDescent="0.3">
      <c r="A249" s="301" t="s">
        <v>297</v>
      </c>
      <c r="B249" s="301" t="s">
        <v>759</v>
      </c>
      <c r="G249" s="301" t="s">
        <v>96</v>
      </c>
      <c r="H249" s="301" t="s">
        <v>95</v>
      </c>
      <c r="I249" s="301" t="s">
        <v>775</v>
      </c>
      <c r="J249" s="301" t="s">
        <v>1218</v>
      </c>
      <c r="K249" s="133">
        <v>0</v>
      </c>
      <c r="M249" s="301" t="s">
        <v>1123</v>
      </c>
      <c r="N249" s="301" t="s">
        <v>1128</v>
      </c>
      <c r="O249" s="301" t="s">
        <v>288</v>
      </c>
      <c r="P249" s="133">
        <v>62</v>
      </c>
      <c r="Q249" s="133">
        <v>328</v>
      </c>
      <c r="U249" s="301" t="s">
        <v>1122</v>
      </c>
    </row>
    <row r="250" spans="1:21" x14ac:dyDescent="0.3">
      <c r="A250" s="301" t="s">
        <v>297</v>
      </c>
      <c r="B250" s="301" t="s">
        <v>534</v>
      </c>
      <c r="G250" s="301" t="s">
        <v>1061</v>
      </c>
      <c r="H250" s="301" t="s">
        <v>1053</v>
      </c>
      <c r="I250" s="301" t="s">
        <v>775</v>
      </c>
      <c r="J250" s="73">
        <v>42125</v>
      </c>
      <c r="K250" s="133"/>
      <c r="M250" s="301" t="s">
        <v>1124</v>
      </c>
      <c r="N250" s="301" t="s">
        <v>1555</v>
      </c>
      <c r="O250" s="301" t="s">
        <v>146</v>
      </c>
      <c r="P250" s="133">
        <v>36</v>
      </c>
      <c r="Q250" s="133">
        <v>120</v>
      </c>
      <c r="U250" s="301" t="s">
        <v>1123</v>
      </c>
    </row>
    <row r="251" spans="1:21" x14ac:dyDescent="0.3">
      <c r="A251" s="301" t="s">
        <v>297</v>
      </c>
      <c r="B251" s="301" t="s">
        <v>1135</v>
      </c>
      <c r="G251" s="301" t="s">
        <v>1060</v>
      </c>
      <c r="H251" s="301" t="s">
        <v>1054</v>
      </c>
      <c r="I251" s="301" t="s">
        <v>1692</v>
      </c>
      <c r="J251" s="73">
        <v>42125</v>
      </c>
      <c r="K251" s="133">
        <v>27</v>
      </c>
      <c r="M251" s="301" t="s">
        <v>1125</v>
      </c>
      <c r="N251" s="301" t="s">
        <v>1141</v>
      </c>
      <c r="O251" s="301" t="s">
        <v>719</v>
      </c>
      <c r="P251" s="133"/>
      <c r="Q251" s="133"/>
      <c r="U251" s="301" t="s">
        <v>1124</v>
      </c>
    </row>
    <row r="252" spans="1:21" x14ac:dyDescent="0.3">
      <c r="A252" s="301" t="s">
        <v>297</v>
      </c>
      <c r="B252" s="301" t="s">
        <v>1184</v>
      </c>
      <c r="G252" s="301" t="s">
        <v>873</v>
      </c>
      <c r="H252" s="301" t="s">
        <v>874</v>
      </c>
      <c r="I252" s="301" t="s">
        <v>1692</v>
      </c>
      <c r="J252" s="73">
        <v>41091</v>
      </c>
      <c r="K252" s="133">
        <v>32</v>
      </c>
      <c r="M252" s="301" t="s">
        <v>1126</v>
      </c>
      <c r="N252" s="301" t="s">
        <v>1144</v>
      </c>
      <c r="O252" s="301" t="s">
        <v>146</v>
      </c>
      <c r="P252" s="133">
        <v>30</v>
      </c>
      <c r="Q252" s="133">
        <v>170</v>
      </c>
      <c r="U252" s="301" t="s">
        <v>1125</v>
      </c>
    </row>
    <row r="253" spans="1:21" x14ac:dyDescent="0.3">
      <c r="A253" s="301" t="s">
        <v>297</v>
      </c>
      <c r="B253" s="301" t="s">
        <v>1186</v>
      </c>
      <c r="G253" s="301" t="s">
        <v>225</v>
      </c>
      <c r="H253" s="301" t="s">
        <v>224</v>
      </c>
      <c r="I253" s="301" t="s">
        <v>1692</v>
      </c>
      <c r="J253" s="73">
        <v>41122</v>
      </c>
      <c r="K253" s="133">
        <v>44</v>
      </c>
      <c r="M253" s="301" t="s">
        <v>1158</v>
      </c>
      <c r="N253" s="301" t="s">
        <v>1152</v>
      </c>
      <c r="O253" s="301" t="s">
        <v>480</v>
      </c>
      <c r="P253" s="133"/>
      <c r="Q253" s="133"/>
      <c r="U253" s="301" t="s">
        <v>1126</v>
      </c>
    </row>
    <row r="254" spans="1:21" x14ac:dyDescent="0.3">
      <c r="A254" s="301" t="s">
        <v>297</v>
      </c>
      <c r="B254" s="301" t="s">
        <v>1187</v>
      </c>
      <c r="G254" s="301" t="s">
        <v>1261</v>
      </c>
      <c r="H254" s="301" t="s">
        <v>1259</v>
      </c>
      <c r="I254" s="301" t="s">
        <v>1692</v>
      </c>
      <c r="J254" s="73">
        <v>42752</v>
      </c>
      <c r="K254" s="133">
        <v>398</v>
      </c>
      <c r="M254" s="301" t="s">
        <v>1159</v>
      </c>
      <c r="N254" s="301" t="s">
        <v>1156</v>
      </c>
      <c r="O254" s="301" t="s">
        <v>480</v>
      </c>
      <c r="P254" s="133">
        <v>28</v>
      </c>
      <c r="Q254" s="133">
        <v>126</v>
      </c>
      <c r="U254" s="301" t="s">
        <v>1158</v>
      </c>
    </row>
    <row r="255" spans="1:21" x14ac:dyDescent="0.3">
      <c r="A255" s="301" t="s">
        <v>297</v>
      </c>
      <c r="B255" s="301" t="s">
        <v>1188</v>
      </c>
      <c r="G255" s="301" t="s">
        <v>1156</v>
      </c>
      <c r="H255" s="301" t="s">
        <v>1159</v>
      </c>
      <c r="I255" s="301" t="s">
        <v>1692</v>
      </c>
      <c r="J255" s="73">
        <v>42584</v>
      </c>
      <c r="K255" s="133">
        <v>28</v>
      </c>
      <c r="M255" s="301" t="s">
        <v>1160</v>
      </c>
      <c r="N255" s="301" t="s">
        <v>1153</v>
      </c>
      <c r="O255" s="301" t="s">
        <v>480</v>
      </c>
      <c r="P255" s="133"/>
      <c r="Q255" s="133"/>
      <c r="U255" s="301" t="s">
        <v>1159</v>
      </c>
    </row>
    <row r="256" spans="1:21" x14ac:dyDescent="0.3">
      <c r="A256" s="301" t="s">
        <v>297</v>
      </c>
      <c r="B256" s="301" t="s">
        <v>1189</v>
      </c>
      <c r="G256" s="301" t="s">
        <v>1155</v>
      </c>
      <c r="H256" s="301" t="s">
        <v>1161</v>
      </c>
      <c r="I256" s="301" t="s">
        <v>1692</v>
      </c>
      <c r="J256" s="73">
        <v>42584</v>
      </c>
      <c r="K256" s="133">
        <v>4</v>
      </c>
      <c r="M256" s="301" t="s">
        <v>1161</v>
      </c>
      <c r="N256" s="301" t="s">
        <v>1155</v>
      </c>
      <c r="O256" s="301" t="s">
        <v>480</v>
      </c>
      <c r="P256" s="133">
        <v>4</v>
      </c>
      <c r="Q256" s="133">
        <v>11</v>
      </c>
      <c r="U256" s="301" t="s">
        <v>1160</v>
      </c>
    </row>
    <row r="257" spans="1:21" x14ac:dyDescent="0.3">
      <c r="A257" s="301" t="s">
        <v>297</v>
      </c>
      <c r="B257" s="301" t="s">
        <v>1273</v>
      </c>
      <c r="G257" s="301" t="s">
        <v>276</v>
      </c>
      <c r="H257" s="301" t="s">
        <v>275</v>
      </c>
      <c r="I257" s="301" t="s">
        <v>1692</v>
      </c>
      <c r="J257" s="73">
        <v>40756</v>
      </c>
      <c r="K257" s="133">
        <v>124</v>
      </c>
      <c r="M257" s="301" t="s">
        <v>1162</v>
      </c>
      <c r="N257" s="301" t="s">
        <v>1154</v>
      </c>
      <c r="O257" s="301" t="s">
        <v>480</v>
      </c>
      <c r="P257" s="133">
        <v>25</v>
      </c>
      <c r="Q257" s="133">
        <v>113</v>
      </c>
      <c r="U257" s="301" t="s">
        <v>1161</v>
      </c>
    </row>
    <row r="258" spans="1:21" x14ac:dyDescent="0.3">
      <c r="A258" s="301" t="s">
        <v>299</v>
      </c>
      <c r="B258" s="301" t="s">
        <v>815</v>
      </c>
      <c r="G258" s="301" t="s">
        <v>278</v>
      </c>
      <c r="H258" s="301" t="s">
        <v>277</v>
      </c>
      <c r="I258" s="301" t="s">
        <v>1692</v>
      </c>
      <c r="J258" s="73">
        <v>40909</v>
      </c>
      <c r="K258" s="133">
        <v>24</v>
      </c>
      <c r="M258" s="301" t="s">
        <v>1167</v>
      </c>
      <c r="N258" s="301" t="s">
        <v>1184</v>
      </c>
      <c r="O258" s="301" t="s">
        <v>297</v>
      </c>
      <c r="P258" s="133"/>
      <c r="Q258" s="133"/>
      <c r="U258" s="301" t="s">
        <v>1162</v>
      </c>
    </row>
    <row r="259" spans="1:21" x14ac:dyDescent="0.3">
      <c r="A259" s="301" t="s">
        <v>299</v>
      </c>
      <c r="B259" s="301" t="s">
        <v>300</v>
      </c>
      <c r="G259" s="301" t="s">
        <v>345</v>
      </c>
      <c r="H259" s="301" t="s">
        <v>344</v>
      </c>
      <c r="I259" s="301" t="s">
        <v>1692</v>
      </c>
      <c r="J259" s="73">
        <v>40848</v>
      </c>
      <c r="K259" s="133">
        <v>183</v>
      </c>
      <c r="M259" s="301" t="s">
        <v>1168</v>
      </c>
      <c r="N259" s="301" t="s">
        <v>1186</v>
      </c>
      <c r="O259" s="301" t="s">
        <v>297</v>
      </c>
      <c r="P259" s="133">
        <v>13</v>
      </c>
      <c r="Q259" s="133">
        <v>45</v>
      </c>
      <c r="U259" s="301" t="s">
        <v>1167</v>
      </c>
    </row>
    <row r="260" spans="1:21" x14ac:dyDescent="0.3">
      <c r="A260" s="301" t="s">
        <v>299</v>
      </c>
      <c r="B260" s="301" t="s">
        <v>1044</v>
      </c>
      <c r="G260" s="301" t="s">
        <v>305</v>
      </c>
      <c r="H260" s="301" t="s">
        <v>304</v>
      </c>
      <c r="I260" s="301" t="s">
        <v>1692</v>
      </c>
      <c r="J260" s="73">
        <v>40725</v>
      </c>
      <c r="K260" s="133">
        <v>47</v>
      </c>
      <c r="M260" s="301" t="s">
        <v>1169</v>
      </c>
      <c r="N260" s="301" t="s">
        <v>1187</v>
      </c>
      <c r="O260" s="301" t="s">
        <v>297</v>
      </c>
      <c r="P260" s="133"/>
      <c r="Q260" s="133"/>
      <c r="U260" s="301" t="s">
        <v>1168</v>
      </c>
    </row>
    <row r="261" spans="1:21" x14ac:dyDescent="0.3">
      <c r="A261" s="301" t="s">
        <v>299</v>
      </c>
      <c r="B261" s="301" t="s">
        <v>1885</v>
      </c>
      <c r="G261" s="301" t="s">
        <v>307</v>
      </c>
      <c r="H261" s="301" t="s">
        <v>306</v>
      </c>
      <c r="I261" s="301" t="s">
        <v>1692</v>
      </c>
      <c r="J261" s="73">
        <v>40725</v>
      </c>
      <c r="K261" s="133">
        <v>47</v>
      </c>
      <c r="M261" s="301" t="s">
        <v>1170</v>
      </c>
      <c r="N261" s="301" t="s">
        <v>1188</v>
      </c>
      <c r="O261" s="301" t="s">
        <v>297</v>
      </c>
      <c r="P261" s="133"/>
      <c r="Q261" s="133"/>
      <c r="U261" s="301" t="s">
        <v>1169</v>
      </c>
    </row>
    <row r="262" spans="1:21" x14ac:dyDescent="0.3">
      <c r="A262" s="301" t="s">
        <v>301</v>
      </c>
      <c r="B262" s="301" t="s">
        <v>12</v>
      </c>
      <c r="G262" s="301" t="s">
        <v>1184</v>
      </c>
      <c r="H262" s="301" t="s">
        <v>1167</v>
      </c>
      <c r="I262" s="301" t="s">
        <v>775</v>
      </c>
      <c r="J262" s="301" t="s">
        <v>1218</v>
      </c>
      <c r="K262" s="133"/>
      <c r="M262" s="301" t="s">
        <v>1171</v>
      </c>
      <c r="N262" s="301" t="s">
        <v>1189</v>
      </c>
      <c r="O262" s="301" t="s">
        <v>297</v>
      </c>
      <c r="P262" s="133">
        <v>28</v>
      </c>
      <c r="Q262" s="133">
        <v>144</v>
      </c>
      <c r="U262" s="301" t="s">
        <v>1170</v>
      </c>
    </row>
    <row r="263" spans="1:21" x14ac:dyDescent="0.3">
      <c r="A263" s="301" t="s">
        <v>301</v>
      </c>
      <c r="B263" s="301" t="s">
        <v>305</v>
      </c>
      <c r="G263" s="301" t="s">
        <v>280</v>
      </c>
      <c r="H263" s="301" t="s">
        <v>279</v>
      </c>
      <c r="I263" s="301" t="s">
        <v>1692</v>
      </c>
      <c r="J263" s="73">
        <v>40725</v>
      </c>
      <c r="K263" s="133">
        <v>95</v>
      </c>
      <c r="M263" s="301" t="s">
        <v>1172</v>
      </c>
      <c r="N263" s="301" t="s">
        <v>1196</v>
      </c>
      <c r="O263" s="301" t="s">
        <v>230</v>
      </c>
      <c r="P263" s="133"/>
      <c r="Q263" s="133"/>
      <c r="U263" s="301" t="s">
        <v>1171</v>
      </c>
    </row>
    <row r="264" spans="1:21" x14ac:dyDescent="0.3">
      <c r="A264" s="301" t="s">
        <v>301</v>
      </c>
      <c r="B264" s="301" t="s">
        <v>307</v>
      </c>
      <c r="G264" s="301" t="s">
        <v>813</v>
      </c>
      <c r="H264" s="301" t="s">
        <v>814</v>
      </c>
      <c r="I264" s="301" t="s">
        <v>775</v>
      </c>
      <c r="J264" s="301" t="s">
        <v>1218</v>
      </c>
      <c r="K264" s="133">
        <v>0</v>
      </c>
      <c r="M264" s="301" t="s">
        <v>1173</v>
      </c>
      <c r="N264" s="301" t="s">
        <v>1206</v>
      </c>
      <c r="O264" s="301" t="s">
        <v>230</v>
      </c>
      <c r="P264" s="133"/>
      <c r="Q264" s="133"/>
      <c r="U264" s="301" t="s">
        <v>1172</v>
      </c>
    </row>
    <row r="265" spans="1:21" x14ac:dyDescent="0.3">
      <c r="A265" s="301" t="s">
        <v>301</v>
      </c>
      <c r="B265" s="301" t="s">
        <v>2102</v>
      </c>
      <c r="G265" s="301" t="s">
        <v>1713</v>
      </c>
      <c r="H265" s="301" t="s">
        <v>1397</v>
      </c>
      <c r="I265" s="301" t="s">
        <v>1692</v>
      </c>
      <c r="J265" s="73">
        <v>42741</v>
      </c>
      <c r="K265" s="133">
        <v>145</v>
      </c>
      <c r="M265" s="301" t="s">
        <v>1174</v>
      </c>
      <c r="N265" s="301" t="s">
        <v>1207</v>
      </c>
      <c r="O265" s="301" t="s">
        <v>230</v>
      </c>
      <c r="P265" s="133"/>
      <c r="Q265" s="133"/>
      <c r="U265" s="301" t="s">
        <v>1173</v>
      </c>
    </row>
    <row r="266" spans="1:21" x14ac:dyDescent="0.3">
      <c r="A266" s="301" t="s">
        <v>746</v>
      </c>
      <c r="B266" s="301" t="s">
        <v>746</v>
      </c>
      <c r="G266" s="301" t="s">
        <v>181</v>
      </c>
      <c r="H266" s="301" t="s">
        <v>179</v>
      </c>
      <c r="I266" s="301" t="s">
        <v>1692</v>
      </c>
      <c r="J266" s="73">
        <v>41061</v>
      </c>
      <c r="K266" s="133">
        <v>11</v>
      </c>
      <c r="M266" s="301" t="s">
        <v>1175</v>
      </c>
      <c r="N266" s="301" t="s">
        <v>1197</v>
      </c>
      <c r="O266" s="301" t="s">
        <v>230</v>
      </c>
      <c r="P266" s="133"/>
      <c r="Q266" s="133"/>
      <c r="U266" s="301" t="s">
        <v>1174</v>
      </c>
    </row>
    <row r="267" spans="1:21" x14ac:dyDescent="0.3">
      <c r="A267" s="301" t="s">
        <v>746</v>
      </c>
      <c r="B267" s="301" t="s">
        <v>1064</v>
      </c>
      <c r="G267" s="301" t="s">
        <v>822</v>
      </c>
      <c r="H267" s="301" t="s">
        <v>821</v>
      </c>
      <c r="I267" s="301" t="s">
        <v>775</v>
      </c>
      <c r="J267" s="301" t="s">
        <v>1218</v>
      </c>
      <c r="K267" s="133"/>
      <c r="M267" s="301" t="s">
        <v>1176</v>
      </c>
      <c r="N267" s="301" t="s">
        <v>1208</v>
      </c>
      <c r="O267" s="301" t="s">
        <v>230</v>
      </c>
      <c r="P267" s="133"/>
      <c r="Q267" s="133"/>
      <c r="U267" s="301" t="s">
        <v>1175</v>
      </c>
    </row>
    <row r="268" spans="1:21" x14ac:dyDescent="0.3">
      <c r="A268" s="301" t="s">
        <v>746</v>
      </c>
      <c r="B268" s="301" t="s">
        <v>1066</v>
      </c>
      <c r="G268" s="301" t="s">
        <v>1190</v>
      </c>
      <c r="H268" s="301" t="s">
        <v>1178</v>
      </c>
      <c r="I268" s="301" t="s">
        <v>775</v>
      </c>
      <c r="J268" s="301" t="s">
        <v>1218</v>
      </c>
      <c r="K268" s="133"/>
      <c r="M268" s="301" t="s">
        <v>1177</v>
      </c>
      <c r="N268" s="301" t="s">
        <v>1212</v>
      </c>
      <c r="O268" s="301" t="s">
        <v>230</v>
      </c>
      <c r="P268" s="133"/>
      <c r="Q268" s="133"/>
      <c r="U268" s="301" t="s">
        <v>1176</v>
      </c>
    </row>
    <row r="269" spans="1:21" x14ac:dyDescent="0.3">
      <c r="A269" s="301" t="s">
        <v>746</v>
      </c>
      <c r="B269" s="301" t="s">
        <v>1911</v>
      </c>
      <c r="G269" s="301" t="s">
        <v>746</v>
      </c>
      <c r="H269" s="301" t="s">
        <v>750</v>
      </c>
      <c r="I269" s="301" t="s">
        <v>1692</v>
      </c>
      <c r="J269" s="301" t="s">
        <v>1218</v>
      </c>
      <c r="K269" s="133">
        <v>5</v>
      </c>
      <c r="M269" s="301" t="s">
        <v>1178</v>
      </c>
      <c r="N269" s="301" t="s">
        <v>1190</v>
      </c>
      <c r="O269" s="301" t="s">
        <v>230</v>
      </c>
      <c r="P269" s="133"/>
      <c r="Q269" s="133"/>
      <c r="U269" s="301" t="s">
        <v>1177</v>
      </c>
    </row>
    <row r="270" spans="1:21" x14ac:dyDescent="0.3">
      <c r="A270" s="301" t="s">
        <v>309</v>
      </c>
      <c r="B270" s="301" t="s">
        <v>356</v>
      </c>
      <c r="G270" s="301" t="s">
        <v>24</v>
      </c>
      <c r="H270" s="301" t="s">
        <v>23</v>
      </c>
      <c r="I270" s="301" t="s">
        <v>775</v>
      </c>
      <c r="J270" s="73">
        <v>41030</v>
      </c>
      <c r="K270" s="133">
        <v>20</v>
      </c>
      <c r="M270" s="301" t="s">
        <v>1179</v>
      </c>
      <c r="N270" s="301" t="s">
        <v>1191</v>
      </c>
      <c r="O270" s="301" t="s">
        <v>230</v>
      </c>
      <c r="P270" s="133"/>
      <c r="Q270" s="133"/>
      <c r="U270" s="301" t="s">
        <v>1178</v>
      </c>
    </row>
    <row r="271" spans="1:21" x14ac:dyDescent="0.3">
      <c r="A271" s="301" t="s">
        <v>309</v>
      </c>
      <c r="B271" s="301" t="s">
        <v>333</v>
      </c>
      <c r="G271" s="301" t="s">
        <v>1386</v>
      </c>
      <c r="H271" s="301" t="s">
        <v>1398</v>
      </c>
      <c r="I271" s="301" t="s">
        <v>775</v>
      </c>
      <c r="J271" s="73">
        <v>42741</v>
      </c>
      <c r="K271" s="133">
        <v>42</v>
      </c>
      <c r="M271" s="301" t="s">
        <v>1180</v>
      </c>
      <c r="N271" s="301" t="s">
        <v>1192</v>
      </c>
      <c r="O271" s="301" t="s">
        <v>230</v>
      </c>
      <c r="P271" s="133"/>
      <c r="Q271" s="133"/>
      <c r="U271" s="301" t="s">
        <v>1179</v>
      </c>
    </row>
    <row r="272" spans="1:21" x14ac:dyDescent="0.3">
      <c r="A272" s="301" t="s">
        <v>309</v>
      </c>
      <c r="B272" s="301" t="s">
        <v>312</v>
      </c>
      <c r="G272" s="301" t="s">
        <v>1387</v>
      </c>
      <c r="H272" s="301" t="s">
        <v>1400</v>
      </c>
      <c r="I272" s="301" t="s">
        <v>1692</v>
      </c>
      <c r="J272" s="73">
        <v>42741</v>
      </c>
      <c r="K272" s="133">
        <v>34</v>
      </c>
      <c r="M272" s="301" t="s">
        <v>1181</v>
      </c>
      <c r="N272" s="301" t="s">
        <v>1193</v>
      </c>
      <c r="O272" s="301" t="s">
        <v>230</v>
      </c>
      <c r="P272" s="133"/>
      <c r="Q272" s="133"/>
      <c r="U272" s="301" t="s">
        <v>1180</v>
      </c>
    </row>
    <row r="273" spans="1:21" x14ac:dyDescent="0.3">
      <c r="A273" s="301" t="s">
        <v>309</v>
      </c>
      <c r="B273" s="301" t="s">
        <v>335</v>
      </c>
      <c r="G273" s="301" t="s">
        <v>1686</v>
      </c>
      <c r="H273" s="301" t="s">
        <v>1399</v>
      </c>
      <c r="I273" s="301" t="s">
        <v>1692</v>
      </c>
      <c r="J273" s="73">
        <v>42741</v>
      </c>
      <c r="K273" s="133">
        <v>97</v>
      </c>
      <c r="M273" s="301" t="s">
        <v>1182</v>
      </c>
      <c r="N273" s="301" t="s">
        <v>1194</v>
      </c>
      <c r="O273" s="301" t="s">
        <v>230</v>
      </c>
      <c r="P273" s="133"/>
      <c r="Q273" s="133"/>
      <c r="U273" s="301" t="s">
        <v>1181</v>
      </c>
    </row>
    <row r="274" spans="1:21" x14ac:dyDescent="0.3">
      <c r="A274" s="301" t="s">
        <v>309</v>
      </c>
      <c r="B274" s="301" t="s">
        <v>751</v>
      </c>
      <c r="G274" s="301" t="s">
        <v>1634</v>
      </c>
      <c r="H274" s="301" t="s">
        <v>1619</v>
      </c>
      <c r="I274" s="301" t="s">
        <v>775</v>
      </c>
      <c r="J274" s="73">
        <v>43212</v>
      </c>
      <c r="K274" s="133">
        <v>229</v>
      </c>
      <c r="M274" s="301" t="s">
        <v>1183</v>
      </c>
      <c r="N274" s="301" t="s">
        <v>1195</v>
      </c>
      <c r="O274" s="301" t="s">
        <v>1198</v>
      </c>
      <c r="P274" s="133">
        <v>37</v>
      </c>
      <c r="Q274" s="133">
        <v>120</v>
      </c>
      <c r="U274" s="301" t="s">
        <v>1182</v>
      </c>
    </row>
    <row r="275" spans="1:21" x14ac:dyDescent="0.3">
      <c r="A275" s="301" t="s">
        <v>309</v>
      </c>
      <c r="B275" s="301" t="s">
        <v>319</v>
      </c>
      <c r="G275" s="301" t="s">
        <v>132</v>
      </c>
      <c r="H275" s="301" t="s">
        <v>131</v>
      </c>
      <c r="I275" s="301" t="s">
        <v>775</v>
      </c>
      <c r="J275" s="301" t="s">
        <v>1218</v>
      </c>
      <c r="K275" s="133">
        <v>0</v>
      </c>
      <c r="M275" s="301" t="s">
        <v>1229</v>
      </c>
      <c r="N275" s="301" t="s">
        <v>1230</v>
      </c>
      <c r="O275" s="301" t="s">
        <v>146</v>
      </c>
      <c r="P275" s="133">
        <v>37</v>
      </c>
      <c r="Q275" s="133">
        <v>150</v>
      </c>
      <c r="U275" s="301" t="s">
        <v>1183</v>
      </c>
    </row>
    <row r="276" spans="1:21" x14ac:dyDescent="0.3">
      <c r="A276" s="301" t="s">
        <v>309</v>
      </c>
      <c r="B276" s="301" t="s">
        <v>321</v>
      </c>
      <c r="G276" s="301" t="s">
        <v>227</v>
      </c>
      <c r="H276" s="301" t="s">
        <v>226</v>
      </c>
      <c r="I276" s="301" t="s">
        <v>775</v>
      </c>
      <c r="J276" s="301" t="s">
        <v>1218</v>
      </c>
      <c r="K276" s="133"/>
      <c r="M276" s="301" t="s">
        <v>1238</v>
      </c>
      <c r="N276" s="301" t="s">
        <v>1237</v>
      </c>
      <c r="O276" s="301" t="s">
        <v>146</v>
      </c>
      <c r="P276" s="133">
        <v>24</v>
      </c>
      <c r="Q276" s="133">
        <v>84</v>
      </c>
      <c r="U276" s="301" t="s">
        <v>1229</v>
      </c>
    </row>
    <row r="277" spans="1:21" x14ac:dyDescent="0.3">
      <c r="A277" s="301" t="s">
        <v>309</v>
      </c>
      <c r="B277" s="301" t="s">
        <v>327</v>
      </c>
      <c r="G277" s="301" t="s">
        <v>238</v>
      </c>
      <c r="H277" s="301" t="s">
        <v>236</v>
      </c>
      <c r="I277" s="301" t="s">
        <v>1692</v>
      </c>
      <c r="J277" s="73">
        <v>40695</v>
      </c>
      <c r="K277" s="133">
        <v>78</v>
      </c>
      <c r="M277" s="301" t="s">
        <v>1241</v>
      </c>
      <c r="N277" s="301" t="s">
        <v>716</v>
      </c>
      <c r="O277" s="301" t="s">
        <v>230</v>
      </c>
      <c r="P277" s="133">
        <v>152</v>
      </c>
      <c r="Q277" s="133">
        <v>788</v>
      </c>
      <c r="U277" s="301" t="s">
        <v>1238</v>
      </c>
    </row>
    <row r="278" spans="1:21" x14ac:dyDescent="0.3">
      <c r="A278" s="301" t="s">
        <v>309</v>
      </c>
      <c r="B278" s="301" t="s">
        <v>329</v>
      </c>
      <c r="G278" s="301" t="s">
        <v>1029</v>
      </c>
      <c r="H278" s="301" t="s">
        <v>241</v>
      </c>
      <c r="I278" s="301" t="s">
        <v>1692</v>
      </c>
      <c r="J278" s="73">
        <v>41000</v>
      </c>
      <c r="K278" s="133">
        <v>54</v>
      </c>
      <c r="M278" s="301" t="s">
        <v>1247</v>
      </c>
      <c r="N278" s="301" t="s">
        <v>1250</v>
      </c>
      <c r="O278" s="301" t="s">
        <v>309</v>
      </c>
      <c r="P278" s="133">
        <v>62</v>
      </c>
      <c r="Q278" s="133">
        <v>410</v>
      </c>
      <c r="U278" s="301" t="s">
        <v>1241</v>
      </c>
    </row>
    <row r="279" spans="1:21" x14ac:dyDescent="0.3">
      <c r="A279" s="301" t="s">
        <v>309</v>
      </c>
      <c r="B279" s="301" t="s">
        <v>323</v>
      </c>
      <c r="G279" s="301" t="s">
        <v>248</v>
      </c>
      <c r="H279" s="301" t="s">
        <v>247</v>
      </c>
      <c r="I279" s="301" t="s">
        <v>1692</v>
      </c>
      <c r="J279" s="73">
        <v>40756</v>
      </c>
      <c r="K279" s="133">
        <v>17</v>
      </c>
      <c r="M279" s="301" t="s">
        <v>1259</v>
      </c>
      <c r="N279" s="301" t="s">
        <v>1261</v>
      </c>
      <c r="O279" s="301" t="s">
        <v>309</v>
      </c>
      <c r="P279" s="133">
        <v>398</v>
      </c>
      <c r="Q279" s="133">
        <v>1834</v>
      </c>
      <c r="U279" s="301" t="s">
        <v>1247</v>
      </c>
    </row>
    <row r="280" spans="1:21" x14ac:dyDescent="0.3">
      <c r="A280" s="301" t="s">
        <v>309</v>
      </c>
      <c r="B280" s="301" t="s">
        <v>325</v>
      </c>
      <c r="G280" s="301" t="s">
        <v>250</v>
      </c>
      <c r="H280" s="301" t="s">
        <v>249</v>
      </c>
      <c r="I280" s="301" t="s">
        <v>1692</v>
      </c>
      <c r="J280" s="73">
        <v>40725</v>
      </c>
      <c r="K280" s="133">
        <v>33</v>
      </c>
      <c r="M280" s="301" t="s">
        <v>1265</v>
      </c>
      <c r="N280" s="301" t="s">
        <v>1274</v>
      </c>
      <c r="O280" s="301" t="s">
        <v>480</v>
      </c>
      <c r="P280" s="133">
        <v>124</v>
      </c>
      <c r="Q280" s="133">
        <v>673</v>
      </c>
      <c r="U280" s="301" t="s">
        <v>1259</v>
      </c>
    </row>
    <row r="281" spans="1:21" x14ac:dyDescent="0.3">
      <c r="A281" s="301" t="s">
        <v>309</v>
      </c>
      <c r="B281" s="301" t="s">
        <v>331</v>
      </c>
      <c r="G281" s="301" t="s">
        <v>274</v>
      </c>
      <c r="H281" s="301" t="s">
        <v>273</v>
      </c>
      <c r="I281" s="301" t="s">
        <v>1692</v>
      </c>
      <c r="J281" s="73">
        <v>40817</v>
      </c>
      <c r="K281" s="133">
        <v>46</v>
      </c>
      <c r="M281" s="301" t="s">
        <v>1272</v>
      </c>
      <c r="N281" s="301" t="s">
        <v>1273</v>
      </c>
      <c r="O281" s="301" t="s">
        <v>297</v>
      </c>
      <c r="P281" s="133">
        <v>61</v>
      </c>
      <c r="Q281" s="133">
        <v>279</v>
      </c>
      <c r="U281" s="301" t="s">
        <v>1265</v>
      </c>
    </row>
    <row r="282" spans="1:21" x14ac:dyDescent="0.3">
      <c r="A282" s="301" t="s">
        <v>309</v>
      </c>
      <c r="B282" s="301" t="s">
        <v>342</v>
      </c>
      <c r="G282" s="301" t="s">
        <v>1153</v>
      </c>
      <c r="H282" s="301" t="s">
        <v>1160</v>
      </c>
      <c r="I282" s="301" t="s">
        <v>775</v>
      </c>
      <c r="J282" s="73">
        <v>42584</v>
      </c>
      <c r="K282" s="133"/>
      <c r="M282" s="301" t="s">
        <v>1397</v>
      </c>
      <c r="N282" s="301" t="s">
        <v>1713</v>
      </c>
      <c r="O282" s="301" t="s">
        <v>1134</v>
      </c>
      <c r="P282" s="133">
        <v>145</v>
      </c>
      <c r="Q282" s="133">
        <v>644</v>
      </c>
      <c r="U282" s="301" t="s">
        <v>1272</v>
      </c>
    </row>
    <row r="283" spans="1:21" x14ac:dyDescent="0.3">
      <c r="A283" s="301" t="s">
        <v>309</v>
      </c>
      <c r="B283" s="301" t="s">
        <v>353</v>
      </c>
      <c r="G283" s="301" t="s">
        <v>347</v>
      </c>
      <c r="H283" s="301" t="s">
        <v>346</v>
      </c>
      <c r="I283" s="301" t="s">
        <v>1692</v>
      </c>
      <c r="J283" s="73">
        <v>40848</v>
      </c>
      <c r="K283" s="133">
        <v>46</v>
      </c>
      <c r="M283" s="301" t="s">
        <v>1398</v>
      </c>
      <c r="N283" s="301" t="s">
        <v>1386</v>
      </c>
      <c r="O283" s="301" t="s">
        <v>1134</v>
      </c>
      <c r="P283" s="133">
        <v>42</v>
      </c>
      <c r="Q283" s="133">
        <v>190</v>
      </c>
      <c r="U283" s="301" t="s">
        <v>1397</v>
      </c>
    </row>
    <row r="284" spans="1:21" x14ac:dyDescent="0.3">
      <c r="A284" s="301" t="s">
        <v>309</v>
      </c>
      <c r="B284" s="301" t="s">
        <v>317</v>
      </c>
      <c r="G284" s="301" t="s">
        <v>875</v>
      </c>
      <c r="H284" s="301" t="s">
        <v>872</v>
      </c>
      <c r="I284" s="301" t="s">
        <v>775</v>
      </c>
      <c r="J284" s="301" t="s">
        <v>1218</v>
      </c>
      <c r="K284" s="133"/>
      <c r="M284" s="301" t="s">
        <v>1399</v>
      </c>
      <c r="N284" s="301" t="s">
        <v>1686</v>
      </c>
      <c r="O284" s="301" t="s">
        <v>1134</v>
      </c>
      <c r="P284" s="133">
        <v>97</v>
      </c>
      <c r="Q284" s="133">
        <v>365</v>
      </c>
      <c r="U284" s="301" t="s">
        <v>1398</v>
      </c>
    </row>
    <row r="285" spans="1:21" x14ac:dyDescent="0.3">
      <c r="A285" s="301" t="s">
        <v>309</v>
      </c>
      <c r="B285" s="301" t="s">
        <v>340</v>
      </c>
      <c r="G285" s="301" t="s">
        <v>134</v>
      </c>
      <c r="H285" s="301" t="s">
        <v>133</v>
      </c>
      <c r="I285" s="301" t="s">
        <v>775</v>
      </c>
      <c r="J285" s="301" t="s">
        <v>1218</v>
      </c>
      <c r="K285" s="133"/>
      <c r="M285" s="301" t="s">
        <v>1400</v>
      </c>
      <c r="N285" s="301" t="s">
        <v>1387</v>
      </c>
      <c r="O285" s="301" t="s">
        <v>1134</v>
      </c>
      <c r="P285" s="133">
        <v>34</v>
      </c>
      <c r="Q285" s="133">
        <v>147</v>
      </c>
      <c r="U285" s="301" t="s">
        <v>1399</v>
      </c>
    </row>
    <row r="286" spans="1:21" x14ac:dyDescent="0.3">
      <c r="A286" s="301" t="s">
        <v>309</v>
      </c>
      <c r="B286" s="301" t="s">
        <v>337</v>
      </c>
      <c r="G286" s="301" t="s">
        <v>795</v>
      </c>
      <c r="H286" s="301" t="s">
        <v>783</v>
      </c>
      <c r="I286" s="301" t="s">
        <v>775</v>
      </c>
      <c r="J286" s="301" t="s">
        <v>1218</v>
      </c>
      <c r="K286" s="133">
        <v>0</v>
      </c>
      <c r="M286" s="301" t="s">
        <v>1535</v>
      </c>
      <c r="N286" s="301" t="s">
        <v>1511</v>
      </c>
      <c r="O286" s="301" t="s">
        <v>173</v>
      </c>
      <c r="P286" s="133">
        <v>245</v>
      </c>
      <c r="Q286" s="133">
        <v>1084</v>
      </c>
      <c r="U286" s="301" t="s">
        <v>1400</v>
      </c>
    </row>
    <row r="287" spans="1:21" x14ac:dyDescent="0.3">
      <c r="A287" s="301" t="s">
        <v>309</v>
      </c>
      <c r="B287" s="301" t="s">
        <v>349</v>
      </c>
      <c r="G287" s="301" t="s">
        <v>1660</v>
      </c>
      <c r="H287" s="301" t="s">
        <v>1655</v>
      </c>
      <c r="I287" s="301" t="s">
        <v>1692</v>
      </c>
      <c r="J287" s="73">
        <v>43250</v>
      </c>
      <c r="K287" s="133">
        <v>8</v>
      </c>
      <c r="M287" s="301" t="s">
        <v>1536</v>
      </c>
      <c r="N287" s="301" t="s">
        <v>1506</v>
      </c>
      <c r="O287" s="301" t="s">
        <v>237</v>
      </c>
      <c r="P287" s="133">
        <v>14</v>
      </c>
      <c r="Q287" s="133">
        <v>40</v>
      </c>
      <c r="U287" s="301" t="s">
        <v>1535</v>
      </c>
    </row>
    <row r="288" spans="1:21" x14ac:dyDescent="0.3">
      <c r="A288" s="301" t="s">
        <v>309</v>
      </c>
      <c r="B288" s="301" t="s">
        <v>345</v>
      </c>
      <c r="G288" s="301" t="s">
        <v>300</v>
      </c>
      <c r="H288" s="301" t="s">
        <v>298</v>
      </c>
      <c r="I288" s="301" t="s">
        <v>1692</v>
      </c>
      <c r="J288" s="301" t="s">
        <v>1218</v>
      </c>
      <c r="K288" s="133">
        <v>17</v>
      </c>
      <c r="M288" s="301" t="s">
        <v>1537</v>
      </c>
      <c r="N288" s="301" t="s">
        <v>1520</v>
      </c>
      <c r="O288" s="301" t="s">
        <v>237</v>
      </c>
      <c r="P288" s="133">
        <v>25</v>
      </c>
      <c r="Q288" s="133">
        <v>69</v>
      </c>
      <c r="U288" s="301" t="s">
        <v>1536</v>
      </c>
    </row>
    <row r="289" spans="1:21" x14ac:dyDescent="0.3">
      <c r="A289" s="301" t="s">
        <v>309</v>
      </c>
      <c r="B289" s="301" t="s">
        <v>347</v>
      </c>
      <c r="G289" s="301" t="s">
        <v>1688</v>
      </c>
      <c r="H289" s="301" t="s">
        <v>1618</v>
      </c>
      <c r="I289" s="301" t="s">
        <v>1692</v>
      </c>
      <c r="J289" s="73">
        <v>43212</v>
      </c>
      <c r="K289" s="133">
        <v>205</v>
      </c>
      <c r="M289" s="301" t="s">
        <v>1538</v>
      </c>
      <c r="N289" s="301" t="s">
        <v>1255</v>
      </c>
      <c r="O289" s="301" t="s">
        <v>309</v>
      </c>
      <c r="P289" s="133">
        <v>85</v>
      </c>
      <c r="Q289" s="133">
        <v>455</v>
      </c>
      <c r="U289" s="301" t="s">
        <v>1537</v>
      </c>
    </row>
    <row r="290" spans="1:21" x14ac:dyDescent="0.3">
      <c r="A290" s="301" t="s">
        <v>309</v>
      </c>
      <c r="B290" s="301" t="s">
        <v>315</v>
      </c>
      <c r="G290" s="301" t="s">
        <v>1141</v>
      </c>
      <c r="H290" s="301" t="s">
        <v>1125</v>
      </c>
      <c r="I290" s="301" t="s">
        <v>775</v>
      </c>
      <c r="J290" s="73">
        <v>42430</v>
      </c>
      <c r="K290" s="133"/>
      <c r="M290" s="301" t="s">
        <v>1539</v>
      </c>
      <c r="N290" s="301" t="s">
        <v>1523</v>
      </c>
      <c r="O290" s="301" t="s">
        <v>146</v>
      </c>
      <c r="P290" s="133">
        <v>36</v>
      </c>
      <c r="Q290" s="133">
        <v>192</v>
      </c>
      <c r="U290" s="301" t="s">
        <v>1538</v>
      </c>
    </row>
    <row r="291" spans="1:21" x14ac:dyDescent="0.3">
      <c r="A291" s="301" t="s">
        <v>309</v>
      </c>
      <c r="B291" s="301" t="s">
        <v>310</v>
      </c>
      <c r="G291" s="301" t="s">
        <v>1697</v>
      </c>
      <c r="H291" s="301" t="s">
        <v>1657</v>
      </c>
      <c r="I291" s="301" t="s">
        <v>1692</v>
      </c>
      <c r="J291" s="73">
        <v>43250</v>
      </c>
      <c r="K291" s="133">
        <v>79</v>
      </c>
      <c r="M291" s="301" t="s">
        <v>1614</v>
      </c>
      <c r="N291" s="301" t="s">
        <v>1626</v>
      </c>
      <c r="O291" s="301" t="s">
        <v>173</v>
      </c>
      <c r="P291" s="133">
        <v>45</v>
      </c>
      <c r="Q291" s="133">
        <v>235</v>
      </c>
      <c r="U291" s="301" t="s">
        <v>1539</v>
      </c>
    </row>
    <row r="292" spans="1:21" x14ac:dyDescent="0.3">
      <c r="A292" s="301" t="s">
        <v>309</v>
      </c>
      <c r="B292" s="301" t="s">
        <v>351</v>
      </c>
      <c r="G292" s="301" t="s">
        <v>315</v>
      </c>
      <c r="H292" s="301" t="s">
        <v>314</v>
      </c>
      <c r="I292" s="301" t="s">
        <v>1692</v>
      </c>
      <c r="J292" s="73">
        <v>40848</v>
      </c>
      <c r="K292" s="133">
        <v>67</v>
      </c>
      <c r="M292" s="301" t="s">
        <v>1615</v>
      </c>
      <c r="N292" s="301" t="s">
        <v>1627</v>
      </c>
      <c r="O292" s="301" t="s">
        <v>173</v>
      </c>
      <c r="P292" s="133">
        <v>76</v>
      </c>
      <c r="Q292" s="133">
        <v>381</v>
      </c>
      <c r="U292" s="301" t="s">
        <v>1614</v>
      </c>
    </row>
    <row r="293" spans="1:21" x14ac:dyDescent="0.3">
      <c r="A293" s="301" t="s">
        <v>309</v>
      </c>
      <c r="B293" s="301" t="s">
        <v>1031</v>
      </c>
      <c r="G293" s="301" t="s">
        <v>310</v>
      </c>
      <c r="H293" s="301" t="s">
        <v>308</v>
      </c>
      <c r="I293" s="301" t="s">
        <v>775</v>
      </c>
      <c r="J293" s="73">
        <v>40848</v>
      </c>
      <c r="K293" s="133"/>
      <c r="M293" s="301" t="s">
        <v>1616</v>
      </c>
      <c r="N293" s="301" t="s">
        <v>1687</v>
      </c>
      <c r="O293" s="301" t="s">
        <v>173</v>
      </c>
      <c r="P293" s="133">
        <v>112</v>
      </c>
      <c r="Q293" s="133">
        <v>487</v>
      </c>
      <c r="U293" s="301" t="s">
        <v>1615</v>
      </c>
    </row>
    <row r="294" spans="1:21" x14ac:dyDescent="0.3">
      <c r="A294" s="301" t="s">
        <v>309</v>
      </c>
      <c r="B294" s="301" t="s">
        <v>1032</v>
      </c>
      <c r="G294" s="301" t="s">
        <v>1131</v>
      </c>
      <c r="H294" s="301" t="s">
        <v>1132</v>
      </c>
      <c r="I294" s="301" t="s">
        <v>775</v>
      </c>
      <c r="J294" s="73">
        <v>42370</v>
      </c>
      <c r="K294" s="133"/>
      <c r="M294" s="301" t="s">
        <v>1617</v>
      </c>
      <c r="N294" s="301" t="s">
        <v>1629</v>
      </c>
      <c r="O294" s="301" t="s">
        <v>173</v>
      </c>
      <c r="P294" s="133">
        <v>6</v>
      </c>
      <c r="Q294" s="133">
        <v>32</v>
      </c>
      <c r="U294" s="301" t="s">
        <v>1616</v>
      </c>
    </row>
    <row r="295" spans="1:21" x14ac:dyDescent="0.3">
      <c r="A295" s="301" t="s">
        <v>309</v>
      </c>
      <c r="B295" s="301" t="s">
        <v>1033</v>
      </c>
      <c r="G295" s="301" t="s">
        <v>64</v>
      </c>
      <c r="H295" s="301" t="s">
        <v>63</v>
      </c>
      <c r="I295" s="301" t="s">
        <v>775</v>
      </c>
      <c r="J295" s="73">
        <v>41275</v>
      </c>
      <c r="K295" s="133"/>
      <c r="M295" s="301" t="s">
        <v>1618</v>
      </c>
      <c r="N295" s="301" t="s">
        <v>1688</v>
      </c>
      <c r="O295" s="301" t="s">
        <v>237</v>
      </c>
      <c r="P295" s="133">
        <v>205</v>
      </c>
      <c r="Q295" s="133">
        <v>960</v>
      </c>
      <c r="U295" s="301" t="s">
        <v>1617</v>
      </c>
    </row>
    <row r="296" spans="1:21" x14ac:dyDescent="0.3">
      <c r="A296" s="301" t="s">
        <v>309</v>
      </c>
      <c r="B296" s="301" t="s">
        <v>1028</v>
      </c>
      <c r="G296" s="301" t="s">
        <v>126</v>
      </c>
      <c r="H296" s="301" t="s">
        <v>125</v>
      </c>
      <c r="I296" s="301" t="s">
        <v>1692</v>
      </c>
      <c r="J296" s="73">
        <v>41275</v>
      </c>
      <c r="K296" s="133">
        <v>32</v>
      </c>
      <c r="M296" s="301" t="s">
        <v>1619</v>
      </c>
      <c r="N296" s="301" t="s">
        <v>1634</v>
      </c>
      <c r="O296" s="301" t="s">
        <v>237</v>
      </c>
      <c r="P296" s="133">
        <v>229</v>
      </c>
      <c r="Q296" s="133">
        <v>1247</v>
      </c>
      <c r="U296" s="301" t="s">
        <v>1618</v>
      </c>
    </row>
    <row r="297" spans="1:21" x14ac:dyDescent="0.3">
      <c r="A297" s="301" t="s">
        <v>309</v>
      </c>
      <c r="B297" s="301" t="s">
        <v>1030</v>
      </c>
      <c r="G297" s="301" t="s">
        <v>1194</v>
      </c>
      <c r="H297" s="301" t="s">
        <v>1182</v>
      </c>
      <c r="I297" s="301" t="s">
        <v>775</v>
      </c>
      <c r="J297" s="301" t="s">
        <v>1218</v>
      </c>
      <c r="K297" s="133"/>
      <c r="M297" s="301" t="s">
        <v>1653</v>
      </c>
      <c r="N297" s="301" t="s">
        <v>1712</v>
      </c>
      <c r="O297" s="301" t="s">
        <v>237</v>
      </c>
      <c r="P297" s="133">
        <v>140</v>
      </c>
      <c r="Q297" s="133">
        <v>620</v>
      </c>
      <c r="U297" s="301" t="s">
        <v>1619</v>
      </c>
    </row>
    <row r="298" spans="1:21" x14ac:dyDescent="0.3">
      <c r="A298" s="301" t="s">
        <v>309</v>
      </c>
      <c r="B298" s="301" t="s">
        <v>1250</v>
      </c>
      <c r="G298" s="301" t="s">
        <v>351</v>
      </c>
      <c r="H298" s="301" t="s">
        <v>350</v>
      </c>
      <c r="I298" s="301" t="s">
        <v>1692</v>
      </c>
      <c r="J298" s="73">
        <v>40695</v>
      </c>
      <c r="K298" s="133">
        <v>1403</v>
      </c>
      <c r="M298" s="301" t="s">
        <v>1655</v>
      </c>
      <c r="N298" s="301" t="s">
        <v>1660</v>
      </c>
      <c r="O298" s="301" t="s">
        <v>237</v>
      </c>
      <c r="P298" s="133">
        <v>8</v>
      </c>
      <c r="Q298" s="133">
        <v>32</v>
      </c>
      <c r="U298" s="301" t="s">
        <v>1653</v>
      </c>
    </row>
    <row r="299" spans="1:21" x14ac:dyDescent="0.3">
      <c r="A299" s="301" t="s">
        <v>309</v>
      </c>
      <c r="B299" s="301" t="s">
        <v>1261</v>
      </c>
      <c r="G299" s="301" t="s">
        <v>37</v>
      </c>
      <c r="H299" s="301" t="s">
        <v>36</v>
      </c>
      <c r="I299" s="301" t="s">
        <v>775</v>
      </c>
      <c r="J299" s="301" t="s">
        <v>1218</v>
      </c>
      <c r="K299" s="133"/>
      <c r="M299" s="301" t="s">
        <v>1656</v>
      </c>
      <c r="N299" s="301" t="s">
        <v>1612</v>
      </c>
      <c r="O299" s="301" t="s">
        <v>480</v>
      </c>
      <c r="P299" s="133">
        <v>47</v>
      </c>
      <c r="Q299" s="133">
        <v>218</v>
      </c>
      <c r="U299" s="301" t="s">
        <v>1655</v>
      </c>
    </row>
    <row r="300" spans="1:21" x14ac:dyDescent="0.3">
      <c r="A300" s="301" t="s">
        <v>309</v>
      </c>
      <c r="B300" s="301" t="s">
        <v>1255</v>
      </c>
      <c r="G300" s="301" t="s">
        <v>74</v>
      </c>
      <c r="H300" s="301" t="s">
        <v>73</v>
      </c>
      <c r="I300" s="301" t="s">
        <v>775</v>
      </c>
      <c r="J300" s="301" t="s">
        <v>1218</v>
      </c>
      <c r="K300" s="133"/>
      <c r="M300" s="301" t="s">
        <v>1657</v>
      </c>
      <c r="N300" s="301" t="s">
        <v>1697</v>
      </c>
      <c r="O300" s="301" t="s">
        <v>309</v>
      </c>
      <c r="P300" s="133">
        <v>79</v>
      </c>
      <c r="Q300" s="133">
        <v>350</v>
      </c>
      <c r="U300" s="301" t="s">
        <v>1656</v>
      </c>
    </row>
    <row r="301" spans="1:21" x14ac:dyDescent="0.3">
      <c r="A301" s="301" t="s">
        <v>309</v>
      </c>
      <c r="B301" s="301" t="s">
        <v>1694</v>
      </c>
      <c r="G301" s="301" t="s">
        <v>282</v>
      </c>
      <c r="H301" s="301" t="s">
        <v>281</v>
      </c>
      <c r="I301" s="301" t="s">
        <v>775</v>
      </c>
      <c r="J301" s="73">
        <v>41000</v>
      </c>
      <c r="K301" s="133">
        <v>7</v>
      </c>
      <c r="M301" s="301" t="s">
        <v>1658</v>
      </c>
      <c r="N301" s="301" t="s">
        <v>1666</v>
      </c>
      <c r="O301" s="301" t="s">
        <v>480</v>
      </c>
      <c r="P301" s="133">
        <v>16</v>
      </c>
      <c r="Q301" s="133">
        <v>66</v>
      </c>
      <c r="U301" s="301" t="s">
        <v>1657</v>
      </c>
    </row>
    <row r="302" spans="1:21" x14ac:dyDescent="0.3">
      <c r="A302" s="301" t="s">
        <v>309</v>
      </c>
      <c r="B302" s="301" t="s">
        <v>1697</v>
      </c>
      <c r="G302" s="301" t="s">
        <v>1717</v>
      </c>
      <c r="H302" s="301" t="s">
        <v>787</v>
      </c>
      <c r="I302" s="301" t="s">
        <v>1691</v>
      </c>
      <c r="J302" s="301" t="s">
        <v>1218</v>
      </c>
      <c r="K302" s="133">
        <v>86</v>
      </c>
      <c r="M302" s="301" t="s">
        <v>1682</v>
      </c>
      <c r="N302" s="301" t="s">
        <v>1683</v>
      </c>
      <c r="O302" s="301" t="s">
        <v>237</v>
      </c>
      <c r="P302" s="133">
        <v>255</v>
      </c>
      <c r="Q302" s="133">
        <v>1373</v>
      </c>
      <c r="U302" s="301" t="s">
        <v>1658</v>
      </c>
    </row>
    <row r="303" spans="1:21" x14ac:dyDescent="0.3">
      <c r="A303" s="301" t="s">
        <v>1198</v>
      </c>
      <c r="B303" s="301" t="s">
        <v>1195</v>
      </c>
      <c r="G303" s="301" t="s">
        <v>26</v>
      </c>
      <c r="H303" s="301" t="s">
        <v>25</v>
      </c>
      <c r="I303" s="301" t="s">
        <v>775</v>
      </c>
      <c r="J303" s="73">
        <v>41122</v>
      </c>
      <c r="K303" s="133">
        <v>11</v>
      </c>
      <c r="M303" s="301" t="s">
        <v>1695</v>
      </c>
      <c r="N303" s="301" t="s">
        <v>1694</v>
      </c>
      <c r="O303" s="301" t="s">
        <v>309</v>
      </c>
      <c r="P303" s="133">
        <v>95</v>
      </c>
      <c r="Q303" s="133">
        <v>499</v>
      </c>
      <c r="U303" s="301" t="s">
        <v>1682</v>
      </c>
    </row>
    <row r="304" spans="1:21" x14ac:dyDescent="0.3">
      <c r="A304" s="301" t="s">
        <v>1134</v>
      </c>
      <c r="B304" s="301" t="s">
        <v>1386</v>
      </c>
      <c r="G304" s="301" t="s">
        <v>140</v>
      </c>
      <c r="H304" s="301" t="s">
        <v>139</v>
      </c>
      <c r="I304" s="301" t="s">
        <v>1692</v>
      </c>
      <c r="J304" s="73">
        <v>41122</v>
      </c>
      <c r="K304" s="133">
        <v>16</v>
      </c>
      <c r="M304" s="301" t="s">
        <v>1695</v>
      </c>
      <c r="N304" s="301" t="s">
        <v>1911</v>
      </c>
      <c r="O304" s="301" t="s">
        <v>746</v>
      </c>
      <c r="P304" s="133">
        <v>29</v>
      </c>
      <c r="Q304" s="133">
        <v>140</v>
      </c>
      <c r="U304" s="301" t="s">
        <v>1695</v>
      </c>
    </row>
    <row r="305" spans="1:21" x14ac:dyDescent="0.3">
      <c r="A305" s="301" t="s">
        <v>1134</v>
      </c>
      <c r="B305" s="301" t="s">
        <v>1387</v>
      </c>
      <c r="G305" s="301" t="s">
        <v>1030</v>
      </c>
      <c r="H305" s="301" t="s">
        <v>354</v>
      </c>
      <c r="I305" s="301" t="s">
        <v>775</v>
      </c>
      <c r="J305" s="73">
        <v>40848</v>
      </c>
      <c r="K305" s="133"/>
      <c r="M305" s="301" t="s">
        <v>787</v>
      </c>
      <c r="N305" s="301" t="s">
        <v>787</v>
      </c>
      <c r="O305" s="301" t="s">
        <v>787</v>
      </c>
      <c r="P305" s="133"/>
      <c r="Q305" s="133"/>
      <c r="U305" s="301" t="s">
        <v>787</v>
      </c>
    </row>
    <row r="306" spans="1:21" x14ac:dyDescent="0.3">
      <c r="A306" s="301" t="s">
        <v>1134</v>
      </c>
      <c r="B306" s="301" t="s">
        <v>1686</v>
      </c>
      <c r="G306" s="301" t="s">
        <v>467</v>
      </c>
      <c r="H306" s="301" t="s">
        <v>468</v>
      </c>
      <c r="I306" s="301" t="s">
        <v>775</v>
      </c>
      <c r="J306" s="301" t="s">
        <v>1218</v>
      </c>
      <c r="K306" s="133">
        <v>0</v>
      </c>
      <c r="M306" s="301" t="s">
        <v>787</v>
      </c>
      <c r="N306" s="301" t="s">
        <v>1717</v>
      </c>
      <c r="O306" s="301" t="s">
        <v>151</v>
      </c>
      <c r="P306" s="133">
        <v>86</v>
      </c>
      <c r="Q306" s="133">
        <v>450</v>
      </c>
      <c r="U306" s="301" t="s">
        <v>1721</v>
      </c>
    </row>
    <row r="307" spans="1:21" x14ac:dyDescent="0.3">
      <c r="A307" s="301" t="s">
        <v>1134</v>
      </c>
      <c r="B307" s="301" t="s">
        <v>1713</v>
      </c>
      <c r="G307" s="301" t="s">
        <v>371</v>
      </c>
      <c r="H307" s="301" t="s">
        <v>385</v>
      </c>
      <c r="I307" s="301" t="s">
        <v>1692</v>
      </c>
      <c r="J307" s="73">
        <v>41244</v>
      </c>
      <c r="K307" s="133">
        <v>205</v>
      </c>
      <c r="M307" s="301" t="s">
        <v>1721</v>
      </c>
      <c r="N307" s="301" t="s">
        <v>1724</v>
      </c>
      <c r="O307" s="301" t="s">
        <v>146</v>
      </c>
      <c r="P307" s="133">
        <v>32</v>
      </c>
      <c r="Q307" s="133">
        <v>150</v>
      </c>
      <c r="U307" s="301" t="s">
        <v>2098</v>
      </c>
    </row>
    <row r="308" spans="1:21" x14ac:dyDescent="0.3">
      <c r="A308" s="301" t="s">
        <v>787</v>
      </c>
      <c r="B308" s="301" t="s">
        <v>787</v>
      </c>
      <c r="G308" s="301" t="s">
        <v>787</v>
      </c>
      <c r="H308" s="301" t="s">
        <v>787</v>
      </c>
      <c r="I308" s="301" t="s">
        <v>787</v>
      </c>
      <c r="J308" s="301" t="s">
        <v>1218</v>
      </c>
      <c r="K308" s="133"/>
      <c r="M308" s="301" t="s">
        <v>2098</v>
      </c>
      <c r="N308" s="301" t="s">
        <v>2102</v>
      </c>
      <c r="O308" s="301" t="s">
        <v>301</v>
      </c>
      <c r="P308" s="133">
        <v>361</v>
      </c>
      <c r="Q308" s="133">
        <v>1397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J227"/>
  <sheetViews>
    <sheetView topLeftCell="B1" zoomScale="90" zoomScaleNormal="90" workbookViewId="0">
      <selection activeCell="C14" sqref="C14"/>
    </sheetView>
  </sheetViews>
  <sheetFormatPr defaultRowHeight="14.4" x14ac:dyDescent="0.3"/>
  <cols>
    <col min="1" max="1" width="14.33203125" customWidth="1"/>
    <col min="2" max="2" width="25.33203125" style="36" customWidth="1"/>
    <col min="3" max="3" width="47.33203125" customWidth="1"/>
    <col min="4" max="4" width="16" customWidth="1"/>
    <col min="6" max="7" width="0" hidden="1" customWidth="1"/>
    <col min="8" max="8" width="59.21875" style="3" customWidth="1"/>
    <col min="9" max="9" width="10.33203125" style="3" customWidth="1"/>
    <col min="10" max="10" width="18" style="3" customWidth="1"/>
    <col min="11" max="11" width="21.88671875" customWidth="1"/>
    <col min="12" max="12" width="7.44140625" customWidth="1"/>
    <col min="13" max="13" width="13.6640625" customWidth="1"/>
  </cols>
  <sheetData>
    <row r="1" spans="1:10" x14ac:dyDescent="0.3">
      <c r="A1" s="105" t="s">
        <v>458</v>
      </c>
      <c r="B1" s="300" t="s">
        <v>956</v>
      </c>
      <c r="H1"/>
      <c r="I1"/>
    </row>
    <row r="2" spans="1:10" x14ac:dyDescent="0.3">
      <c r="H2" s="182" t="s">
        <v>458</v>
      </c>
      <c r="I2" s="184" t="s">
        <v>775</v>
      </c>
    </row>
    <row r="3" spans="1:10" x14ac:dyDescent="0.3">
      <c r="A3" s="155" t="s">
        <v>0</v>
      </c>
      <c r="B3" s="156" t="s">
        <v>511</v>
      </c>
      <c r="C3" s="113" t="s">
        <v>463</v>
      </c>
      <c r="D3" s="111" t="s">
        <v>863</v>
      </c>
    </row>
    <row r="4" spans="1:10" x14ac:dyDescent="0.3">
      <c r="A4" s="161" t="s">
        <v>5</v>
      </c>
      <c r="B4" s="161" t="s">
        <v>21</v>
      </c>
      <c r="C4" s="300" t="s">
        <v>22</v>
      </c>
      <c r="D4" s="163">
        <v>0.66614420062695934</v>
      </c>
      <c r="H4" s="155" t="s">
        <v>410</v>
      </c>
      <c r="I4" s="144" t="s">
        <v>794</v>
      </c>
      <c r="J4"/>
    </row>
    <row r="5" spans="1:10" x14ac:dyDescent="0.3">
      <c r="A5" s="109"/>
      <c r="B5" s="109" t="s">
        <v>17</v>
      </c>
      <c r="C5" s="300" t="s">
        <v>18</v>
      </c>
      <c r="D5" s="164">
        <v>0.7846153846153846</v>
      </c>
      <c r="H5" s="157" t="s">
        <v>237</v>
      </c>
      <c r="I5" s="378">
        <v>681</v>
      </c>
      <c r="J5"/>
    </row>
    <row r="6" spans="1:10" x14ac:dyDescent="0.3">
      <c r="A6" s="109"/>
      <c r="B6" s="109" t="s">
        <v>4</v>
      </c>
      <c r="C6" s="300" t="s">
        <v>6</v>
      </c>
      <c r="D6" s="164">
        <v>0.66147859922178998</v>
      </c>
      <c r="H6" s="265" t="s">
        <v>256</v>
      </c>
      <c r="I6" s="378">
        <v>45</v>
      </c>
      <c r="J6"/>
    </row>
    <row r="7" spans="1:10" x14ac:dyDescent="0.3">
      <c r="A7" s="109"/>
      <c r="B7" s="109" t="s">
        <v>13</v>
      </c>
      <c r="C7" s="300" t="s">
        <v>14</v>
      </c>
      <c r="D7" s="164">
        <v>1</v>
      </c>
      <c r="H7" s="265" t="s">
        <v>303</v>
      </c>
      <c r="I7" s="378">
        <v>375</v>
      </c>
      <c r="J7"/>
    </row>
    <row r="8" spans="1:10" x14ac:dyDescent="0.3">
      <c r="A8" s="109"/>
      <c r="B8" s="109" t="s">
        <v>25</v>
      </c>
      <c r="C8" s="300" t="s">
        <v>26</v>
      </c>
      <c r="D8" s="164">
        <v>2.8000000000000003</v>
      </c>
      <c r="H8" s="265" t="s">
        <v>266</v>
      </c>
      <c r="I8" s="378"/>
      <c r="J8"/>
    </row>
    <row r="9" spans="1:10" x14ac:dyDescent="0.3">
      <c r="A9" s="109"/>
      <c r="B9" s="109" t="s">
        <v>19</v>
      </c>
      <c r="C9" s="300" t="s">
        <v>20</v>
      </c>
      <c r="D9" s="164">
        <v>0.47619047619047616</v>
      </c>
      <c r="H9" s="265" t="s">
        <v>282</v>
      </c>
      <c r="I9" s="378">
        <v>7</v>
      </c>
      <c r="J9"/>
    </row>
    <row r="10" spans="1:10" x14ac:dyDescent="0.3">
      <c r="A10" s="109"/>
      <c r="B10" s="109" t="s">
        <v>23</v>
      </c>
      <c r="C10" s="300" t="s">
        <v>24</v>
      </c>
      <c r="D10" s="164">
        <v>1.75</v>
      </c>
      <c r="H10" s="265" t="s">
        <v>1520</v>
      </c>
      <c r="I10" s="378">
        <v>25</v>
      </c>
      <c r="J10"/>
    </row>
    <row r="11" spans="1:10" x14ac:dyDescent="0.3">
      <c r="A11" s="109"/>
      <c r="B11" s="109" t="s">
        <v>374</v>
      </c>
      <c r="C11" s="300" t="s">
        <v>364</v>
      </c>
      <c r="D11" s="164">
        <v>0.82352941176470584</v>
      </c>
      <c r="H11" s="265" t="s">
        <v>1634</v>
      </c>
      <c r="I11" s="378">
        <v>229</v>
      </c>
      <c r="J11"/>
    </row>
    <row r="12" spans="1:10" x14ac:dyDescent="0.3">
      <c r="A12" s="109"/>
      <c r="B12" s="109" t="s">
        <v>7</v>
      </c>
      <c r="C12" s="300" t="s">
        <v>8</v>
      </c>
      <c r="D12" s="164">
        <v>1.3846153846153846</v>
      </c>
      <c r="H12" s="157" t="s">
        <v>173</v>
      </c>
      <c r="I12" s="378">
        <v>251</v>
      </c>
      <c r="J12"/>
    </row>
    <row r="13" spans="1:10" x14ac:dyDescent="0.3">
      <c r="A13" s="110"/>
      <c r="B13" s="110" t="s">
        <v>375</v>
      </c>
      <c r="C13" s="300" t="s">
        <v>465</v>
      </c>
      <c r="D13" s="165">
        <v>1.8333333333333335</v>
      </c>
      <c r="H13" s="265" t="s">
        <v>1061</v>
      </c>
      <c r="I13" s="378"/>
      <c r="J13"/>
    </row>
    <row r="14" spans="1:10" x14ac:dyDescent="0.3">
      <c r="A14" s="109" t="s">
        <v>27</v>
      </c>
      <c r="B14" s="109" t="s">
        <v>30</v>
      </c>
      <c r="C14" s="110" t="s">
        <v>28</v>
      </c>
      <c r="D14" s="164">
        <v>0.9907407407407407</v>
      </c>
      <c r="H14" s="265" t="s">
        <v>1052</v>
      </c>
      <c r="I14" s="378">
        <v>6</v>
      </c>
      <c r="J14"/>
    </row>
    <row r="15" spans="1:10" x14ac:dyDescent="0.3">
      <c r="A15" s="109"/>
      <c r="B15" s="109" t="s">
        <v>376</v>
      </c>
      <c r="C15" s="110" t="s">
        <v>363</v>
      </c>
      <c r="D15" s="164">
        <v>0.50694444444444442</v>
      </c>
      <c r="H15" s="265" t="s">
        <v>1511</v>
      </c>
      <c r="I15" s="378">
        <v>245</v>
      </c>
      <c r="J15"/>
    </row>
    <row r="16" spans="1:10" x14ac:dyDescent="0.3">
      <c r="A16" s="109"/>
      <c r="B16" s="110" t="s">
        <v>789</v>
      </c>
      <c r="C16" s="110" t="s">
        <v>790</v>
      </c>
      <c r="D16" s="165">
        <v>0</v>
      </c>
      <c r="H16" s="157" t="s">
        <v>297</v>
      </c>
      <c r="I16" s="378">
        <v>131</v>
      </c>
      <c r="J16"/>
    </row>
    <row r="17" spans="1:10" x14ac:dyDescent="0.3">
      <c r="A17" s="109"/>
      <c r="B17" s="132" t="s">
        <v>29</v>
      </c>
      <c r="C17" s="132" t="s">
        <v>362</v>
      </c>
      <c r="D17" s="112">
        <v>0</v>
      </c>
      <c r="H17" s="265" t="s">
        <v>534</v>
      </c>
      <c r="I17" s="378">
        <v>118</v>
      </c>
      <c r="J17"/>
    </row>
    <row r="18" spans="1:10" x14ac:dyDescent="0.3">
      <c r="A18" s="110"/>
      <c r="B18" s="132" t="s">
        <v>874</v>
      </c>
      <c r="C18" s="132" t="s">
        <v>873</v>
      </c>
      <c r="D18" s="112">
        <v>0</v>
      </c>
      <c r="H18" s="265" t="s">
        <v>1184</v>
      </c>
      <c r="I18" s="378"/>
      <c r="J18"/>
    </row>
    <row r="19" spans="1:10" x14ac:dyDescent="0.3">
      <c r="A19" s="109" t="s">
        <v>480</v>
      </c>
      <c r="B19" s="109" t="s">
        <v>864</v>
      </c>
      <c r="C19" s="109" t="s">
        <v>824</v>
      </c>
      <c r="D19" s="164">
        <v>0</v>
      </c>
      <c r="H19" s="265" t="s">
        <v>1186</v>
      </c>
      <c r="I19" s="378">
        <v>13</v>
      </c>
      <c r="J19"/>
    </row>
    <row r="20" spans="1:10" x14ac:dyDescent="0.3">
      <c r="A20" s="109"/>
      <c r="B20" s="109"/>
      <c r="C20" s="110" t="s">
        <v>787</v>
      </c>
      <c r="D20" s="164">
        <v>0</v>
      </c>
      <c r="H20" s="265" t="s">
        <v>1187</v>
      </c>
      <c r="I20" s="378"/>
      <c r="J20"/>
    </row>
    <row r="21" spans="1:10" x14ac:dyDescent="0.3">
      <c r="A21" s="109"/>
      <c r="B21" s="109" t="s">
        <v>99</v>
      </c>
      <c r="C21" s="110" t="s">
        <v>100</v>
      </c>
      <c r="D21" s="164">
        <v>2</v>
      </c>
      <c r="H21" s="265" t="s">
        <v>1188</v>
      </c>
      <c r="I21" s="378"/>
      <c r="J21"/>
    </row>
    <row r="22" spans="1:10" x14ac:dyDescent="0.3">
      <c r="A22" s="109"/>
      <c r="B22" s="109" t="s">
        <v>107</v>
      </c>
      <c r="C22" s="110" t="s">
        <v>108</v>
      </c>
      <c r="D22" s="164">
        <v>1.1000000000000001</v>
      </c>
      <c r="H22" s="157" t="s">
        <v>309</v>
      </c>
      <c r="I22" s="378">
        <v>92</v>
      </c>
      <c r="J22"/>
    </row>
    <row r="23" spans="1:10" x14ac:dyDescent="0.3">
      <c r="A23" s="109"/>
      <c r="B23" s="109" t="s">
        <v>139</v>
      </c>
      <c r="C23" s="110" t="s">
        <v>140</v>
      </c>
      <c r="D23" s="164">
        <v>0.90909090909090906</v>
      </c>
      <c r="H23" s="265" t="s">
        <v>356</v>
      </c>
      <c r="I23" s="378">
        <v>0</v>
      </c>
      <c r="J23"/>
    </row>
    <row r="24" spans="1:10" x14ac:dyDescent="0.3">
      <c r="A24" s="109"/>
      <c r="B24" s="109" t="s">
        <v>71</v>
      </c>
      <c r="C24" s="110" t="s">
        <v>72</v>
      </c>
      <c r="D24" s="164">
        <v>1</v>
      </c>
      <c r="H24" s="265" t="s">
        <v>331</v>
      </c>
      <c r="I24" s="378">
        <v>0</v>
      </c>
      <c r="J24"/>
    </row>
    <row r="25" spans="1:10" x14ac:dyDescent="0.3">
      <c r="A25" s="109"/>
      <c r="B25" s="109" t="s">
        <v>51</v>
      </c>
      <c r="C25" s="110" t="s">
        <v>52</v>
      </c>
      <c r="D25" s="164">
        <v>0.52631578947368418</v>
      </c>
      <c r="H25" s="265" t="s">
        <v>349</v>
      </c>
      <c r="I25" s="378">
        <v>92</v>
      </c>
      <c r="J25"/>
    </row>
    <row r="26" spans="1:10" x14ac:dyDescent="0.3">
      <c r="A26" s="109"/>
      <c r="B26" s="109" t="s">
        <v>75</v>
      </c>
      <c r="C26" s="110" t="s">
        <v>76</v>
      </c>
      <c r="D26" s="164">
        <v>1.0714285714285714</v>
      </c>
      <c r="H26" s="265" t="s">
        <v>310</v>
      </c>
      <c r="I26" s="378"/>
      <c r="J26"/>
    </row>
    <row r="27" spans="1:10" x14ac:dyDescent="0.3">
      <c r="A27" s="109"/>
      <c r="B27" s="109" t="s">
        <v>40</v>
      </c>
      <c r="C27" s="110" t="s">
        <v>41</v>
      </c>
      <c r="D27" s="164">
        <v>0.90909090909090906</v>
      </c>
      <c r="H27" s="265" t="s">
        <v>1031</v>
      </c>
      <c r="I27" s="378"/>
      <c r="J27"/>
    </row>
    <row r="28" spans="1:10" x14ac:dyDescent="0.3">
      <c r="A28" s="109"/>
      <c r="B28" s="109" t="s">
        <v>89</v>
      </c>
      <c r="C28" s="110" t="s">
        <v>90</v>
      </c>
      <c r="D28" s="164">
        <v>1.25</v>
      </c>
      <c r="H28" s="265" t="s">
        <v>1032</v>
      </c>
      <c r="I28" s="378"/>
      <c r="J28"/>
    </row>
    <row r="29" spans="1:10" x14ac:dyDescent="0.3">
      <c r="A29" s="109"/>
      <c r="B29" s="109" t="s">
        <v>117</v>
      </c>
      <c r="C29" s="110" t="s">
        <v>118</v>
      </c>
      <c r="D29" s="164">
        <v>1</v>
      </c>
      <c r="H29" s="265" t="s">
        <v>1033</v>
      </c>
      <c r="I29" s="378">
        <v>0</v>
      </c>
      <c r="J29"/>
    </row>
    <row r="30" spans="1:10" x14ac:dyDescent="0.3">
      <c r="A30" s="109"/>
      <c r="B30" s="109" t="s">
        <v>123</v>
      </c>
      <c r="C30" s="110" t="s">
        <v>124</v>
      </c>
      <c r="D30" s="164">
        <v>0.625</v>
      </c>
      <c r="H30" s="265" t="s">
        <v>1030</v>
      </c>
      <c r="I30" s="378"/>
      <c r="J30"/>
    </row>
    <row r="31" spans="1:10" x14ac:dyDescent="0.3">
      <c r="A31" s="109"/>
      <c r="B31" s="109" t="s">
        <v>125</v>
      </c>
      <c r="C31" s="110" t="s">
        <v>126</v>
      </c>
      <c r="D31" s="164">
        <v>0.45454545454545453</v>
      </c>
      <c r="H31" s="157" t="s">
        <v>719</v>
      </c>
      <c r="I31" s="378">
        <v>67</v>
      </c>
      <c r="J31"/>
    </row>
    <row r="32" spans="1:10" x14ac:dyDescent="0.3">
      <c r="A32" s="109"/>
      <c r="B32" s="109" t="s">
        <v>45</v>
      </c>
      <c r="C32" s="110" t="s">
        <v>44</v>
      </c>
      <c r="D32" s="164">
        <v>2</v>
      </c>
      <c r="H32" s="265" t="s">
        <v>535</v>
      </c>
      <c r="I32" s="378">
        <v>67</v>
      </c>
      <c r="J32"/>
    </row>
    <row r="33" spans="1:10" x14ac:dyDescent="0.3">
      <c r="A33" s="109"/>
      <c r="B33" s="109" t="s">
        <v>46</v>
      </c>
      <c r="C33" s="110" t="s">
        <v>551</v>
      </c>
      <c r="D33" s="164">
        <v>1.25</v>
      </c>
      <c r="H33" s="265" t="s">
        <v>1141</v>
      </c>
      <c r="I33" s="378"/>
      <c r="J33"/>
    </row>
    <row r="34" spans="1:10" x14ac:dyDescent="0.3">
      <c r="A34" s="109"/>
      <c r="B34" s="109" t="s">
        <v>42</v>
      </c>
      <c r="C34" s="110" t="s">
        <v>43</v>
      </c>
      <c r="D34" s="164">
        <v>0.7142857142857143</v>
      </c>
      <c r="H34" s="157" t="s">
        <v>5</v>
      </c>
      <c r="I34" s="378">
        <v>48</v>
      </c>
      <c r="J34"/>
    </row>
    <row r="35" spans="1:10" x14ac:dyDescent="0.3">
      <c r="A35" s="109"/>
      <c r="B35" s="110" t="s">
        <v>91</v>
      </c>
      <c r="C35" s="110" t="s">
        <v>92</v>
      </c>
      <c r="D35" s="165">
        <v>1</v>
      </c>
      <c r="H35" s="265" t="s">
        <v>10</v>
      </c>
      <c r="I35" s="378">
        <v>0</v>
      </c>
      <c r="J35"/>
    </row>
    <row r="36" spans="1:10" x14ac:dyDescent="0.3">
      <c r="A36" s="109"/>
      <c r="B36" s="132" t="s">
        <v>119</v>
      </c>
      <c r="C36" s="132" t="s">
        <v>120</v>
      </c>
      <c r="D36" s="112">
        <v>0.16666666666666666</v>
      </c>
      <c r="H36" s="265" t="s">
        <v>16</v>
      </c>
      <c r="I36" s="378"/>
      <c r="J36"/>
    </row>
    <row r="37" spans="1:10" x14ac:dyDescent="0.3">
      <c r="A37" s="109"/>
      <c r="B37" s="132" t="s">
        <v>1161</v>
      </c>
      <c r="C37" s="132" t="s">
        <v>1155</v>
      </c>
      <c r="D37" s="112">
        <v>0</v>
      </c>
      <c r="H37" s="265" t="s">
        <v>20</v>
      </c>
      <c r="I37" s="378">
        <v>17</v>
      </c>
      <c r="J37"/>
    </row>
    <row r="38" spans="1:10" x14ac:dyDescent="0.3">
      <c r="A38" s="110"/>
      <c r="B38" s="132" t="s">
        <v>1159</v>
      </c>
      <c r="C38" s="132" t="s">
        <v>1156</v>
      </c>
      <c r="D38" s="112">
        <v>0.53333333333333333</v>
      </c>
      <c r="H38" s="265" t="s">
        <v>822</v>
      </c>
      <c r="I38" s="378"/>
      <c r="J38"/>
    </row>
    <row r="39" spans="1:10" x14ac:dyDescent="0.3">
      <c r="A39" s="109" t="s">
        <v>146</v>
      </c>
      <c r="B39" s="109" t="s">
        <v>148</v>
      </c>
      <c r="C39" s="110" t="s">
        <v>149</v>
      </c>
      <c r="D39" s="164">
        <v>0.41269841269841268</v>
      </c>
      <c r="H39" s="265" t="s">
        <v>24</v>
      </c>
      <c r="I39" s="378">
        <v>20</v>
      </c>
      <c r="J39"/>
    </row>
    <row r="40" spans="1:10" x14ac:dyDescent="0.3">
      <c r="A40" s="109"/>
      <c r="B40" s="109" t="s">
        <v>381</v>
      </c>
      <c r="C40" s="110" t="s">
        <v>367</v>
      </c>
      <c r="D40" s="164">
        <v>1</v>
      </c>
      <c r="H40" s="265" t="s">
        <v>875</v>
      </c>
      <c r="I40" s="378"/>
      <c r="J40"/>
    </row>
    <row r="41" spans="1:10" x14ac:dyDescent="0.3">
      <c r="A41" s="109"/>
      <c r="B41" s="109" t="s">
        <v>382</v>
      </c>
      <c r="C41" s="110" t="s">
        <v>368</v>
      </c>
      <c r="D41" s="164">
        <v>1</v>
      </c>
      <c r="H41" s="265" t="s">
        <v>795</v>
      </c>
      <c r="I41" s="378">
        <v>0</v>
      </c>
      <c r="J41"/>
    </row>
    <row r="42" spans="1:10" x14ac:dyDescent="0.3">
      <c r="A42" s="109"/>
      <c r="B42" s="109" t="s">
        <v>383</v>
      </c>
      <c r="C42" s="110" t="s">
        <v>366</v>
      </c>
      <c r="D42" s="164">
        <v>0.92647058823529416</v>
      </c>
      <c r="H42" s="265" t="s">
        <v>26</v>
      </c>
      <c r="I42" s="378">
        <v>11</v>
      </c>
      <c r="J42"/>
    </row>
    <row r="43" spans="1:10" x14ac:dyDescent="0.3">
      <c r="A43" s="109"/>
      <c r="B43" s="109" t="s">
        <v>385</v>
      </c>
      <c r="C43" s="110" t="s">
        <v>371</v>
      </c>
      <c r="D43" s="164">
        <v>0.543010752688172</v>
      </c>
      <c r="H43" s="157" t="s">
        <v>1134</v>
      </c>
      <c r="I43" s="378">
        <v>42</v>
      </c>
      <c r="J43"/>
    </row>
    <row r="44" spans="1:10" x14ac:dyDescent="0.3">
      <c r="A44" s="109"/>
      <c r="B44" s="110" t="s">
        <v>147</v>
      </c>
      <c r="C44" s="110" t="s">
        <v>369</v>
      </c>
      <c r="D44" s="165">
        <v>0.10869565217391304</v>
      </c>
      <c r="H44" s="265" t="s">
        <v>1386</v>
      </c>
      <c r="I44" s="378">
        <v>42</v>
      </c>
      <c r="J44"/>
    </row>
    <row r="45" spans="1:10" x14ac:dyDescent="0.3">
      <c r="A45" s="110"/>
      <c r="B45" s="132" t="s">
        <v>940</v>
      </c>
      <c r="C45" s="132" t="s">
        <v>941</v>
      </c>
      <c r="D45" s="112">
        <v>0</v>
      </c>
      <c r="H45" s="157" t="s">
        <v>230</v>
      </c>
      <c r="I45" s="378">
        <v>41</v>
      </c>
      <c r="J45"/>
    </row>
    <row r="46" spans="1:10" x14ac:dyDescent="0.3">
      <c r="A46" s="109" t="s">
        <v>151</v>
      </c>
      <c r="B46" s="109" t="s">
        <v>150</v>
      </c>
      <c r="C46" s="110" t="s">
        <v>152</v>
      </c>
      <c r="D46" s="164">
        <v>0.54123711340206193</v>
      </c>
      <c r="H46" s="265" t="s">
        <v>169</v>
      </c>
      <c r="I46" s="378"/>
      <c r="J46"/>
    </row>
    <row r="47" spans="1:10" x14ac:dyDescent="0.3">
      <c r="A47" s="109"/>
      <c r="B47" s="109" t="s">
        <v>197</v>
      </c>
      <c r="C47" s="110" t="s">
        <v>198</v>
      </c>
      <c r="D47" s="164">
        <v>0.97623400365630708</v>
      </c>
      <c r="H47" s="265" t="s">
        <v>231</v>
      </c>
      <c r="I47" s="378">
        <v>32</v>
      </c>
      <c r="J47"/>
    </row>
    <row r="48" spans="1:10" x14ac:dyDescent="0.3">
      <c r="A48" s="109"/>
      <c r="B48" s="109" t="s">
        <v>153</v>
      </c>
      <c r="C48" s="110" t="s">
        <v>154</v>
      </c>
      <c r="D48" s="164">
        <v>0.44543429844097998</v>
      </c>
      <c r="H48" s="265" t="s">
        <v>233</v>
      </c>
      <c r="I48" s="378"/>
      <c r="J48"/>
    </row>
    <row r="49" spans="1:10" x14ac:dyDescent="0.3">
      <c r="A49" s="109"/>
      <c r="B49" s="109" t="s">
        <v>159</v>
      </c>
      <c r="C49" s="110" t="s">
        <v>160</v>
      </c>
      <c r="D49" s="164">
        <v>0.75510204081632648</v>
      </c>
      <c r="H49" s="265" t="s">
        <v>235</v>
      </c>
      <c r="I49" s="378"/>
      <c r="J49"/>
    </row>
    <row r="50" spans="1:10" x14ac:dyDescent="0.3">
      <c r="A50" s="109"/>
      <c r="B50" s="109" t="s">
        <v>812</v>
      </c>
      <c r="C50" s="110" t="s">
        <v>811</v>
      </c>
      <c r="D50" s="164">
        <v>0.76674937965260548</v>
      </c>
      <c r="H50" s="265" t="s">
        <v>359</v>
      </c>
      <c r="I50" s="378">
        <v>9</v>
      </c>
      <c r="J50"/>
    </row>
    <row r="51" spans="1:10" x14ac:dyDescent="0.3">
      <c r="A51" s="109"/>
      <c r="B51" s="109" t="s">
        <v>187</v>
      </c>
      <c r="C51" s="110" t="s">
        <v>188</v>
      </c>
      <c r="D51" s="164">
        <v>0.49222797927461137</v>
      </c>
      <c r="H51" s="265" t="s">
        <v>171</v>
      </c>
      <c r="I51" s="378"/>
      <c r="J51"/>
    </row>
    <row r="52" spans="1:10" x14ac:dyDescent="0.3">
      <c r="A52" s="109"/>
      <c r="B52" s="110" t="s">
        <v>844</v>
      </c>
      <c r="C52" s="110" t="s">
        <v>845</v>
      </c>
      <c r="D52" s="165">
        <v>0.28735632183908044</v>
      </c>
      <c r="H52" s="265" t="s">
        <v>1196</v>
      </c>
      <c r="I52" s="378"/>
      <c r="J52"/>
    </row>
    <row r="53" spans="1:10" x14ac:dyDescent="0.3">
      <c r="A53" s="110"/>
      <c r="B53" s="132" t="s">
        <v>937</v>
      </c>
      <c r="C53" s="132" t="s">
        <v>936</v>
      </c>
      <c r="D53" s="112">
        <v>0</v>
      </c>
      <c r="H53" s="265" t="s">
        <v>1206</v>
      </c>
      <c r="I53" s="378"/>
      <c r="J53"/>
    </row>
    <row r="54" spans="1:10" x14ac:dyDescent="0.3">
      <c r="A54" s="109" t="s">
        <v>166</v>
      </c>
      <c r="B54" s="109" t="s">
        <v>165</v>
      </c>
      <c r="C54" s="110" t="s">
        <v>167</v>
      </c>
      <c r="D54" s="164">
        <v>1.1428571428571428</v>
      </c>
      <c r="H54" s="265" t="s">
        <v>1207</v>
      </c>
      <c r="I54" s="378"/>
      <c r="J54"/>
    </row>
    <row r="55" spans="1:10" x14ac:dyDescent="0.3">
      <c r="A55" s="110"/>
      <c r="B55" s="110" t="s">
        <v>761</v>
      </c>
      <c r="C55" s="110" t="s">
        <v>760</v>
      </c>
      <c r="D55" s="165">
        <v>1</v>
      </c>
      <c r="H55" s="265" t="s">
        <v>1197</v>
      </c>
      <c r="I55" s="378"/>
      <c r="J55"/>
    </row>
    <row r="56" spans="1:10" x14ac:dyDescent="0.3">
      <c r="A56" s="109" t="s">
        <v>173</v>
      </c>
      <c r="B56" s="109" t="s">
        <v>175</v>
      </c>
      <c r="C56" s="110" t="s">
        <v>176</v>
      </c>
      <c r="D56" s="164">
        <v>0.66666666666666663</v>
      </c>
      <c r="H56" s="265" t="s">
        <v>1208</v>
      </c>
      <c r="I56" s="378"/>
      <c r="J56"/>
    </row>
    <row r="57" spans="1:10" x14ac:dyDescent="0.3">
      <c r="A57" s="109"/>
      <c r="B57" s="109" t="s">
        <v>172</v>
      </c>
      <c r="C57" s="110" t="s">
        <v>174</v>
      </c>
      <c r="D57" s="164">
        <v>1</v>
      </c>
      <c r="H57" s="265" t="s">
        <v>1212</v>
      </c>
      <c r="I57" s="378"/>
      <c r="J57"/>
    </row>
    <row r="58" spans="1:10" x14ac:dyDescent="0.3">
      <c r="A58" s="109"/>
      <c r="B58" s="110" t="s">
        <v>177</v>
      </c>
      <c r="C58" s="110" t="s">
        <v>178</v>
      </c>
      <c r="D58" s="165">
        <v>1</v>
      </c>
      <c r="H58" s="265" t="s">
        <v>1190</v>
      </c>
      <c r="I58" s="378"/>
      <c r="J58"/>
    </row>
    <row r="59" spans="1:10" x14ac:dyDescent="0.3">
      <c r="A59" s="110"/>
      <c r="B59" s="132" t="s">
        <v>1054</v>
      </c>
      <c r="C59" s="132" t="s">
        <v>1060</v>
      </c>
      <c r="D59" s="112">
        <v>1</v>
      </c>
      <c r="H59" s="265" t="s">
        <v>1191</v>
      </c>
      <c r="I59" s="378"/>
      <c r="J59"/>
    </row>
    <row r="60" spans="1:10" x14ac:dyDescent="0.3">
      <c r="A60" s="109" t="s">
        <v>180</v>
      </c>
      <c r="B60" s="109" t="s">
        <v>179</v>
      </c>
      <c r="C60" s="110" t="s">
        <v>181</v>
      </c>
      <c r="D60" s="164">
        <v>1</v>
      </c>
      <c r="H60" s="265" t="s">
        <v>1192</v>
      </c>
      <c r="I60" s="378"/>
      <c r="J60"/>
    </row>
    <row r="61" spans="1:10" x14ac:dyDescent="0.3">
      <c r="A61" s="110"/>
      <c r="B61" s="110" t="s">
        <v>285</v>
      </c>
      <c r="C61" s="110" t="s">
        <v>286</v>
      </c>
      <c r="D61" s="165">
        <v>1.5263157894736841</v>
      </c>
      <c r="H61" s="265" t="s">
        <v>1193</v>
      </c>
      <c r="I61" s="378"/>
      <c r="J61"/>
    </row>
    <row r="62" spans="1:10" x14ac:dyDescent="0.3">
      <c r="A62" s="109" t="s">
        <v>185</v>
      </c>
      <c r="B62" s="109" t="s">
        <v>208</v>
      </c>
      <c r="C62" s="110" t="s">
        <v>209</v>
      </c>
      <c r="D62" s="164">
        <v>0.71317829457364335</v>
      </c>
      <c r="H62" s="265" t="s">
        <v>1194</v>
      </c>
      <c r="I62" s="378"/>
      <c r="J62"/>
    </row>
    <row r="63" spans="1:10" x14ac:dyDescent="0.3">
      <c r="A63" s="109"/>
      <c r="B63" s="109" t="s">
        <v>201</v>
      </c>
      <c r="C63" s="110" t="s">
        <v>202</v>
      </c>
      <c r="D63" s="164">
        <v>0.57735849056603772</v>
      </c>
      <c r="H63" s="157" t="s">
        <v>166</v>
      </c>
      <c r="I63" s="378">
        <v>36</v>
      </c>
      <c r="J63"/>
    </row>
    <row r="64" spans="1:10" x14ac:dyDescent="0.3">
      <c r="A64" s="109"/>
      <c r="B64" s="109" t="s">
        <v>222</v>
      </c>
      <c r="C64" s="110" t="s">
        <v>223</v>
      </c>
      <c r="D64" s="164">
        <v>0.65048543689320382</v>
      </c>
      <c r="H64" s="265" t="s">
        <v>1138</v>
      </c>
      <c r="I64" s="378">
        <v>36</v>
      </c>
      <c r="J64"/>
    </row>
    <row r="65" spans="1:10" x14ac:dyDescent="0.3">
      <c r="A65" s="109"/>
      <c r="B65" s="109" t="s">
        <v>189</v>
      </c>
      <c r="C65" s="110" t="s">
        <v>190</v>
      </c>
      <c r="D65" s="164">
        <v>0.42268041237113402</v>
      </c>
      <c r="H65" s="157" t="s">
        <v>480</v>
      </c>
      <c r="I65" s="378">
        <v>8</v>
      </c>
      <c r="J65"/>
    </row>
    <row r="66" spans="1:10" x14ac:dyDescent="0.3">
      <c r="A66" s="109"/>
      <c r="B66" s="109" t="s">
        <v>184</v>
      </c>
      <c r="C66" s="110" t="s">
        <v>186</v>
      </c>
      <c r="D66" s="164">
        <v>1</v>
      </c>
      <c r="H66" s="265" t="s">
        <v>128</v>
      </c>
      <c r="I66" s="378">
        <v>0</v>
      </c>
      <c r="J66"/>
    </row>
    <row r="67" spans="1:10" x14ac:dyDescent="0.3">
      <c r="A67" s="109"/>
      <c r="B67" s="109" t="s">
        <v>228</v>
      </c>
      <c r="C67" s="110" t="s">
        <v>229</v>
      </c>
      <c r="D67" s="164">
        <v>0.91836734693877553</v>
      </c>
      <c r="H67" s="265" t="s">
        <v>62</v>
      </c>
      <c r="I67" s="378"/>
      <c r="J67"/>
    </row>
    <row r="68" spans="1:10" x14ac:dyDescent="0.3">
      <c r="A68" s="109"/>
      <c r="B68" s="109" t="s">
        <v>224</v>
      </c>
      <c r="C68" s="110" t="s">
        <v>225</v>
      </c>
      <c r="D68" s="164">
        <v>0.97560975609756095</v>
      </c>
      <c r="H68" s="265" t="s">
        <v>39</v>
      </c>
      <c r="I68" s="378"/>
      <c r="J68"/>
    </row>
    <row r="69" spans="1:10" x14ac:dyDescent="0.3">
      <c r="A69" s="109"/>
      <c r="B69" s="109" t="s">
        <v>195</v>
      </c>
      <c r="C69" s="110" t="s">
        <v>196</v>
      </c>
      <c r="D69" s="164">
        <v>0.77296248382923671</v>
      </c>
      <c r="H69" s="265" t="s">
        <v>48</v>
      </c>
      <c r="I69" s="378"/>
      <c r="J69"/>
    </row>
    <row r="70" spans="1:10" x14ac:dyDescent="0.3">
      <c r="A70" s="109"/>
      <c r="B70" s="109" t="s">
        <v>193</v>
      </c>
      <c r="C70" s="110" t="s">
        <v>194</v>
      </c>
      <c r="D70" s="164">
        <v>0.8607242339832869</v>
      </c>
      <c r="H70" s="265" t="s">
        <v>50</v>
      </c>
      <c r="I70" s="378"/>
      <c r="J70"/>
    </row>
    <row r="71" spans="1:10" x14ac:dyDescent="0.3">
      <c r="A71" s="109"/>
      <c r="B71" s="109" t="s">
        <v>191</v>
      </c>
      <c r="C71" s="110" t="s">
        <v>192</v>
      </c>
      <c r="D71" s="164">
        <v>1.796116504854369</v>
      </c>
      <c r="H71" s="265" t="s">
        <v>58</v>
      </c>
      <c r="I71" s="378"/>
      <c r="J71"/>
    </row>
    <row r="72" spans="1:10" x14ac:dyDescent="0.3">
      <c r="A72" s="109"/>
      <c r="B72" s="109" t="s">
        <v>218</v>
      </c>
      <c r="C72" s="110" t="s">
        <v>219</v>
      </c>
      <c r="D72" s="164">
        <v>1.2010050251256281</v>
      </c>
      <c r="H72" s="265" t="s">
        <v>60</v>
      </c>
      <c r="I72" s="378"/>
      <c r="J72"/>
    </row>
    <row r="73" spans="1:10" x14ac:dyDescent="0.3">
      <c r="A73" s="110"/>
      <c r="B73" s="110" t="s">
        <v>214</v>
      </c>
      <c r="C73" s="110" t="s">
        <v>215</v>
      </c>
      <c r="D73" s="165">
        <v>1.7318435754189945</v>
      </c>
      <c r="H73" s="265" t="s">
        <v>70</v>
      </c>
      <c r="I73" s="378"/>
      <c r="J73"/>
    </row>
    <row r="74" spans="1:10" x14ac:dyDescent="0.3">
      <c r="A74" s="109" t="s">
        <v>230</v>
      </c>
      <c r="B74" s="109" t="s">
        <v>902</v>
      </c>
      <c r="C74" s="110" t="s">
        <v>901</v>
      </c>
      <c r="D74" s="164">
        <v>1</v>
      </c>
      <c r="H74" s="265" t="s">
        <v>78</v>
      </c>
      <c r="I74" s="378"/>
      <c r="J74"/>
    </row>
    <row r="75" spans="1:10" x14ac:dyDescent="0.3">
      <c r="A75" s="109"/>
      <c r="B75" s="110" t="s">
        <v>912</v>
      </c>
      <c r="C75" s="110" t="s">
        <v>911</v>
      </c>
      <c r="D75" s="165">
        <v>1.2000000000000002</v>
      </c>
      <c r="H75" s="265" t="s">
        <v>82</v>
      </c>
      <c r="I75" s="378"/>
      <c r="J75"/>
    </row>
    <row r="76" spans="1:10" x14ac:dyDescent="0.3">
      <c r="A76" s="110"/>
      <c r="B76" s="132" t="s">
        <v>771</v>
      </c>
      <c r="C76" s="132" t="s">
        <v>359</v>
      </c>
      <c r="D76" s="112">
        <v>1</v>
      </c>
      <c r="H76" s="265" t="s">
        <v>56</v>
      </c>
      <c r="I76" s="378">
        <v>0</v>
      </c>
      <c r="J76"/>
    </row>
    <row r="77" spans="1:10" x14ac:dyDescent="0.3">
      <c r="A77" s="109" t="s">
        <v>237</v>
      </c>
      <c r="B77" s="109" t="s">
        <v>864</v>
      </c>
      <c r="C77" s="109" t="s">
        <v>823</v>
      </c>
      <c r="D77" s="164">
        <v>0</v>
      </c>
      <c r="H77" s="265" t="s">
        <v>954</v>
      </c>
      <c r="I77" s="378"/>
      <c r="J77"/>
    </row>
    <row r="78" spans="1:10" x14ac:dyDescent="0.3">
      <c r="A78" s="109"/>
      <c r="B78" s="109"/>
      <c r="C78" s="110" t="s">
        <v>787</v>
      </c>
      <c r="D78" s="164">
        <v>0</v>
      </c>
      <c r="H78" s="265" t="s">
        <v>94</v>
      </c>
      <c r="I78" s="378">
        <v>0</v>
      </c>
      <c r="J78"/>
    </row>
    <row r="79" spans="1:10" x14ac:dyDescent="0.3">
      <c r="A79" s="109"/>
      <c r="B79" s="109" t="s">
        <v>236</v>
      </c>
      <c r="C79" s="110" t="s">
        <v>238</v>
      </c>
      <c r="D79" s="164">
        <v>0.90909090909090906</v>
      </c>
      <c r="H79" s="265" t="s">
        <v>54</v>
      </c>
      <c r="I79" s="378">
        <v>0</v>
      </c>
      <c r="J79"/>
    </row>
    <row r="80" spans="1:10" x14ac:dyDescent="0.3">
      <c r="A80" s="109"/>
      <c r="B80" s="109" t="s">
        <v>267</v>
      </c>
      <c r="C80" s="110" t="s">
        <v>268</v>
      </c>
      <c r="D80" s="164">
        <v>1.1846153846153846</v>
      </c>
      <c r="H80" s="265" t="s">
        <v>66</v>
      </c>
      <c r="I80" s="378">
        <v>0</v>
      </c>
      <c r="J80"/>
    </row>
    <row r="81" spans="1:10" x14ac:dyDescent="0.3">
      <c r="A81" s="109"/>
      <c r="B81" s="109" t="s">
        <v>249</v>
      </c>
      <c r="C81" s="110" t="s">
        <v>250</v>
      </c>
      <c r="D81" s="164">
        <v>0.64516129032258063</v>
      </c>
      <c r="H81" s="265" t="s">
        <v>80</v>
      </c>
      <c r="I81" s="378">
        <v>0</v>
      </c>
      <c r="J81"/>
    </row>
    <row r="82" spans="1:10" x14ac:dyDescent="0.3">
      <c r="A82" s="109"/>
      <c r="B82" s="109" t="s">
        <v>247</v>
      </c>
      <c r="C82" s="110" t="s">
        <v>248</v>
      </c>
      <c r="D82" s="164">
        <v>2</v>
      </c>
      <c r="H82" s="265" t="s">
        <v>102</v>
      </c>
      <c r="I82" s="378">
        <v>0</v>
      </c>
      <c r="J82"/>
    </row>
    <row r="83" spans="1:10" x14ac:dyDescent="0.3">
      <c r="A83" s="109"/>
      <c r="B83" s="109" t="s">
        <v>273</v>
      </c>
      <c r="C83" s="110" t="s">
        <v>274</v>
      </c>
      <c r="D83" s="164">
        <v>0.69565217391304346</v>
      </c>
      <c r="H83" s="265" t="s">
        <v>106</v>
      </c>
      <c r="I83" s="378">
        <v>0</v>
      </c>
      <c r="J83"/>
    </row>
    <row r="84" spans="1:10" x14ac:dyDescent="0.3">
      <c r="A84" s="109"/>
      <c r="B84" s="109" t="s">
        <v>275</v>
      </c>
      <c r="C84" s="110" t="s">
        <v>276</v>
      </c>
      <c r="D84" s="164">
        <v>0.5423728813559322</v>
      </c>
      <c r="H84" s="265" t="s">
        <v>116</v>
      </c>
      <c r="I84" s="378">
        <v>0</v>
      </c>
      <c r="J84"/>
    </row>
    <row r="85" spans="1:10" x14ac:dyDescent="0.3">
      <c r="A85" s="109"/>
      <c r="B85" s="109" t="s">
        <v>259</v>
      </c>
      <c r="C85" s="110" t="s">
        <v>260</v>
      </c>
      <c r="D85" s="164">
        <v>0.76923076923076916</v>
      </c>
      <c r="H85" s="265" t="s">
        <v>130</v>
      </c>
      <c r="I85" s="378">
        <v>0</v>
      </c>
      <c r="J85"/>
    </row>
    <row r="86" spans="1:10" x14ac:dyDescent="0.3">
      <c r="A86" s="109"/>
      <c r="B86" s="109" t="s">
        <v>279</v>
      </c>
      <c r="C86" s="110" t="s">
        <v>280</v>
      </c>
      <c r="D86" s="164">
        <v>0.54347826086956519</v>
      </c>
      <c r="H86" s="265" t="s">
        <v>138</v>
      </c>
      <c r="I86" s="378">
        <v>0</v>
      </c>
      <c r="J86"/>
    </row>
    <row r="87" spans="1:10" x14ac:dyDescent="0.3">
      <c r="A87" s="109"/>
      <c r="B87" s="109" t="s">
        <v>245</v>
      </c>
      <c r="C87" s="110" t="s">
        <v>246</v>
      </c>
      <c r="D87" s="164">
        <v>9.6774193548387094E-2</v>
      </c>
      <c r="H87" s="265" t="s">
        <v>136</v>
      </c>
      <c r="I87" s="378">
        <v>0</v>
      </c>
      <c r="J87"/>
    </row>
    <row r="88" spans="1:10" x14ac:dyDescent="0.3">
      <c r="A88" s="109"/>
      <c r="B88" s="109" t="s">
        <v>242</v>
      </c>
      <c r="C88" s="110" t="s">
        <v>243</v>
      </c>
      <c r="D88" s="164">
        <v>0.5</v>
      </c>
      <c r="H88" s="265" t="s">
        <v>68</v>
      </c>
      <c r="I88" s="378">
        <v>0</v>
      </c>
      <c r="J88"/>
    </row>
    <row r="89" spans="1:10" x14ac:dyDescent="0.3">
      <c r="A89" s="109"/>
      <c r="B89" s="109" t="s">
        <v>255</v>
      </c>
      <c r="C89" s="110" t="s">
        <v>256</v>
      </c>
      <c r="D89" s="164">
        <v>0.11904761904761904</v>
      </c>
      <c r="H89" s="265" t="s">
        <v>84</v>
      </c>
      <c r="I89" s="378">
        <v>0</v>
      </c>
      <c r="J89"/>
    </row>
    <row r="90" spans="1:10" x14ac:dyDescent="0.3">
      <c r="A90" s="109"/>
      <c r="B90" s="109" t="s">
        <v>283</v>
      </c>
      <c r="C90" s="110" t="s">
        <v>284</v>
      </c>
      <c r="D90" s="164">
        <v>0.89928057553956831</v>
      </c>
      <c r="H90" s="265" t="s">
        <v>86</v>
      </c>
      <c r="I90" s="378">
        <v>0</v>
      </c>
      <c r="J90"/>
    </row>
    <row r="91" spans="1:10" x14ac:dyDescent="0.3">
      <c r="A91" s="109"/>
      <c r="B91" s="109" t="s">
        <v>239</v>
      </c>
      <c r="C91" s="110" t="s">
        <v>240</v>
      </c>
      <c r="D91" s="164">
        <v>0.22857142857142856</v>
      </c>
      <c r="H91" s="265" t="s">
        <v>104</v>
      </c>
      <c r="I91" s="378">
        <v>0</v>
      </c>
      <c r="J91"/>
    </row>
    <row r="92" spans="1:10" x14ac:dyDescent="0.3">
      <c r="A92" s="109"/>
      <c r="B92" s="109" t="s">
        <v>257</v>
      </c>
      <c r="C92" s="110" t="s">
        <v>258</v>
      </c>
      <c r="D92" s="164">
        <v>0.32258064516129031</v>
      </c>
      <c r="H92" s="265" t="s">
        <v>98</v>
      </c>
      <c r="I92" s="378">
        <v>0</v>
      </c>
      <c r="J92"/>
    </row>
    <row r="93" spans="1:10" x14ac:dyDescent="0.3">
      <c r="A93" s="109"/>
      <c r="B93" s="109" t="s">
        <v>251</v>
      </c>
      <c r="C93" s="110" t="s">
        <v>252</v>
      </c>
      <c r="D93" s="164">
        <v>0.79999999999999993</v>
      </c>
      <c r="H93" s="265" t="s">
        <v>142</v>
      </c>
      <c r="I93" s="378">
        <v>0</v>
      </c>
      <c r="J93"/>
    </row>
    <row r="94" spans="1:10" x14ac:dyDescent="0.3">
      <c r="A94" s="109"/>
      <c r="B94" s="109" t="s">
        <v>253</v>
      </c>
      <c r="C94" s="110" t="s">
        <v>254</v>
      </c>
      <c r="D94" s="164">
        <v>0.65573770491803274</v>
      </c>
      <c r="H94" s="265" t="s">
        <v>110</v>
      </c>
      <c r="I94" s="378">
        <v>0</v>
      </c>
      <c r="J94"/>
    </row>
    <row r="95" spans="1:10" x14ac:dyDescent="0.3">
      <c r="A95" s="109"/>
      <c r="B95" s="109" t="s">
        <v>261</v>
      </c>
      <c r="C95" s="110" t="s">
        <v>262</v>
      </c>
      <c r="D95" s="164">
        <v>1.2173913043478262</v>
      </c>
      <c r="H95" s="265" t="s">
        <v>112</v>
      </c>
      <c r="I95" s="378">
        <v>0</v>
      </c>
      <c r="J95"/>
    </row>
    <row r="96" spans="1:10" x14ac:dyDescent="0.3">
      <c r="A96" s="109"/>
      <c r="B96" s="109" t="s">
        <v>263</v>
      </c>
      <c r="C96" s="110" t="s">
        <v>264</v>
      </c>
      <c r="D96" s="164">
        <v>1.2666666666666666</v>
      </c>
      <c r="H96" s="265" t="s">
        <v>114</v>
      </c>
      <c r="I96" s="378">
        <v>0</v>
      </c>
      <c r="J96"/>
    </row>
    <row r="97" spans="1:10" x14ac:dyDescent="0.3">
      <c r="A97" s="109"/>
      <c r="B97" s="109" t="s">
        <v>281</v>
      </c>
      <c r="C97" s="110" t="s">
        <v>282</v>
      </c>
      <c r="D97" s="164">
        <v>1</v>
      </c>
      <c r="H97" s="265" t="s">
        <v>122</v>
      </c>
      <c r="I97" s="378">
        <v>0</v>
      </c>
      <c r="J97"/>
    </row>
    <row r="98" spans="1:10" x14ac:dyDescent="0.3">
      <c r="A98" s="109"/>
      <c r="B98" s="109" t="s">
        <v>269</v>
      </c>
      <c r="C98" s="110" t="s">
        <v>270</v>
      </c>
      <c r="D98" s="164">
        <v>1.0634920634920635</v>
      </c>
      <c r="H98" s="265" t="s">
        <v>124</v>
      </c>
      <c r="I98" s="378">
        <v>8</v>
      </c>
      <c r="J98"/>
    </row>
    <row r="99" spans="1:10" x14ac:dyDescent="0.3">
      <c r="A99" s="109"/>
      <c r="B99" s="109" t="s">
        <v>271</v>
      </c>
      <c r="C99" s="110" t="s">
        <v>272</v>
      </c>
      <c r="D99" s="164">
        <v>0.97959183673469385</v>
      </c>
      <c r="H99" s="265" t="s">
        <v>96</v>
      </c>
      <c r="I99" s="378">
        <v>0</v>
      </c>
      <c r="J99"/>
    </row>
    <row r="100" spans="1:10" x14ac:dyDescent="0.3">
      <c r="A100" s="110"/>
      <c r="B100" s="110" t="s">
        <v>241</v>
      </c>
      <c r="C100" s="110" t="s">
        <v>1029</v>
      </c>
      <c r="D100" s="165">
        <v>2.3518518518518521</v>
      </c>
      <c r="H100" s="265" t="s">
        <v>132</v>
      </c>
      <c r="I100" s="378">
        <v>0</v>
      </c>
      <c r="J100"/>
    </row>
    <row r="101" spans="1:10" x14ac:dyDescent="0.3">
      <c r="A101" s="109" t="s">
        <v>288</v>
      </c>
      <c r="B101" s="109" t="s">
        <v>287</v>
      </c>
      <c r="C101" s="110" t="s">
        <v>289</v>
      </c>
      <c r="D101" s="164">
        <v>0.44776119402985076</v>
      </c>
      <c r="H101" s="265" t="s">
        <v>134</v>
      </c>
      <c r="I101" s="378"/>
      <c r="J101"/>
    </row>
    <row r="102" spans="1:10" x14ac:dyDescent="0.3">
      <c r="A102" s="109"/>
      <c r="B102" s="109" t="s">
        <v>290</v>
      </c>
      <c r="C102" s="110" t="s">
        <v>291</v>
      </c>
      <c r="D102" s="164">
        <v>1.2702702702702702</v>
      </c>
      <c r="H102" s="265" t="s">
        <v>64</v>
      </c>
      <c r="I102" s="378"/>
      <c r="J102"/>
    </row>
    <row r="103" spans="1:10" x14ac:dyDescent="0.3">
      <c r="A103" s="109"/>
      <c r="B103" s="109" t="s">
        <v>904</v>
      </c>
      <c r="C103" s="110" t="s">
        <v>903</v>
      </c>
      <c r="D103" s="164">
        <v>1.0277777777777777</v>
      </c>
      <c r="H103" s="265" t="s">
        <v>74</v>
      </c>
      <c r="I103" s="378"/>
      <c r="J103"/>
    </row>
    <row r="104" spans="1:10" x14ac:dyDescent="0.3">
      <c r="A104" s="109"/>
      <c r="B104" s="110" t="s">
        <v>908</v>
      </c>
      <c r="C104" s="110" t="s">
        <v>915</v>
      </c>
      <c r="D104" s="165">
        <v>0.6</v>
      </c>
      <c r="H104" s="265" t="s">
        <v>467</v>
      </c>
      <c r="I104" s="378">
        <v>0</v>
      </c>
      <c r="J104"/>
    </row>
    <row r="105" spans="1:10" x14ac:dyDescent="0.3">
      <c r="A105" s="110"/>
      <c r="B105" s="132" t="s">
        <v>294</v>
      </c>
      <c r="C105" s="132" t="s">
        <v>372</v>
      </c>
      <c r="D105" s="112">
        <v>0</v>
      </c>
      <c r="H105" s="265" t="s">
        <v>1131</v>
      </c>
      <c r="I105" s="378"/>
      <c r="J105"/>
    </row>
    <row r="106" spans="1:10" x14ac:dyDescent="0.3">
      <c r="A106" s="110" t="s">
        <v>297</v>
      </c>
      <c r="B106" s="110" t="s">
        <v>296</v>
      </c>
      <c r="C106" s="110" t="s">
        <v>759</v>
      </c>
      <c r="D106" s="165">
        <v>0.22727272727272727</v>
      </c>
      <c r="H106" s="265" t="s">
        <v>1152</v>
      </c>
      <c r="I106" s="378"/>
      <c r="J106"/>
    </row>
    <row r="107" spans="1:10" x14ac:dyDescent="0.3">
      <c r="A107" s="109" t="s">
        <v>301</v>
      </c>
      <c r="B107" s="109" t="s">
        <v>304</v>
      </c>
      <c r="C107" s="110" t="s">
        <v>305</v>
      </c>
      <c r="D107" s="164">
        <v>0.48837209302325579</v>
      </c>
      <c r="H107" s="265" t="s">
        <v>1153</v>
      </c>
      <c r="I107" s="378"/>
      <c r="J107"/>
    </row>
    <row r="108" spans="1:10" x14ac:dyDescent="0.3">
      <c r="A108" s="110"/>
      <c r="B108" s="110" t="s">
        <v>306</v>
      </c>
      <c r="C108" s="110" t="s">
        <v>307</v>
      </c>
      <c r="D108" s="165">
        <v>1.0697674418604652</v>
      </c>
      <c r="H108" s="157" t="s">
        <v>299</v>
      </c>
      <c r="I108" s="378">
        <v>0</v>
      </c>
      <c r="J108"/>
    </row>
    <row r="109" spans="1:10" x14ac:dyDescent="0.3">
      <c r="A109" s="109" t="s">
        <v>309</v>
      </c>
      <c r="B109" s="109" t="s">
        <v>339</v>
      </c>
      <c r="C109" s="110" t="s">
        <v>340</v>
      </c>
      <c r="D109" s="164">
        <v>0.58461538461538465</v>
      </c>
      <c r="H109" s="265" t="s">
        <v>815</v>
      </c>
      <c r="I109" s="378">
        <v>0</v>
      </c>
      <c r="J109"/>
    </row>
    <row r="110" spans="1:10" x14ac:dyDescent="0.3">
      <c r="A110" s="109"/>
      <c r="B110" s="109" t="s">
        <v>348</v>
      </c>
      <c r="C110" s="110" t="s">
        <v>349</v>
      </c>
      <c r="D110" s="164">
        <v>1</v>
      </c>
      <c r="H110" s="157" t="s">
        <v>288</v>
      </c>
      <c r="I110" s="378">
        <v>0</v>
      </c>
      <c r="J110"/>
    </row>
    <row r="111" spans="1:10" x14ac:dyDescent="0.3">
      <c r="A111" s="109"/>
      <c r="B111" s="109" t="s">
        <v>318</v>
      </c>
      <c r="C111" s="110" t="s">
        <v>319</v>
      </c>
      <c r="D111" s="164">
        <v>0.96666666666666667</v>
      </c>
      <c r="H111" s="265" t="s">
        <v>373</v>
      </c>
      <c r="I111" s="378">
        <v>0</v>
      </c>
      <c r="J111"/>
    </row>
    <row r="112" spans="1:10" x14ac:dyDescent="0.3">
      <c r="A112" s="109"/>
      <c r="B112" s="109" t="s">
        <v>311</v>
      </c>
      <c r="C112" s="110" t="s">
        <v>312</v>
      </c>
      <c r="D112" s="164">
        <v>1.0294117647058822</v>
      </c>
      <c r="H112" s="265" t="s">
        <v>293</v>
      </c>
      <c r="I112" s="378"/>
      <c r="J112"/>
    </row>
    <row r="113" spans="1:10" x14ac:dyDescent="0.3">
      <c r="A113" s="109"/>
      <c r="B113" s="109" t="s">
        <v>328</v>
      </c>
      <c r="C113" s="110" t="s">
        <v>329</v>
      </c>
      <c r="D113" s="164">
        <v>0.9042553191489362</v>
      </c>
      <c r="H113" s="265" t="s">
        <v>1127</v>
      </c>
      <c r="I113" s="378"/>
      <c r="J113"/>
    </row>
    <row r="114" spans="1:10" x14ac:dyDescent="0.3">
      <c r="A114" s="109"/>
      <c r="B114" s="109" t="s">
        <v>336</v>
      </c>
      <c r="C114" s="110" t="s">
        <v>337</v>
      </c>
      <c r="D114" s="164">
        <v>1.258064516129032</v>
      </c>
      <c r="H114" s="157" t="s">
        <v>27</v>
      </c>
      <c r="I114" s="378"/>
      <c r="J114"/>
    </row>
    <row r="115" spans="1:10" x14ac:dyDescent="0.3">
      <c r="A115" s="109"/>
      <c r="B115" s="109" t="s">
        <v>326</v>
      </c>
      <c r="C115" s="110" t="s">
        <v>327</v>
      </c>
      <c r="D115" s="164">
        <v>0.37024221453287198</v>
      </c>
      <c r="H115" s="310" t="s">
        <v>32</v>
      </c>
      <c r="I115" s="378"/>
      <c r="J115"/>
    </row>
    <row r="116" spans="1:10" x14ac:dyDescent="0.3">
      <c r="A116" s="109"/>
      <c r="B116" s="109" t="s">
        <v>316</v>
      </c>
      <c r="C116" s="110" t="s">
        <v>317</v>
      </c>
      <c r="D116" s="164">
        <v>1.0090090090090089</v>
      </c>
      <c r="H116" s="265" t="s">
        <v>34</v>
      </c>
      <c r="I116" s="378"/>
      <c r="J116"/>
    </row>
    <row r="117" spans="1:10" x14ac:dyDescent="0.3">
      <c r="A117" s="109"/>
      <c r="B117" s="109" t="s">
        <v>346</v>
      </c>
      <c r="C117" s="110" t="s">
        <v>347</v>
      </c>
      <c r="D117" s="164">
        <v>1.7173913043478262</v>
      </c>
      <c r="H117" s="265" t="s">
        <v>37</v>
      </c>
      <c r="I117" s="378"/>
      <c r="J117"/>
    </row>
    <row r="118" spans="1:10" x14ac:dyDescent="0.3">
      <c r="A118" s="109"/>
      <c r="B118" s="109" t="s">
        <v>314</v>
      </c>
      <c r="C118" s="110" t="s">
        <v>315</v>
      </c>
      <c r="D118" s="164">
        <v>0.84615384615384626</v>
      </c>
      <c r="H118" s="157" t="s">
        <v>301</v>
      </c>
      <c r="I118" s="378"/>
      <c r="J118"/>
    </row>
    <row r="119" spans="1:10" x14ac:dyDescent="0.3">
      <c r="A119" s="109"/>
      <c r="B119" s="109" t="s">
        <v>324</v>
      </c>
      <c r="C119" s="110" t="s">
        <v>325</v>
      </c>
      <c r="D119" s="164">
        <v>0.88888888888888884</v>
      </c>
      <c r="H119" s="265" t="s">
        <v>12</v>
      </c>
      <c r="I119" s="378"/>
      <c r="J119"/>
    </row>
    <row r="120" spans="1:10" x14ac:dyDescent="0.3">
      <c r="A120" s="109"/>
      <c r="B120" s="109" t="s">
        <v>322</v>
      </c>
      <c r="C120" s="110" t="s">
        <v>323</v>
      </c>
      <c r="D120" s="164">
        <v>1.0983935742971889</v>
      </c>
      <c r="H120" s="157" t="s">
        <v>361</v>
      </c>
      <c r="I120" s="378">
        <v>0</v>
      </c>
      <c r="J120"/>
    </row>
    <row r="121" spans="1:10" x14ac:dyDescent="0.3">
      <c r="A121" s="109"/>
      <c r="B121" s="109" t="s">
        <v>344</v>
      </c>
      <c r="C121" s="110" t="s">
        <v>345</v>
      </c>
      <c r="D121" s="164">
        <v>1.4184782608695652</v>
      </c>
      <c r="H121" s="265" t="s">
        <v>35</v>
      </c>
      <c r="I121" s="378">
        <v>0</v>
      </c>
      <c r="J121"/>
    </row>
    <row r="122" spans="1:10" x14ac:dyDescent="0.3">
      <c r="A122" s="109"/>
      <c r="B122" s="109" t="s">
        <v>332</v>
      </c>
      <c r="C122" s="110" t="s">
        <v>333</v>
      </c>
      <c r="D122" s="164">
        <v>1.2302631578947367</v>
      </c>
      <c r="H122" s="157" t="s">
        <v>144</v>
      </c>
      <c r="I122" s="378"/>
      <c r="J122"/>
    </row>
    <row r="123" spans="1:10" x14ac:dyDescent="0.3">
      <c r="A123" s="109"/>
      <c r="B123" s="109" t="s">
        <v>334</v>
      </c>
      <c r="C123" s="110" t="s">
        <v>335</v>
      </c>
      <c r="D123" s="164">
        <v>0.67114093959731547</v>
      </c>
      <c r="H123" s="265" t="s">
        <v>145</v>
      </c>
      <c r="I123" s="378"/>
      <c r="J123"/>
    </row>
    <row r="124" spans="1:10" x14ac:dyDescent="0.3">
      <c r="A124" s="109"/>
      <c r="B124" s="109" t="s">
        <v>350</v>
      </c>
      <c r="C124" s="110" t="s">
        <v>351</v>
      </c>
      <c r="D124" s="164">
        <v>0.11461318051575932</v>
      </c>
      <c r="H124" s="157" t="s">
        <v>151</v>
      </c>
      <c r="I124" s="378">
        <v>0</v>
      </c>
      <c r="J124"/>
    </row>
    <row r="125" spans="1:10" x14ac:dyDescent="0.3">
      <c r="A125" s="109"/>
      <c r="B125" s="109" t="s">
        <v>320</v>
      </c>
      <c r="C125" s="110" t="s">
        <v>321</v>
      </c>
      <c r="D125" s="164">
        <v>1</v>
      </c>
      <c r="H125" s="265" t="s">
        <v>808</v>
      </c>
      <c r="I125" s="378">
        <v>0</v>
      </c>
      <c r="J125"/>
    </row>
    <row r="126" spans="1:10" x14ac:dyDescent="0.3">
      <c r="A126" s="109"/>
      <c r="B126" s="109" t="s">
        <v>352</v>
      </c>
      <c r="C126" s="110" t="s">
        <v>353</v>
      </c>
      <c r="D126" s="164">
        <v>0.65</v>
      </c>
      <c r="H126" s="265" t="s">
        <v>803</v>
      </c>
      <c r="I126" s="378">
        <v>0</v>
      </c>
      <c r="J126"/>
    </row>
    <row r="127" spans="1:10" x14ac:dyDescent="0.3">
      <c r="A127" s="109"/>
      <c r="B127" s="109" t="s">
        <v>341</v>
      </c>
      <c r="C127" s="110" t="s">
        <v>342</v>
      </c>
      <c r="D127" s="164">
        <v>0.95</v>
      </c>
      <c r="H127" s="265" t="s">
        <v>804</v>
      </c>
      <c r="I127" s="378">
        <v>0</v>
      </c>
      <c r="J127"/>
    </row>
    <row r="128" spans="1:10" x14ac:dyDescent="0.3">
      <c r="A128" s="110"/>
      <c r="B128" s="110" t="s">
        <v>343</v>
      </c>
      <c r="C128" s="110" t="s">
        <v>1028</v>
      </c>
      <c r="D128" s="165">
        <v>0.18817204301075269</v>
      </c>
      <c r="H128" s="265" t="s">
        <v>886</v>
      </c>
      <c r="I128" s="378"/>
      <c r="J128"/>
    </row>
    <row r="129" spans="1:10" x14ac:dyDescent="0.3">
      <c r="A129" s="109" t="s">
        <v>299</v>
      </c>
      <c r="B129" s="110" t="s">
        <v>864</v>
      </c>
      <c r="C129" s="110" t="s">
        <v>787</v>
      </c>
      <c r="D129" s="165">
        <v>0</v>
      </c>
      <c r="H129" s="265" t="s">
        <v>810</v>
      </c>
      <c r="I129" s="378">
        <v>0</v>
      </c>
      <c r="J129"/>
    </row>
    <row r="130" spans="1:10" x14ac:dyDescent="0.3">
      <c r="A130" s="110"/>
      <c r="B130" s="132" t="s">
        <v>1043</v>
      </c>
      <c r="C130" s="132" t="s">
        <v>1044</v>
      </c>
      <c r="D130" s="112">
        <v>0.98360655737704916</v>
      </c>
      <c r="H130" s="265" t="s">
        <v>469</v>
      </c>
      <c r="I130" s="378">
        <v>0</v>
      </c>
      <c r="J130"/>
    </row>
    <row r="131" spans="1:10" x14ac:dyDescent="0.3">
      <c r="A131" s="109" t="s">
        <v>719</v>
      </c>
      <c r="B131" s="132" t="s">
        <v>1042</v>
      </c>
      <c r="C131" s="132" t="s">
        <v>1058</v>
      </c>
      <c r="D131" s="112">
        <v>1.0294117647058825</v>
      </c>
      <c r="H131" s="265" t="s">
        <v>158</v>
      </c>
      <c r="I131" s="378">
        <v>0</v>
      </c>
      <c r="J131"/>
    </row>
    <row r="132" spans="1:10" x14ac:dyDescent="0.3">
      <c r="A132" s="110" t="s">
        <v>411</v>
      </c>
      <c r="B132" s="110"/>
      <c r="C132" s="110"/>
      <c r="D132" s="165">
        <v>105.42932448197416</v>
      </c>
      <c r="H132" s="265" t="s">
        <v>802</v>
      </c>
      <c r="I132" s="378">
        <v>0</v>
      </c>
      <c r="J132"/>
    </row>
    <row r="133" spans="1:10" x14ac:dyDescent="0.3">
      <c r="B133"/>
      <c r="H133" s="265" t="s">
        <v>801</v>
      </c>
      <c r="I133" s="378">
        <v>0</v>
      </c>
      <c r="J133"/>
    </row>
    <row r="134" spans="1:10" x14ac:dyDescent="0.3">
      <c r="B134"/>
      <c r="H134" s="265" t="s">
        <v>295</v>
      </c>
      <c r="I134" s="378"/>
      <c r="J134"/>
    </row>
    <row r="135" spans="1:10" x14ac:dyDescent="0.3">
      <c r="B135"/>
      <c r="H135" s="265" t="s">
        <v>471</v>
      </c>
      <c r="I135" s="378">
        <v>0</v>
      </c>
      <c r="J135"/>
    </row>
    <row r="136" spans="1:10" x14ac:dyDescent="0.3">
      <c r="B136"/>
      <c r="H136" s="265" t="s">
        <v>162</v>
      </c>
      <c r="I136" s="378">
        <v>0</v>
      </c>
      <c r="J136"/>
    </row>
    <row r="137" spans="1:10" x14ac:dyDescent="0.3">
      <c r="B137"/>
      <c r="H137" s="265" t="s">
        <v>791</v>
      </c>
      <c r="I137" s="378">
        <v>0</v>
      </c>
      <c r="J137"/>
    </row>
    <row r="138" spans="1:10" x14ac:dyDescent="0.3">
      <c r="B138"/>
      <c r="H138" s="265" t="s">
        <v>792</v>
      </c>
      <c r="I138" s="378">
        <v>0</v>
      </c>
      <c r="J138"/>
    </row>
    <row r="139" spans="1:10" x14ac:dyDescent="0.3">
      <c r="B139"/>
      <c r="H139" s="265" t="s">
        <v>164</v>
      </c>
      <c r="I139" s="378">
        <v>0</v>
      </c>
      <c r="J139"/>
    </row>
    <row r="140" spans="1:10" x14ac:dyDescent="0.3">
      <c r="B140"/>
      <c r="H140" s="265" t="s">
        <v>813</v>
      </c>
      <c r="I140" s="378">
        <v>0</v>
      </c>
      <c r="J140"/>
    </row>
    <row r="141" spans="1:10" x14ac:dyDescent="0.3">
      <c r="B141"/>
      <c r="H141" s="157" t="s">
        <v>817</v>
      </c>
      <c r="I141" s="378"/>
      <c r="J141"/>
    </row>
    <row r="142" spans="1:10" x14ac:dyDescent="0.3">
      <c r="B142"/>
      <c r="H142" s="265" t="s">
        <v>819</v>
      </c>
      <c r="I142" s="378"/>
      <c r="J142"/>
    </row>
    <row r="143" spans="1:10" x14ac:dyDescent="0.3">
      <c r="B143"/>
      <c r="H143" s="157" t="s">
        <v>146</v>
      </c>
      <c r="I143" s="378">
        <v>0</v>
      </c>
      <c r="J143"/>
    </row>
    <row r="144" spans="1:10" x14ac:dyDescent="0.3">
      <c r="B144"/>
      <c r="H144" s="265" t="s">
        <v>837</v>
      </c>
      <c r="I144" s="378">
        <v>0</v>
      </c>
      <c r="J144"/>
    </row>
    <row r="145" spans="2:10" x14ac:dyDescent="0.3">
      <c r="B145"/>
      <c r="H145" s="265" t="s">
        <v>370</v>
      </c>
      <c r="I145" s="378"/>
      <c r="J145"/>
    </row>
    <row r="146" spans="2:10" x14ac:dyDescent="0.3">
      <c r="B146"/>
      <c r="H146" s="265" t="s">
        <v>365</v>
      </c>
      <c r="I146" s="378">
        <v>0</v>
      </c>
      <c r="J146"/>
    </row>
    <row r="147" spans="2:10" x14ac:dyDescent="0.3">
      <c r="B147"/>
      <c r="H147" s="157" t="s">
        <v>185</v>
      </c>
      <c r="I147" s="378"/>
      <c r="J147"/>
    </row>
    <row r="148" spans="2:10" x14ac:dyDescent="0.3">
      <c r="B148"/>
      <c r="H148" s="265" t="s">
        <v>200</v>
      </c>
      <c r="I148" s="378"/>
      <c r="J148"/>
    </row>
    <row r="149" spans="2:10" x14ac:dyDescent="0.3">
      <c r="B149"/>
      <c r="H149" s="265" t="s">
        <v>204</v>
      </c>
      <c r="I149" s="378"/>
      <c r="J149"/>
    </row>
    <row r="150" spans="2:10" x14ac:dyDescent="0.3">
      <c r="B150"/>
      <c r="H150" s="265" t="s">
        <v>205</v>
      </c>
      <c r="I150" s="378"/>
      <c r="J150"/>
    </row>
    <row r="151" spans="2:10" x14ac:dyDescent="0.3">
      <c r="B151"/>
      <c r="H151" s="265" t="s">
        <v>207</v>
      </c>
      <c r="I151" s="378"/>
      <c r="J151"/>
    </row>
    <row r="152" spans="2:10" x14ac:dyDescent="0.3">
      <c r="B152"/>
      <c r="H152" s="265" t="s">
        <v>211</v>
      </c>
      <c r="I152" s="378"/>
      <c r="J152"/>
    </row>
    <row r="153" spans="2:10" x14ac:dyDescent="0.3">
      <c r="B153"/>
      <c r="H153" s="265" t="s">
        <v>217</v>
      </c>
      <c r="I153" s="378"/>
      <c r="J153"/>
    </row>
    <row r="154" spans="2:10" x14ac:dyDescent="0.3">
      <c r="B154"/>
      <c r="H154" s="265" t="s">
        <v>221</v>
      </c>
      <c r="I154" s="378"/>
      <c r="J154"/>
    </row>
    <row r="155" spans="2:10" x14ac:dyDescent="0.3">
      <c r="B155"/>
      <c r="H155" s="265" t="s">
        <v>227</v>
      </c>
      <c r="I155" s="378"/>
      <c r="J155"/>
    </row>
    <row r="156" spans="2:10" x14ac:dyDescent="0.3">
      <c r="B156"/>
      <c r="H156" s="265" t="s">
        <v>1078</v>
      </c>
      <c r="I156" s="378"/>
      <c r="J156"/>
    </row>
    <row r="157" spans="2:10" x14ac:dyDescent="0.3">
      <c r="B157"/>
      <c r="H157" s="157" t="s">
        <v>180</v>
      </c>
      <c r="I157" s="378">
        <v>0</v>
      </c>
      <c r="J157"/>
    </row>
    <row r="158" spans="2:10" x14ac:dyDescent="0.3">
      <c r="B158"/>
      <c r="H158" s="265" t="s">
        <v>183</v>
      </c>
      <c r="I158" s="378">
        <v>0</v>
      </c>
      <c r="J158"/>
    </row>
    <row r="159" spans="2:10" x14ac:dyDescent="0.3">
      <c r="B159"/>
      <c r="H159" s="185" t="s">
        <v>411</v>
      </c>
      <c r="I159" s="379">
        <v>1397</v>
      </c>
      <c r="J159"/>
    </row>
    <row r="160" spans="2:10" x14ac:dyDescent="0.3">
      <c r="B160"/>
      <c r="H160"/>
      <c r="I160"/>
      <c r="J160"/>
    </row>
    <row r="161" spans="2:10" x14ac:dyDescent="0.3">
      <c r="B161"/>
      <c r="H161"/>
      <c r="I161"/>
      <c r="J161"/>
    </row>
    <row r="162" spans="2:10" x14ac:dyDescent="0.3">
      <c r="B162"/>
      <c r="H162"/>
      <c r="I162"/>
      <c r="J162"/>
    </row>
    <row r="163" spans="2:10" x14ac:dyDescent="0.3">
      <c r="B163"/>
      <c r="H163"/>
      <c r="I163"/>
      <c r="J163"/>
    </row>
    <row r="164" spans="2:10" x14ac:dyDescent="0.3">
      <c r="B164"/>
      <c r="H164"/>
      <c r="I164"/>
      <c r="J164"/>
    </row>
    <row r="165" spans="2:10" x14ac:dyDescent="0.3">
      <c r="B165"/>
      <c r="H165"/>
      <c r="I165"/>
      <c r="J165"/>
    </row>
    <row r="166" spans="2:10" x14ac:dyDescent="0.3">
      <c r="B166"/>
      <c r="H166"/>
      <c r="I166"/>
      <c r="J166"/>
    </row>
    <row r="167" spans="2:10" x14ac:dyDescent="0.3">
      <c r="B167"/>
      <c r="H167"/>
      <c r="I167"/>
      <c r="J167"/>
    </row>
    <row r="168" spans="2:10" x14ac:dyDescent="0.3">
      <c r="B168"/>
      <c r="H168"/>
      <c r="I168"/>
      <c r="J168"/>
    </row>
    <row r="169" spans="2:10" x14ac:dyDescent="0.3">
      <c r="B169"/>
      <c r="H169"/>
      <c r="I169"/>
      <c r="J169"/>
    </row>
    <row r="170" spans="2:10" x14ac:dyDescent="0.3">
      <c r="B170"/>
      <c r="H170"/>
      <c r="I170"/>
      <c r="J170"/>
    </row>
    <row r="171" spans="2:10" x14ac:dyDescent="0.3">
      <c r="B171"/>
      <c r="H171"/>
      <c r="I171"/>
      <c r="J171"/>
    </row>
    <row r="172" spans="2:10" x14ac:dyDescent="0.3">
      <c r="B172"/>
      <c r="H172"/>
      <c r="I172"/>
      <c r="J172"/>
    </row>
    <row r="173" spans="2:10" x14ac:dyDescent="0.3">
      <c r="B173"/>
      <c r="H173"/>
      <c r="I173"/>
      <c r="J173"/>
    </row>
    <row r="174" spans="2:10" x14ac:dyDescent="0.3">
      <c r="B174"/>
      <c r="H174"/>
      <c r="I174"/>
      <c r="J174"/>
    </row>
    <row r="175" spans="2:10" x14ac:dyDescent="0.3">
      <c r="B175"/>
      <c r="H175"/>
      <c r="I175"/>
      <c r="J175"/>
    </row>
    <row r="176" spans="2:10" x14ac:dyDescent="0.3">
      <c r="B176"/>
      <c r="H176"/>
      <c r="I176"/>
      <c r="J176"/>
    </row>
    <row r="177" spans="2:10" x14ac:dyDescent="0.3">
      <c r="B177"/>
      <c r="H177"/>
      <c r="I177"/>
      <c r="J177"/>
    </row>
    <row r="178" spans="2:10" x14ac:dyDescent="0.3">
      <c r="B178"/>
      <c r="H178"/>
      <c r="I178"/>
      <c r="J178"/>
    </row>
    <row r="179" spans="2:10" x14ac:dyDescent="0.3">
      <c r="B179"/>
      <c r="H179"/>
      <c r="I179"/>
      <c r="J179"/>
    </row>
    <row r="180" spans="2:10" x14ac:dyDescent="0.3">
      <c r="B180"/>
      <c r="H180"/>
      <c r="I180"/>
      <c r="J180"/>
    </row>
    <row r="181" spans="2:10" x14ac:dyDescent="0.3">
      <c r="B181"/>
      <c r="H181"/>
      <c r="I181"/>
      <c r="J181"/>
    </row>
    <row r="182" spans="2:10" x14ac:dyDescent="0.3">
      <c r="B182"/>
      <c r="H182"/>
      <c r="I182"/>
      <c r="J182"/>
    </row>
    <row r="183" spans="2:10" x14ac:dyDescent="0.3">
      <c r="B183"/>
      <c r="H183"/>
      <c r="I183"/>
      <c r="J183"/>
    </row>
    <row r="184" spans="2:10" x14ac:dyDescent="0.3">
      <c r="B184"/>
      <c r="H184"/>
      <c r="I184"/>
      <c r="J184"/>
    </row>
    <row r="185" spans="2:10" x14ac:dyDescent="0.3">
      <c r="B185"/>
      <c r="H185"/>
      <c r="I185"/>
      <c r="J185"/>
    </row>
    <row r="186" spans="2:10" x14ac:dyDescent="0.3">
      <c r="B186"/>
      <c r="H186"/>
      <c r="I186"/>
      <c r="J186"/>
    </row>
    <row r="187" spans="2:10" x14ac:dyDescent="0.3">
      <c r="B187"/>
      <c r="H187"/>
      <c r="I187"/>
      <c r="J187"/>
    </row>
    <row r="188" spans="2:10" x14ac:dyDescent="0.3">
      <c r="B188"/>
      <c r="H188"/>
      <c r="I188"/>
      <c r="J188"/>
    </row>
    <row r="189" spans="2:10" x14ac:dyDescent="0.3">
      <c r="B189"/>
      <c r="H189"/>
      <c r="I189"/>
      <c r="J189"/>
    </row>
    <row r="190" spans="2:10" x14ac:dyDescent="0.3">
      <c r="B190"/>
      <c r="H190"/>
      <c r="I190"/>
      <c r="J190"/>
    </row>
    <row r="191" spans="2:10" x14ac:dyDescent="0.3">
      <c r="B191"/>
      <c r="H191"/>
      <c r="I191"/>
      <c r="J191"/>
    </row>
    <row r="192" spans="2:10" x14ac:dyDescent="0.3">
      <c r="B192"/>
      <c r="H192"/>
      <c r="I192"/>
      <c r="J192"/>
    </row>
    <row r="193" spans="2:10" x14ac:dyDescent="0.3">
      <c r="B193"/>
      <c r="H193"/>
      <c r="I193"/>
      <c r="J193"/>
    </row>
    <row r="194" spans="2:10" x14ac:dyDescent="0.3">
      <c r="B194"/>
      <c r="H194"/>
      <c r="I194"/>
      <c r="J194"/>
    </row>
    <row r="195" spans="2:10" x14ac:dyDescent="0.3">
      <c r="B195"/>
      <c r="H195"/>
      <c r="I195"/>
      <c r="J195"/>
    </row>
    <row r="196" spans="2:10" x14ac:dyDescent="0.3">
      <c r="B196"/>
      <c r="H196"/>
      <c r="I196"/>
      <c r="J196"/>
    </row>
    <row r="197" spans="2:10" x14ac:dyDescent="0.3">
      <c r="B197"/>
      <c r="H197"/>
      <c r="I197"/>
      <c r="J197"/>
    </row>
    <row r="198" spans="2:10" x14ac:dyDescent="0.3">
      <c r="B198"/>
      <c r="H198"/>
      <c r="I198"/>
      <c r="J198"/>
    </row>
    <row r="199" spans="2:10" x14ac:dyDescent="0.3">
      <c r="B199"/>
      <c r="H199"/>
      <c r="I199"/>
      <c r="J199"/>
    </row>
    <row r="200" spans="2:10" x14ac:dyDescent="0.3">
      <c r="B200"/>
      <c r="H200"/>
      <c r="I200"/>
      <c r="J200"/>
    </row>
    <row r="201" spans="2:10" x14ac:dyDescent="0.3">
      <c r="B201"/>
      <c r="H201"/>
      <c r="I201"/>
      <c r="J201"/>
    </row>
    <row r="202" spans="2:10" x14ac:dyDescent="0.3">
      <c r="B202"/>
      <c r="H202"/>
      <c r="I202"/>
      <c r="J202"/>
    </row>
    <row r="203" spans="2:10" x14ac:dyDescent="0.3">
      <c r="B203"/>
      <c r="H203"/>
      <c r="I203"/>
      <c r="J203"/>
    </row>
    <row r="204" spans="2:10" x14ac:dyDescent="0.3">
      <c r="B204"/>
      <c r="H204"/>
      <c r="I204"/>
      <c r="J204"/>
    </row>
    <row r="205" spans="2:10" x14ac:dyDescent="0.3">
      <c r="B205"/>
      <c r="H205"/>
      <c r="I205"/>
      <c r="J205"/>
    </row>
    <row r="206" spans="2:10" x14ac:dyDescent="0.3">
      <c r="B206"/>
    </row>
    <row r="207" spans="2:10" x14ac:dyDescent="0.3">
      <c r="B207"/>
    </row>
    <row r="208" spans="2:10" x14ac:dyDescent="0.3">
      <c r="B208"/>
    </row>
    <row r="209" spans="2:2" x14ac:dyDescent="0.3">
      <c r="B209"/>
    </row>
    <row r="210" spans="2:2" x14ac:dyDescent="0.3">
      <c r="B210"/>
    </row>
    <row r="211" spans="2:2" x14ac:dyDescent="0.3">
      <c r="B211"/>
    </row>
    <row r="212" spans="2:2" x14ac:dyDescent="0.3">
      <c r="B212"/>
    </row>
    <row r="213" spans="2:2" x14ac:dyDescent="0.3">
      <c r="B213"/>
    </row>
    <row r="214" spans="2:2" x14ac:dyDescent="0.3">
      <c r="B214"/>
    </row>
    <row r="215" spans="2:2" x14ac:dyDescent="0.3">
      <c r="B215"/>
    </row>
    <row r="216" spans="2:2" x14ac:dyDescent="0.3">
      <c r="B216"/>
    </row>
    <row r="217" spans="2:2" x14ac:dyDescent="0.3">
      <c r="B217"/>
    </row>
    <row r="218" spans="2:2" x14ac:dyDescent="0.3">
      <c r="B218"/>
    </row>
    <row r="219" spans="2:2" x14ac:dyDescent="0.3">
      <c r="B219"/>
    </row>
    <row r="220" spans="2:2" x14ac:dyDescent="0.3">
      <c r="B220"/>
    </row>
    <row r="221" spans="2:2" x14ac:dyDescent="0.3">
      <c r="B221"/>
    </row>
    <row r="222" spans="2:2" x14ac:dyDescent="0.3">
      <c r="B222"/>
    </row>
    <row r="223" spans="2:2" x14ac:dyDescent="0.3">
      <c r="B223"/>
    </row>
    <row r="224" spans="2:2" x14ac:dyDescent="0.3">
      <c r="B224"/>
    </row>
    <row r="225" spans="2:2" x14ac:dyDescent="0.3">
      <c r="B225"/>
    </row>
    <row r="226" spans="2:2" x14ac:dyDescent="0.3">
      <c r="B226"/>
    </row>
    <row r="227" spans="2:2" x14ac:dyDescent="0.3">
      <c r="B22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0"/>
  <sheetViews>
    <sheetView workbookViewId="0">
      <selection activeCell="G5" sqref="G5:G14"/>
    </sheetView>
  </sheetViews>
  <sheetFormatPr defaultRowHeight="14.4" x14ac:dyDescent="0.3"/>
  <cols>
    <col min="1" max="1" width="14.109375" customWidth="1"/>
    <col min="2" max="2" width="25.44140625" customWidth="1"/>
    <col min="3" max="3" width="18.6640625" customWidth="1"/>
    <col min="4" max="4" width="27.33203125" customWidth="1"/>
    <col min="5" max="5" width="14.33203125" customWidth="1"/>
    <col min="6" max="6" width="17.6640625" customWidth="1"/>
    <col min="7" max="7" width="15.33203125" customWidth="1"/>
    <col min="8" max="8" width="14.5546875" customWidth="1"/>
    <col min="9" max="9" width="20.33203125" customWidth="1"/>
  </cols>
  <sheetData>
    <row r="1" spans="1:32" ht="61.2" customHeight="1" x14ac:dyDescent="0.3">
      <c r="A1" s="842" t="s">
        <v>1820</v>
      </c>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2"/>
      <c r="AF1" s="843"/>
    </row>
    <row r="2" spans="1:32" ht="14.4" customHeight="1" x14ac:dyDescent="0.3">
      <c r="A2" s="861" t="s">
        <v>392</v>
      </c>
      <c r="B2" s="861" t="s">
        <v>1821</v>
      </c>
      <c r="C2" s="861" t="s">
        <v>0</v>
      </c>
      <c r="D2" s="861" t="s">
        <v>1822</v>
      </c>
      <c r="E2" s="861" t="s">
        <v>1502</v>
      </c>
      <c r="F2" s="861" t="s">
        <v>1829</v>
      </c>
      <c r="G2" s="861" t="s">
        <v>1830</v>
      </c>
      <c r="H2" s="861" t="s">
        <v>1831</v>
      </c>
      <c r="I2" s="861" t="s">
        <v>1828</v>
      </c>
    </row>
    <row r="3" spans="1:32" x14ac:dyDescent="0.3">
      <c r="A3" s="861"/>
      <c r="B3" s="861"/>
      <c r="C3" s="861"/>
      <c r="D3" s="861"/>
      <c r="E3" s="861"/>
      <c r="F3" s="861"/>
      <c r="G3" s="861"/>
      <c r="H3" s="861"/>
      <c r="I3" s="861"/>
    </row>
    <row r="4" spans="1:32" x14ac:dyDescent="0.3">
      <c r="A4" s="861"/>
      <c r="B4" s="861"/>
      <c r="C4" s="861"/>
      <c r="D4" s="861"/>
      <c r="E4" s="861"/>
      <c r="F4" s="861"/>
      <c r="G4" s="861"/>
      <c r="H4" s="861"/>
      <c r="I4" s="861"/>
    </row>
    <row r="5" spans="1:32" x14ac:dyDescent="0.3">
      <c r="A5" s="300" t="s">
        <v>378</v>
      </c>
      <c r="B5" s="300" t="s">
        <v>933</v>
      </c>
      <c r="C5" s="300" t="s">
        <v>185</v>
      </c>
      <c r="D5" s="300" t="s">
        <v>1897</v>
      </c>
      <c r="E5" s="300" t="s">
        <v>464</v>
      </c>
      <c r="F5" s="300">
        <v>31</v>
      </c>
      <c r="G5" s="300">
        <v>31</v>
      </c>
      <c r="H5" s="300"/>
      <c r="I5" s="300"/>
    </row>
    <row r="6" spans="1:32" x14ac:dyDescent="0.3">
      <c r="A6" s="300" t="s">
        <v>378</v>
      </c>
      <c r="B6" s="300" t="s">
        <v>933</v>
      </c>
      <c r="C6" s="300" t="s">
        <v>151</v>
      </c>
      <c r="D6" s="300" t="s">
        <v>1889</v>
      </c>
      <c r="E6" s="300" t="s">
        <v>464</v>
      </c>
      <c r="F6" s="300">
        <v>4</v>
      </c>
      <c r="G6" s="300">
        <v>4</v>
      </c>
      <c r="H6" s="300"/>
      <c r="I6" s="300"/>
    </row>
    <row r="7" spans="1:32" s="301" customFormat="1" x14ac:dyDescent="0.3">
      <c r="A7" s="300" t="s">
        <v>378</v>
      </c>
      <c r="B7" s="300" t="s">
        <v>933</v>
      </c>
      <c r="C7" s="300" t="s">
        <v>1933</v>
      </c>
      <c r="D7" s="300" t="s">
        <v>1889</v>
      </c>
      <c r="E7" s="300" t="s">
        <v>464</v>
      </c>
      <c r="F7" s="161">
        <v>2</v>
      </c>
      <c r="G7" s="161">
        <v>2</v>
      </c>
      <c r="H7" s="300"/>
      <c r="I7" s="300"/>
    </row>
    <row r="8" spans="1:32" x14ac:dyDescent="0.3">
      <c r="A8" s="300" t="s">
        <v>378</v>
      </c>
      <c r="B8" s="300" t="s">
        <v>462</v>
      </c>
      <c r="C8" s="300" t="s">
        <v>5</v>
      </c>
      <c r="D8" s="300" t="s">
        <v>1888</v>
      </c>
      <c r="E8" s="300" t="s">
        <v>464</v>
      </c>
      <c r="F8" s="769">
        <v>33</v>
      </c>
      <c r="G8" s="769">
        <v>33</v>
      </c>
      <c r="H8" s="300"/>
      <c r="I8" s="300"/>
    </row>
    <row r="9" spans="1:32" x14ac:dyDescent="0.3">
      <c r="A9" s="300" t="s">
        <v>1310</v>
      </c>
      <c r="B9" s="300" t="s">
        <v>778</v>
      </c>
      <c r="C9" s="300" t="s">
        <v>297</v>
      </c>
      <c r="D9" s="300" t="s">
        <v>1888</v>
      </c>
      <c r="E9" s="300" t="s">
        <v>464</v>
      </c>
      <c r="F9" s="300">
        <v>6</v>
      </c>
      <c r="G9" s="300">
        <v>6</v>
      </c>
      <c r="H9" s="300"/>
      <c r="I9" s="300"/>
    </row>
    <row r="10" spans="1:32" x14ac:dyDescent="0.3">
      <c r="A10" s="300" t="s">
        <v>1310</v>
      </c>
      <c r="B10" s="300" t="s">
        <v>778</v>
      </c>
      <c r="C10" s="300" t="s">
        <v>1929</v>
      </c>
      <c r="D10" s="300" t="s">
        <v>1939</v>
      </c>
      <c r="E10" s="300" t="s">
        <v>464</v>
      </c>
      <c r="F10" s="300">
        <v>96</v>
      </c>
      <c r="G10" s="300">
        <v>30</v>
      </c>
      <c r="H10" s="300"/>
      <c r="I10" s="300"/>
    </row>
    <row r="11" spans="1:32" x14ac:dyDescent="0.3">
      <c r="A11" s="300" t="s">
        <v>1310</v>
      </c>
      <c r="B11" s="300" t="s">
        <v>778</v>
      </c>
      <c r="C11" s="300" t="s">
        <v>719</v>
      </c>
      <c r="D11" s="300" t="s">
        <v>1888</v>
      </c>
      <c r="E11" s="300" t="s">
        <v>464</v>
      </c>
      <c r="F11" s="300">
        <v>35</v>
      </c>
      <c r="G11" s="300">
        <v>25</v>
      </c>
      <c r="H11" s="300"/>
      <c r="I11" s="300"/>
    </row>
    <row r="12" spans="1:32" x14ac:dyDescent="0.3">
      <c r="A12" s="300" t="s">
        <v>1310</v>
      </c>
      <c r="B12" s="300" t="s">
        <v>778</v>
      </c>
      <c r="C12" s="300" t="s">
        <v>717</v>
      </c>
      <c r="D12" s="300" t="s">
        <v>1932</v>
      </c>
      <c r="E12" s="300" t="s">
        <v>464</v>
      </c>
      <c r="F12" s="300">
        <v>23</v>
      </c>
      <c r="G12" s="300">
        <v>23</v>
      </c>
      <c r="H12" s="300"/>
      <c r="I12" s="300" t="s">
        <v>1938</v>
      </c>
    </row>
    <row r="13" spans="1:32" x14ac:dyDescent="0.3">
      <c r="A13" s="300" t="s">
        <v>1310</v>
      </c>
      <c r="B13" s="300" t="s">
        <v>778</v>
      </c>
      <c r="C13" s="300" t="s">
        <v>230</v>
      </c>
      <c r="D13" s="300" t="s">
        <v>1889</v>
      </c>
      <c r="E13" s="300" t="s">
        <v>464</v>
      </c>
      <c r="F13" s="300">
        <v>18</v>
      </c>
      <c r="G13" s="300">
        <v>18</v>
      </c>
      <c r="H13" s="300"/>
      <c r="I13" s="300"/>
    </row>
    <row r="14" spans="1:32" x14ac:dyDescent="0.3">
      <c r="A14" s="300" t="s">
        <v>1310</v>
      </c>
      <c r="B14" s="300" t="s">
        <v>1935</v>
      </c>
      <c r="C14" s="300" t="s">
        <v>230</v>
      </c>
      <c r="D14" s="300" t="s">
        <v>1889</v>
      </c>
      <c r="E14" s="300" t="s">
        <v>464</v>
      </c>
      <c r="F14" s="300">
        <v>17</v>
      </c>
      <c r="G14" s="300">
        <v>10</v>
      </c>
      <c r="H14" s="300"/>
      <c r="I14" s="300" t="s">
        <v>1936</v>
      </c>
    </row>
    <row r="15" spans="1:32" x14ac:dyDescent="0.3">
      <c r="A15" s="300"/>
      <c r="B15" s="300"/>
      <c r="C15" s="300"/>
      <c r="D15" s="300"/>
      <c r="E15" s="300"/>
      <c r="F15" s="300"/>
      <c r="G15" s="300"/>
      <c r="H15" s="300"/>
      <c r="I15" s="300"/>
    </row>
    <row r="16" spans="1:32" x14ac:dyDescent="0.3">
      <c r="A16" s="300"/>
      <c r="B16" s="300"/>
      <c r="C16" s="300"/>
      <c r="D16" s="300"/>
      <c r="E16" s="300"/>
      <c r="F16" s="300"/>
      <c r="G16" s="300"/>
      <c r="H16" s="300"/>
      <c r="I16" s="300"/>
    </row>
    <row r="17" spans="1:9" x14ac:dyDescent="0.3">
      <c r="A17" s="300"/>
      <c r="B17" s="300"/>
      <c r="C17" s="300"/>
      <c r="D17" s="300"/>
      <c r="E17" s="300"/>
      <c r="F17" s="300"/>
      <c r="G17" s="300"/>
      <c r="H17" s="300"/>
      <c r="I17" s="300"/>
    </row>
    <row r="18" spans="1:9" x14ac:dyDescent="0.3">
      <c r="A18" s="300"/>
      <c r="B18" s="300"/>
      <c r="C18" s="300"/>
      <c r="D18" s="300"/>
      <c r="E18" s="300"/>
      <c r="F18" s="300"/>
      <c r="G18" s="300"/>
      <c r="H18" s="300"/>
      <c r="I18" s="300"/>
    </row>
    <row r="19" spans="1:9" x14ac:dyDescent="0.3">
      <c r="A19" s="300"/>
      <c r="B19" s="300"/>
      <c r="C19" s="300"/>
      <c r="D19" s="300"/>
      <c r="E19" s="300"/>
      <c r="F19" s="300"/>
      <c r="G19" s="300"/>
      <c r="H19" s="300"/>
      <c r="I19" s="300"/>
    </row>
    <row r="20" spans="1:9" x14ac:dyDescent="0.3">
      <c r="A20" s="300"/>
      <c r="B20" s="300"/>
      <c r="C20" s="300"/>
      <c r="D20" s="300"/>
      <c r="E20" s="300"/>
      <c r="F20" s="300"/>
      <c r="G20" s="300"/>
      <c r="H20" s="300"/>
      <c r="I20" s="300"/>
    </row>
  </sheetData>
  <mergeCells count="10">
    <mergeCell ref="I2:I4"/>
    <mergeCell ref="A1:AF1"/>
    <mergeCell ref="A2:A4"/>
    <mergeCell ref="B2:B4"/>
    <mergeCell ref="C2:C4"/>
    <mergeCell ref="D2:D4"/>
    <mergeCell ref="E2:E4"/>
    <mergeCell ref="F2:F4"/>
    <mergeCell ref="G2:G4"/>
    <mergeCell ref="H2:H4"/>
  </mergeCells>
  <conditionalFormatting sqref="G1:AF1">
    <cfRule type="cellIs" dxfId="307" priority="1" operator="greaterThan">
      <formula>0</formula>
    </cfRule>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pageSetUpPr fitToPage="1"/>
  </sheetPr>
  <dimension ref="A1:CG45"/>
  <sheetViews>
    <sheetView showGridLines="0" showZeros="0" zoomScale="130" zoomScaleNormal="130" zoomScaleSheetLayoutView="100" zoomScalePageLayoutView="80" workbookViewId="0">
      <selection activeCell="H7" sqref="H7"/>
    </sheetView>
  </sheetViews>
  <sheetFormatPr defaultColWidth="9.109375" defaultRowHeight="14.4" x14ac:dyDescent="0.3"/>
  <cols>
    <col min="1" max="1" width="2.44140625" style="175" customWidth="1"/>
    <col min="2" max="2" width="11.88671875" style="175" customWidth="1"/>
    <col min="3" max="3" width="9" style="175" customWidth="1"/>
    <col min="4" max="4" width="9.88671875" style="175" customWidth="1"/>
    <col min="5" max="5" width="8" style="175" customWidth="1"/>
    <col min="6" max="6" width="7.33203125" style="175" customWidth="1"/>
    <col min="7" max="7" width="10.109375" style="175" bestFit="1" customWidth="1"/>
    <col min="8" max="8" width="12.44140625" style="175" bestFit="1" customWidth="1"/>
    <col min="9" max="9" width="5" style="175" customWidth="1"/>
    <col min="10" max="11" width="16" style="175" customWidth="1"/>
    <col min="12" max="12" width="9.109375" style="175"/>
    <col min="13" max="13" width="8.6640625" style="175" customWidth="1"/>
    <col min="14" max="14" width="5.88671875" style="175" customWidth="1"/>
    <col min="15" max="15" width="15.6640625" style="175" customWidth="1"/>
    <col min="16" max="16" width="2.33203125" style="267" customWidth="1"/>
    <col min="17" max="17" width="7.6640625" style="267" customWidth="1"/>
    <col min="18" max="20" width="9.109375" style="267" customWidth="1"/>
    <col min="21" max="21" width="21.109375" style="267" customWidth="1"/>
    <col min="22" max="22" width="9.109375" style="267" customWidth="1"/>
    <col min="23" max="24" width="9.109375" style="175" customWidth="1"/>
    <col min="25" max="78" width="9.109375" style="175"/>
    <col min="79" max="79" width="9.109375" style="175" customWidth="1"/>
    <col min="80" max="80" width="15" style="175" customWidth="1"/>
    <col min="81" max="83" width="8" style="175" customWidth="1"/>
    <col min="84" max="16384" width="9.109375" style="175"/>
  </cols>
  <sheetData>
    <row r="1" spans="1:85" ht="12.75" customHeight="1" x14ac:dyDescent="0.3">
      <c r="A1" s="491"/>
      <c r="B1" s="418"/>
      <c r="C1" s="418"/>
      <c r="D1" s="418"/>
      <c r="E1" s="418"/>
      <c r="F1" s="418"/>
      <c r="G1" s="418"/>
      <c r="H1" s="418"/>
      <c r="I1" s="418"/>
      <c r="J1" s="418"/>
      <c r="K1" s="418"/>
      <c r="L1" s="418"/>
      <c r="M1" s="418"/>
      <c r="N1" s="418"/>
      <c r="O1" s="418"/>
      <c r="P1" s="496"/>
    </row>
    <row r="2" spans="1:85" ht="28.5" customHeight="1" x14ac:dyDescent="0.3">
      <c r="A2" s="497"/>
      <c r="B2" s="887" t="s">
        <v>533</v>
      </c>
      <c r="C2" s="888"/>
      <c r="D2" s="888"/>
      <c r="E2" s="888"/>
      <c r="F2" s="888"/>
      <c r="G2" s="888"/>
      <c r="H2" s="888"/>
      <c r="I2" s="888"/>
      <c r="J2" s="888"/>
      <c r="K2" s="888"/>
      <c r="L2" s="356"/>
      <c r="M2" s="356"/>
      <c r="N2" s="356"/>
      <c r="O2" s="174"/>
      <c r="P2" s="498"/>
      <c r="Q2" s="439" t="s">
        <v>1419</v>
      </c>
      <c r="R2" s="391"/>
      <c r="S2" s="391"/>
      <c r="T2" s="391"/>
      <c r="U2" s="391"/>
      <c r="AL2" s="311"/>
      <c r="AM2" s="311"/>
      <c r="CC2" s="175" t="s">
        <v>978</v>
      </c>
      <c r="CD2" s="352" t="e">
        <f>GETPIVOTDATA("# HH",$B$9)</f>
        <v>#REF!</v>
      </c>
    </row>
    <row r="3" spans="1:85" s="302" customFormat="1" ht="28.5" customHeight="1" x14ac:dyDescent="0.3">
      <c r="A3" s="497"/>
      <c r="B3" s="879">
        <f>Definition!B23</f>
        <v>43585</v>
      </c>
      <c r="C3" s="880"/>
      <c r="D3" s="880"/>
      <c r="E3" s="880"/>
      <c r="F3" s="880"/>
      <c r="G3" s="880"/>
      <c r="H3" s="880"/>
      <c r="I3" s="880"/>
      <c r="J3" s="880"/>
      <c r="K3" s="357"/>
      <c r="L3" s="357"/>
      <c r="M3" s="357"/>
      <c r="N3" s="357"/>
      <c r="O3" s="176"/>
      <c r="P3" s="499"/>
      <c r="Q3" s="384">
        <f>COUNTIFS(CampList[[#All],[Status]],"Open",CampList[[#All],[Type of Accomodation]],"Camp")+COUNTIFS(CampList[[#All],[Status]],"Open",CampList[[#All],[Type of Accomodation]],"Camp like setting")</f>
        <v>0</v>
      </c>
      <c r="R3" s="391"/>
      <c r="S3" s="391"/>
      <c r="T3" s="391"/>
      <c r="U3" s="391"/>
      <c r="V3" s="267"/>
      <c r="W3" s="175"/>
      <c r="X3" s="175"/>
      <c r="Y3" s="175"/>
      <c r="AA3" s="175"/>
      <c r="AB3" s="175"/>
      <c r="AL3" s="177"/>
      <c r="AM3" s="177"/>
      <c r="CC3" s="175" t="s">
        <v>1024</v>
      </c>
      <c r="CD3" s="352" t="e">
        <f>GETPIVOTDATA("# Camps",$B$9)</f>
        <v>#REF!</v>
      </c>
      <c r="CE3" s="175"/>
      <c r="CF3" s="175"/>
    </row>
    <row r="4" spans="1:85" s="302" customFormat="1" ht="8.25" customHeight="1" x14ac:dyDescent="0.3">
      <c r="A4" s="497"/>
      <c r="B4" s="457"/>
      <c r="C4" s="457"/>
      <c r="D4" s="457"/>
      <c r="E4" s="457"/>
      <c r="F4" s="457"/>
      <c r="G4" s="457"/>
      <c r="H4" s="457"/>
      <c r="I4" s="457"/>
      <c r="J4" s="457"/>
      <c r="K4" s="85"/>
      <c r="L4" s="85"/>
      <c r="M4" s="85"/>
      <c r="N4" s="85"/>
      <c r="O4" s="389"/>
      <c r="P4" s="499"/>
      <c r="Q4" s="384"/>
      <c r="R4" s="391"/>
      <c r="S4" s="391"/>
      <c r="T4" s="391"/>
      <c r="U4" s="391"/>
      <c r="V4" s="267"/>
      <c r="W4" s="175"/>
      <c r="X4" s="175"/>
      <c r="Y4" s="175"/>
      <c r="AA4" s="175"/>
      <c r="AB4" s="175"/>
      <c r="AL4" s="177"/>
      <c r="AM4" s="177"/>
      <c r="CC4" s="175"/>
      <c r="CD4" s="352"/>
      <c r="CE4" s="175"/>
      <c r="CF4" s="175"/>
    </row>
    <row r="5" spans="1:85" s="471" customFormat="1" ht="18" customHeight="1" x14ac:dyDescent="0.3">
      <c r="A5" s="500"/>
      <c r="B5" s="476" t="s">
        <v>1419</v>
      </c>
      <c r="C5" s="477"/>
      <c r="D5" s="477"/>
      <c r="E5" s="477"/>
      <c r="F5" s="477"/>
      <c r="G5" s="478"/>
      <c r="H5" s="510">
        <v>59</v>
      </c>
      <c r="I5" s="483"/>
      <c r="J5" s="467"/>
      <c r="K5" s="468"/>
      <c r="L5" s="468"/>
      <c r="M5" s="468"/>
      <c r="N5" s="468"/>
      <c r="O5" s="466"/>
      <c r="P5" s="501"/>
      <c r="Q5" s="469"/>
      <c r="R5" s="469"/>
      <c r="S5" s="469"/>
      <c r="T5" s="469"/>
      <c r="U5" s="469"/>
      <c r="V5" s="469"/>
      <c r="W5" s="470"/>
      <c r="X5" s="470"/>
      <c r="Y5" s="470"/>
      <c r="AA5" s="470"/>
      <c r="AB5" s="470"/>
      <c r="AL5" s="472"/>
      <c r="AM5" s="472"/>
      <c r="CC5" s="470"/>
      <c r="CD5" s="473"/>
      <c r="CE5" s="470"/>
      <c r="CF5" s="470"/>
    </row>
    <row r="6" spans="1:85" s="470" customFormat="1" ht="18" customHeight="1" x14ac:dyDescent="0.3">
      <c r="A6" s="500"/>
      <c r="B6" s="476" t="s">
        <v>1364</v>
      </c>
      <c r="C6" s="477"/>
      <c r="D6" s="477"/>
      <c r="E6" s="477"/>
      <c r="F6" s="477"/>
      <c r="G6" s="478"/>
      <c r="H6" s="484">
        <f>F30</f>
        <v>2632</v>
      </c>
      <c r="I6" s="483"/>
      <c r="J6" s="466"/>
      <c r="K6" s="466"/>
      <c r="L6" s="466"/>
      <c r="M6" s="466"/>
      <c r="N6" s="466"/>
      <c r="O6" s="466"/>
      <c r="P6" s="502"/>
      <c r="Q6" s="469"/>
      <c r="R6" s="621"/>
      <c r="S6" s="469"/>
      <c r="T6" s="469"/>
      <c r="U6" s="469"/>
      <c r="V6" s="469"/>
      <c r="CC6" s="470" t="s">
        <v>980</v>
      </c>
      <c r="CD6" s="474" t="e">
        <f>GETPIVOTDATA("# HH",$B$9)-GETPIVOTDATA("# Shelter Gap",$B$9)</f>
        <v>#REF!</v>
      </c>
      <c r="CE6" s="475" t="e">
        <f>CD6/CD2</f>
        <v>#REF!</v>
      </c>
    </row>
    <row r="7" spans="1:85" s="470" customFormat="1" ht="18" customHeight="1" x14ac:dyDescent="0.3">
      <c r="A7" s="500"/>
      <c r="B7" s="476" t="s">
        <v>1540</v>
      </c>
      <c r="C7" s="477"/>
      <c r="D7" s="477"/>
      <c r="E7" s="477"/>
      <c r="F7" s="477"/>
      <c r="G7" s="478"/>
      <c r="H7" s="485">
        <f>G30</f>
        <v>7660</v>
      </c>
      <c r="I7" s="483"/>
      <c r="J7" s="466"/>
      <c r="K7" s="466"/>
      <c r="L7" s="466"/>
      <c r="M7" s="466"/>
      <c r="N7" s="466"/>
      <c r="O7" s="466"/>
      <c r="P7" s="502"/>
      <c r="Q7" s="469"/>
      <c r="R7" s="469"/>
      <c r="S7" s="469"/>
      <c r="T7" s="469"/>
      <c r="U7" s="469"/>
      <c r="V7" s="469"/>
      <c r="CB7" s="471"/>
      <c r="CC7" s="470" t="s">
        <v>979</v>
      </c>
      <c r="CD7" s="473" t="e">
        <f>GETPIVOTDATA("# Shelter Gap",$B$9)</f>
        <v>#REF!</v>
      </c>
      <c r="CE7" s="475"/>
    </row>
    <row r="8" spans="1:85" ht="6" customHeight="1" x14ac:dyDescent="0.3">
      <c r="A8" s="503"/>
      <c r="B8" s="188"/>
      <c r="C8" s="188"/>
      <c r="D8" s="188"/>
      <c r="E8" s="188"/>
      <c r="F8" s="188"/>
      <c r="G8" s="188"/>
      <c r="H8" s="188"/>
      <c r="I8" s="483"/>
      <c r="J8" s="188"/>
      <c r="K8" s="188"/>
      <c r="L8" s="188"/>
      <c r="M8" s="188"/>
      <c r="N8" s="188"/>
      <c r="O8" s="188"/>
      <c r="P8" s="498"/>
      <c r="CC8" s="175" t="s">
        <v>981</v>
      </c>
      <c r="CD8" s="352" t="e">
        <f>GETPIVOTDATA("# Const. Shelter",$B$9)</f>
        <v>#REF!</v>
      </c>
      <c r="CE8" s="353" t="e">
        <f>CD8/CD2</f>
        <v>#REF!</v>
      </c>
    </row>
    <row r="9" spans="1:85" ht="42" customHeight="1" x14ac:dyDescent="0.3">
      <c r="A9" s="503"/>
      <c r="B9" s="349" t="s">
        <v>0</v>
      </c>
      <c r="C9" s="350" t="s">
        <v>1363</v>
      </c>
      <c r="D9" s="350" t="s">
        <v>1362</v>
      </c>
      <c r="E9" s="350" t="s">
        <v>1367</v>
      </c>
      <c r="F9" s="350" t="s">
        <v>1364</v>
      </c>
      <c r="G9" s="350" t="s">
        <v>1368</v>
      </c>
      <c r="H9" s="350" t="s">
        <v>1573</v>
      </c>
      <c r="I9" s="483"/>
      <c r="J9" s="188"/>
      <c r="K9" s="188"/>
      <c r="L9" s="188"/>
      <c r="M9" s="188"/>
      <c r="N9" s="188"/>
      <c r="O9" s="188"/>
      <c r="P9" s="498"/>
    </row>
    <row r="10" spans="1:85" ht="12.6" customHeight="1" x14ac:dyDescent="0.3">
      <c r="A10" s="503"/>
      <c r="B10" s="479" t="s">
        <v>5</v>
      </c>
      <c r="C10" s="480">
        <f>GETPIVOTDATA("HH",'IDP location Analysis'!$B$9,"Township","Bhamo")</f>
        <v>1392</v>
      </c>
      <c r="D10" s="481">
        <f>GETPIVOTDATA("Individuals",'IDP location Analysis'!$B$9,"Township","Bhamo")</f>
        <v>7899</v>
      </c>
      <c r="E10" s="481">
        <f>'Shelter Gap Analysis'!H14+'Shelter Gap Analysis'!J14+'Shelter Gap Analysis'!K14</f>
        <v>328</v>
      </c>
      <c r="F10" s="482">
        <f>'Shelter Gap Analysis'!M14+'Shelter Gap Analysis'!O14+'Shelter Gap Analysis'!P14</f>
        <v>72</v>
      </c>
      <c r="G10" s="480">
        <f>E10-F10</f>
        <v>256</v>
      </c>
      <c r="H10" s="483">
        <f>IF(AND(E10=0,F10=0),"",IF((IFERROR(F10/E10,0))=0,"no coverage",F10/E10))</f>
        <v>0.21951219512195122</v>
      </c>
      <c r="I10" s="483"/>
      <c r="J10" s="312"/>
      <c r="K10" s="312"/>
      <c r="L10" s="188"/>
      <c r="M10" s="188"/>
      <c r="N10" s="188"/>
      <c r="O10" s="188"/>
      <c r="P10" s="498"/>
    </row>
    <row r="11" spans="1:85" ht="12.6" customHeight="1" x14ac:dyDescent="0.3">
      <c r="A11" s="419"/>
      <c r="B11" s="479" t="s">
        <v>27</v>
      </c>
      <c r="C11" s="480">
        <f>GETPIVOTDATA("HH",'IDP location Analysis'!$B$9,"Township","Chipwi")</f>
        <v>621</v>
      </c>
      <c r="D11" s="481">
        <f>GETPIVOTDATA("Individuals",'IDP location Analysis'!$B$9,"Township","Chipwi")</f>
        <v>3094</v>
      </c>
      <c r="E11" s="481">
        <f>'Shelter Gap Analysis'!H20+'Shelter Gap Analysis'!J20+'Shelter Gap Analysis'!K20</f>
        <v>186</v>
      </c>
      <c r="F11" s="482">
        <f>'Shelter Gap Analysis'!M20+'Shelter Gap Analysis'!O20+'Shelter Gap Analysis'!P20</f>
        <v>20</v>
      </c>
      <c r="G11" s="480">
        <f t="shared" ref="G11:G27" si="0">E11-F11</f>
        <v>166</v>
      </c>
      <c r="H11" s="483">
        <f t="shared" ref="H11:H26" si="1">IF(AND(E11=0,F11=0),"",IF((IFERROR(F11/E11,0))=0,"no coverage",F11/E11))</f>
        <v>0.10752688172043011</v>
      </c>
      <c r="I11" s="483"/>
      <c r="J11" s="313"/>
      <c r="K11" s="313"/>
      <c r="L11" s="188"/>
      <c r="M11" s="188"/>
      <c r="N11" s="188"/>
      <c r="O11" s="188"/>
      <c r="P11" s="498"/>
    </row>
    <row r="12" spans="1:85" ht="12.6" customHeight="1" x14ac:dyDescent="0.3">
      <c r="A12" s="419"/>
      <c r="B12" s="479" t="s">
        <v>480</v>
      </c>
      <c r="C12" s="480">
        <f>GETPIVOTDATA("HH",'IDP location Analysis'!$B$9,"Township","Hpakant")</f>
        <v>799</v>
      </c>
      <c r="D12" s="481">
        <f>GETPIVOTDATA("Individuals",'IDP location Analysis'!$B$9,"Township","Hpakant")</f>
        <v>4038</v>
      </c>
      <c r="E12" s="481">
        <f>'Shelter Gap Analysis'!H44+'Shelter Gap Analysis'!J44+'Shelter Gap Analysis'!K44</f>
        <v>614</v>
      </c>
      <c r="F12" s="482">
        <f>'Shelter Gap Analysis'!M44+'Shelter Gap Analysis'!O44+'Shelter Gap Analysis'!P44</f>
        <v>258</v>
      </c>
      <c r="G12" s="480">
        <f t="shared" si="0"/>
        <v>356</v>
      </c>
      <c r="H12" s="483">
        <f t="shared" si="1"/>
        <v>0.4201954397394137</v>
      </c>
      <c r="I12" s="483"/>
      <c r="J12" s="313"/>
      <c r="K12" s="313"/>
      <c r="L12" s="188"/>
      <c r="M12" s="188"/>
      <c r="N12" s="188"/>
      <c r="O12" s="188"/>
      <c r="P12" s="498"/>
    </row>
    <row r="13" spans="1:85" ht="12.6" customHeight="1" x14ac:dyDescent="0.3">
      <c r="A13" s="419"/>
      <c r="B13" s="627" t="s">
        <v>719</v>
      </c>
      <c r="C13" s="480">
        <f>GETPIVOTDATA("HH",'IDP location Analysis'!$B$9,"Township","Hseni")</f>
        <v>35</v>
      </c>
      <c r="D13" s="481">
        <f>GETPIVOTDATA("Individuals",'IDP location Analysis'!$B$9,"Township","Hseni")</f>
        <v>183</v>
      </c>
      <c r="E13" s="481">
        <f>'Shelter Gap Analysis'!H46+'Shelter Gap Analysis'!J46+'Shelter Gap Analysis'!K46</f>
        <v>42</v>
      </c>
      <c r="F13" s="482">
        <f>'Shelter Gap Analysis'!M46+'Shelter Gap Analysis'!O46+'Shelter Gap Analysis'!P46</f>
        <v>25</v>
      </c>
      <c r="G13" s="480">
        <f t="shared" si="0"/>
        <v>17</v>
      </c>
      <c r="H13" s="483">
        <f>IF(AND(E13=0,F13=0),"",IF((IFERROR(F13/E13,0))=0,"no coverage",F13/E13))</f>
        <v>0.59523809523809523</v>
      </c>
      <c r="I13" s="483"/>
      <c r="J13" s="188"/>
      <c r="K13" s="313"/>
      <c r="L13" s="188"/>
      <c r="M13" s="188"/>
      <c r="N13" s="188"/>
      <c r="O13" s="188"/>
      <c r="P13" s="498"/>
    </row>
    <row r="14" spans="1:85" ht="12.6" customHeight="1" x14ac:dyDescent="0.3">
      <c r="A14" s="419"/>
      <c r="B14" s="479" t="s">
        <v>1198</v>
      </c>
      <c r="C14" s="480">
        <f>GETPIVOTDATA("HH",'IDP location Analysis'!$B$9,"Township","Hsipaw")</f>
        <v>37</v>
      </c>
      <c r="D14" s="481">
        <f>GETPIVOTDATA("Individuals",'IDP location Analysis'!$B$9,"Township","Hsipaw")</f>
        <v>120</v>
      </c>
      <c r="E14" s="481">
        <f>'Shelter Gap Analysis'!H48+'Shelter Gap Analysis'!J48+'Shelter Gap Analysis'!K48</f>
        <v>0</v>
      </c>
      <c r="F14" s="482">
        <f>'Shelter Gap Analysis'!M48+'Shelter Gap Analysis'!O48+'Shelter Gap Analysis'!P48</f>
        <v>0</v>
      </c>
      <c r="G14" s="480">
        <f t="shared" si="0"/>
        <v>0</v>
      </c>
      <c r="H14" s="483" t="str">
        <f>IF(AND(E14=0,F14=0),"",IF((IFERROR(F14/E14,0))=0,"no coverage",F14/E14))</f>
        <v/>
      </c>
      <c r="I14" s="483"/>
      <c r="J14" s="188"/>
      <c r="K14" s="313"/>
      <c r="L14" s="188"/>
      <c r="M14" s="188"/>
      <c r="N14" s="188"/>
      <c r="O14" s="188"/>
      <c r="P14" s="498"/>
    </row>
    <row r="15" spans="1:85" ht="12.6" customHeight="1" x14ac:dyDescent="0.3">
      <c r="A15" s="419"/>
      <c r="B15" s="479" t="s">
        <v>146</v>
      </c>
      <c r="C15" s="480">
        <f>GETPIVOTDATA("HH",'IDP location Analysis'!$B$9,"Township","Kutkai")</f>
        <v>927</v>
      </c>
      <c r="D15" s="481">
        <f>GETPIVOTDATA("Individuals",'IDP location Analysis'!$B$9,"Township","Kutkai")</f>
        <v>4732</v>
      </c>
      <c r="E15" s="481">
        <f>'Shelter Gap Analysis'!H65+'Shelter Gap Analysis'!J65+'Shelter Gap Analysis'!K65</f>
        <v>642</v>
      </c>
      <c r="F15" s="482">
        <f>'Shelter Gap Analysis'!M65+'Shelter Gap Analysis'!O65+'Shelter Gap Analysis'!P65</f>
        <v>286</v>
      </c>
      <c r="G15" s="480">
        <f t="shared" si="0"/>
        <v>356</v>
      </c>
      <c r="H15" s="483">
        <f t="shared" si="1"/>
        <v>0.4454828660436137</v>
      </c>
      <c r="I15" s="483"/>
      <c r="J15" s="188"/>
      <c r="K15" s="313"/>
      <c r="L15" s="188"/>
      <c r="M15" s="188"/>
      <c r="N15" s="188"/>
      <c r="O15" s="188"/>
      <c r="P15" s="498"/>
    </row>
    <row r="16" spans="1:85" ht="15" customHeight="1" x14ac:dyDescent="0.3">
      <c r="A16" s="503"/>
      <c r="B16" s="479" t="s">
        <v>151</v>
      </c>
      <c r="C16" s="480">
        <f>GETPIVOTDATA("HH",'IDP location Analysis'!$B$9,"Township","Mansi")</f>
        <v>2757</v>
      </c>
      <c r="D16" s="481">
        <f>GETPIVOTDATA("Individuals",'IDP location Analysis'!$B$9,"Township","Mansi")</f>
        <v>13812</v>
      </c>
      <c r="E16" s="481">
        <f>'Shelter Gap Analysis'!H75+'Shelter Gap Analysis'!J75+'Shelter Gap Analysis'!K75</f>
        <v>1184</v>
      </c>
      <c r="F16" s="482">
        <f>'Shelter Gap Analysis'!M75+'Shelter Gap Analysis'!O75+'Shelter Gap Analysis'!P75</f>
        <v>179</v>
      </c>
      <c r="G16" s="480">
        <f t="shared" si="0"/>
        <v>1005</v>
      </c>
      <c r="H16" s="483">
        <f>IF(AND(E16=0,F16=0),"",IF((IFERROR(F16/E16,0))=0,"no coverage",F16/E16))</f>
        <v>0.15118243243243243</v>
      </c>
      <c r="I16" s="483"/>
      <c r="J16" s="188"/>
      <c r="K16" s="188"/>
      <c r="L16" s="313"/>
      <c r="M16" s="188"/>
      <c r="N16" s="188"/>
      <c r="O16" s="188"/>
      <c r="P16" s="420"/>
      <c r="W16" s="267"/>
      <c r="CD16" s="175" t="s">
        <v>0</v>
      </c>
      <c r="CE16" s="175" t="s">
        <v>988</v>
      </c>
      <c r="CF16" s="175" t="s">
        <v>989</v>
      </c>
      <c r="CG16" s="175" t="s">
        <v>990</v>
      </c>
    </row>
    <row r="17" spans="1:85" s="348" customFormat="1" ht="12.75" customHeight="1" x14ac:dyDescent="0.3">
      <c r="A17" s="504"/>
      <c r="B17" s="479" t="s">
        <v>166</v>
      </c>
      <c r="C17" s="480">
        <f>GETPIVOTDATA("HH",'IDP location Analysis'!$B$9,"Township","Manton")</f>
        <v>59</v>
      </c>
      <c r="D17" s="481">
        <f>GETPIVOTDATA("Individuals",'IDP location Analysis'!$B$9,"Township","Manton")</f>
        <v>313</v>
      </c>
      <c r="E17" s="481">
        <f>'Shelter Gap Analysis'!H78+'Shelter Gap Analysis'!J78+'Shelter Gap Analysis'!K78</f>
        <v>33</v>
      </c>
      <c r="F17" s="482">
        <f>'Shelter Gap Analysis'!M78+'Shelter Gap Analysis'!O78+'Shelter Gap Analysis'!P78</f>
        <v>11</v>
      </c>
      <c r="G17" s="480">
        <f t="shared" si="0"/>
        <v>22</v>
      </c>
      <c r="H17" s="483">
        <f>IF(AND(E17=0,F17=0),"",IF((IFERROR(F17/E17,0))=0,"no coverage",F17/E17))</f>
        <v>0.33333333333333331</v>
      </c>
      <c r="I17" s="483"/>
      <c r="J17" s="315"/>
      <c r="K17" s="315"/>
      <c r="L17" s="316"/>
      <c r="M17" s="315"/>
      <c r="N17" s="315"/>
      <c r="O17" s="315"/>
      <c r="P17" s="505"/>
      <c r="Q17" s="267"/>
      <c r="R17" s="267"/>
      <c r="S17" s="267"/>
      <c r="T17" s="267"/>
      <c r="U17" s="267"/>
      <c r="V17" s="267"/>
      <c r="W17" s="267"/>
      <c r="CD17" s="348" t="str">
        <f>B10</f>
        <v>Bhamo</v>
      </c>
      <c r="CE17" s="314">
        <f>C10-Shelter_Draw[[#This Row],[V2]]-Shelter_Draw[[#This Row],[V3]]</f>
        <v>1391.780487804878</v>
      </c>
      <c r="CF17" s="314">
        <f>J17</f>
        <v>0</v>
      </c>
      <c r="CG17" s="314">
        <f>H10-J17</f>
        <v>0.21951219512195122</v>
      </c>
    </row>
    <row r="18" spans="1:85" s="348" customFormat="1" ht="12.75" customHeight="1" x14ac:dyDescent="0.3">
      <c r="A18" s="504"/>
      <c r="B18" s="479" t="s">
        <v>173</v>
      </c>
      <c r="C18" s="480">
        <f>GETPIVOTDATA("HH",'IDP location Analysis'!$B$9,"Township","Mogaung")</f>
        <v>304</v>
      </c>
      <c r="D18" s="481">
        <f>GETPIVOTDATA("Individuals",'IDP location Analysis'!$B$9,"Township","Mogaung")</f>
        <v>1459</v>
      </c>
      <c r="E18" s="481">
        <f>'Shelter Gap Analysis'!H87+'Shelter Gap Analysis'!J87+'Shelter Gap Analysis'!K87</f>
        <v>277</v>
      </c>
      <c r="F18" s="482">
        <f>'Shelter Gap Analysis'!M87+'Shelter Gap Analysis'!O87+'Shelter Gap Analysis'!P87</f>
        <v>242</v>
      </c>
      <c r="G18" s="480">
        <f>E18-F18</f>
        <v>35</v>
      </c>
      <c r="H18" s="483">
        <f t="shared" si="1"/>
        <v>0.87364620938628157</v>
      </c>
      <c r="I18" s="483"/>
      <c r="J18" s="315"/>
      <c r="K18" s="315"/>
      <c r="L18" s="316"/>
      <c r="M18" s="315"/>
      <c r="N18" s="315"/>
      <c r="O18" s="315"/>
      <c r="P18" s="505"/>
      <c r="Q18" s="267"/>
      <c r="R18" s="267"/>
      <c r="S18" s="267"/>
      <c r="T18" s="267"/>
      <c r="U18" s="267"/>
      <c r="V18" s="267"/>
      <c r="W18" s="267"/>
      <c r="CD18" s="348" t="str">
        <f>B11</f>
        <v>Chipwi</v>
      </c>
      <c r="CE18" s="314">
        <f>C11-Shelter_Draw[[#This Row],[V2]]-Shelter_Draw[[#This Row],[V3]]</f>
        <v>620.89247311827955</v>
      </c>
      <c r="CF18" s="314">
        <f>J18</f>
        <v>0</v>
      </c>
      <c r="CG18" s="314">
        <f>H11-J18</f>
        <v>0.10752688172043011</v>
      </c>
    </row>
    <row r="19" spans="1:85" s="348" customFormat="1" ht="12.75" customHeight="1" x14ac:dyDescent="0.3">
      <c r="A19" s="504"/>
      <c r="B19" s="479" t="s">
        <v>180</v>
      </c>
      <c r="C19" s="480">
        <f>GETPIVOTDATA("HH",'IDP location Analysis'!$B$9,"Township","Mohnyin")</f>
        <v>79</v>
      </c>
      <c r="D19" s="481">
        <f>GETPIVOTDATA("Individuals",'IDP location Analysis'!$B$9,"Township","Mohnyin")</f>
        <v>382</v>
      </c>
      <c r="E19" s="481">
        <f>'Shelter Gap Analysis'!H90+'Shelter Gap Analysis'!J90+'Shelter Gap Analysis'!K90</f>
        <v>0</v>
      </c>
      <c r="F19" s="482">
        <f>'Shelter Gap Analysis'!M90+'Shelter Gap Analysis'!O90+'Shelter Gap Analysis'!P90</f>
        <v>0</v>
      </c>
      <c r="G19" s="480">
        <f t="shared" si="0"/>
        <v>0</v>
      </c>
      <c r="H19" s="483" t="str">
        <f t="shared" si="1"/>
        <v/>
      </c>
      <c r="I19" s="483"/>
      <c r="J19" s="315"/>
      <c r="K19" s="315"/>
      <c r="L19" s="317"/>
      <c r="M19" s="315"/>
      <c r="N19" s="315"/>
      <c r="O19" s="315"/>
      <c r="P19" s="505"/>
      <c r="Q19" s="267"/>
      <c r="R19" s="267"/>
      <c r="S19" s="267"/>
      <c r="T19" s="267"/>
      <c r="U19" s="267"/>
      <c r="V19" s="267"/>
      <c r="W19" s="267"/>
      <c r="CD19" s="348" t="str">
        <f>B12</f>
        <v>Hpakant</v>
      </c>
      <c r="CE19" s="314">
        <f>C12-Shelter_Draw[[#This Row],[V2]]-Shelter_Draw[[#This Row],[V3]]</f>
        <v>798.57980456026064</v>
      </c>
      <c r="CF19" s="314">
        <f>J19</f>
        <v>0</v>
      </c>
      <c r="CG19" s="314">
        <f>H12-J19</f>
        <v>0.4201954397394137</v>
      </c>
    </row>
    <row r="20" spans="1:85" s="348" customFormat="1" ht="12.75" customHeight="1" x14ac:dyDescent="0.3">
      <c r="A20" s="504"/>
      <c r="B20" s="479" t="s">
        <v>185</v>
      </c>
      <c r="C20" s="480">
        <f>GETPIVOTDATA("HH",'IDP location Analysis'!$B$9,"Township","Momauk")</f>
        <v>4758</v>
      </c>
      <c r="D20" s="481">
        <f>GETPIVOTDATA("Individuals",'IDP location Analysis'!$B$9,"Township","Momauk")</f>
        <v>25132</v>
      </c>
      <c r="E20" s="481">
        <f>'Shelter Gap Analysis'!H103+'Shelter Gap Analysis'!J103+'Shelter Gap Analysis'!K103</f>
        <v>3007</v>
      </c>
      <c r="F20" s="482">
        <f>'Shelter Gap Analysis'!M103+'Shelter Gap Analysis'!O103+'Shelter Gap Analysis'!P103</f>
        <v>367</v>
      </c>
      <c r="G20" s="480">
        <f t="shared" si="0"/>
        <v>2640</v>
      </c>
      <c r="H20" s="483">
        <f t="shared" si="1"/>
        <v>0.12204855337545727</v>
      </c>
      <c r="I20" s="483"/>
      <c r="J20" s="315"/>
      <c r="K20" s="315"/>
      <c r="L20" s="315"/>
      <c r="M20" s="315"/>
      <c r="N20" s="315"/>
      <c r="O20" s="315"/>
      <c r="P20" s="505"/>
      <c r="Q20" s="267"/>
      <c r="R20" s="267"/>
      <c r="S20" s="267"/>
      <c r="T20" s="267"/>
      <c r="U20" s="267"/>
      <c r="V20" s="267"/>
      <c r="W20" s="267"/>
      <c r="CD20" s="348" t="str">
        <f t="shared" ref="CD20:CD29" si="2">B15</f>
        <v>Kutkai</v>
      </c>
      <c r="CE20" s="314">
        <f>C15-Shelter_Draw[[#This Row],[V2]]-Shelter_Draw[[#This Row],[V3]]</f>
        <v>571</v>
      </c>
      <c r="CF20" s="314">
        <f t="shared" ref="CF20:CF26" si="3">H15</f>
        <v>0.4454828660436137</v>
      </c>
      <c r="CG20" s="314">
        <f t="shared" ref="CG20:CG26" si="4">G15-H15</f>
        <v>355.55451713395638</v>
      </c>
    </row>
    <row r="21" spans="1:85" s="348" customFormat="1" ht="12.6" customHeight="1" x14ac:dyDescent="0.3">
      <c r="A21" s="504"/>
      <c r="B21" s="479" t="s">
        <v>230</v>
      </c>
      <c r="C21" s="480">
        <f>GETPIVOTDATA("HH ",'IDP location Analysis'!$B$9,"Township","Muse")</f>
        <v>209</v>
      </c>
      <c r="D21" s="481">
        <f>GETPIVOTDATA("Individuals",'IDP location Analysis'!$B$9,"Township","Muse")</f>
        <v>1048</v>
      </c>
      <c r="E21" s="481">
        <f>'Shelter Gap Analysis'!H107+'Shelter Gap Analysis'!J107+'Shelter Gap Analysis'!K107</f>
        <v>95</v>
      </c>
      <c r="F21" s="482">
        <f>'Shelter Gap Analysis'!M107+'Shelter Gap Analysis'!O107+'Shelter Gap Analysis'!P107</f>
        <v>17</v>
      </c>
      <c r="G21" s="480">
        <f t="shared" si="0"/>
        <v>78</v>
      </c>
      <c r="H21" s="483">
        <f>IF(AND(E21=0,F21=0),"",IF((IFERROR(F21/E21,0))=0,"no coverage",F21/E21))</f>
        <v>0.17894736842105263</v>
      </c>
      <c r="I21" s="483"/>
      <c r="J21" s="315"/>
      <c r="K21" s="315"/>
      <c r="L21" s="315"/>
      <c r="M21" s="315"/>
      <c r="N21" s="315"/>
      <c r="O21" s="315"/>
      <c r="P21" s="505"/>
      <c r="Q21" s="267"/>
      <c r="R21" s="267"/>
      <c r="S21" s="267"/>
      <c r="T21" s="267"/>
      <c r="U21" s="267"/>
      <c r="V21" s="267"/>
      <c r="W21" s="267"/>
      <c r="CD21" s="348" t="str">
        <f t="shared" si="2"/>
        <v>Mansi</v>
      </c>
      <c r="CE21" s="314">
        <f>C16-Shelter_Draw[[#This Row],[V2]]-Shelter_Draw[[#This Row],[V3]]</f>
        <v>1752</v>
      </c>
      <c r="CF21" s="314">
        <f t="shared" si="3"/>
        <v>0.15118243243243243</v>
      </c>
      <c r="CG21" s="314">
        <f t="shared" si="4"/>
        <v>1004.8488175675676</v>
      </c>
    </row>
    <row r="22" spans="1:85" s="348" customFormat="1" ht="12.6" customHeight="1" x14ac:dyDescent="0.3">
      <c r="A22" s="504"/>
      <c r="B22" s="479" t="s">
        <v>237</v>
      </c>
      <c r="C22" s="480">
        <f>GETPIVOTDATA("HH",'IDP location Analysis'!$B$9,"Township","Myitkyina")</f>
        <v>2209</v>
      </c>
      <c r="D22" s="481">
        <f>GETPIVOTDATA("Individuals",'IDP location Analysis'!$B$9,"Township","Myitkyina")</f>
        <v>11374</v>
      </c>
      <c r="E22" s="481">
        <f>'Shelter Gap Analysis'!H135+'Shelter Gap Analysis'!J135+'Shelter Gap Analysis'!K135</f>
        <v>876</v>
      </c>
      <c r="F22" s="482">
        <f>'Shelter Gap Analysis'!M135+'Shelter Gap Analysis'!O135+'Shelter Gap Analysis'!P135</f>
        <v>438</v>
      </c>
      <c r="G22" s="480">
        <f>E22-F22</f>
        <v>438</v>
      </c>
      <c r="H22" s="483">
        <f>IF(AND(E22=0,F22=0),"",IF((IFERROR(F22/E22,0))=0,"no coverage",F22/E22))</f>
        <v>0.5</v>
      </c>
      <c r="I22" s="483"/>
      <c r="J22" s="315"/>
      <c r="K22" s="315"/>
      <c r="L22" s="315"/>
      <c r="M22" s="315"/>
      <c r="N22" s="315"/>
      <c r="O22" s="315"/>
      <c r="P22" s="505"/>
      <c r="Q22" s="267"/>
      <c r="R22" s="267"/>
      <c r="S22" s="267"/>
      <c r="T22" s="267"/>
      <c r="U22" s="267"/>
      <c r="V22" s="267"/>
      <c r="W22" s="267"/>
      <c r="CD22" s="348" t="str">
        <f t="shared" si="2"/>
        <v>Manton</v>
      </c>
      <c r="CE22" s="314">
        <f>C17-Shelter_Draw[[#This Row],[V2]]-Shelter_Draw[[#This Row],[V3]]</f>
        <v>37</v>
      </c>
      <c r="CF22" s="314">
        <f t="shared" si="3"/>
        <v>0.33333333333333331</v>
      </c>
      <c r="CG22" s="314">
        <f t="shared" si="4"/>
        <v>21.666666666666668</v>
      </c>
    </row>
    <row r="23" spans="1:85" s="348" customFormat="1" ht="14.25" customHeight="1" x14ac:dyDescent="0.3">
      <c r="A23" s="504"/>
      <c r="B23" s="479" t="s">
        <v>1365</v>
      </c>
      <c r="C23" s="480">
        <f>GETPIVOTDATA("HH",'IDP location Analysis'!$B$9,"Township","Namhkan")</f>
        <v>395</v>
      </c>
      <c r="D23" s="481">
        <f>GETPIVOTDATA("Individuals",'IDP location Analysis'!$B$9,"Township","Namhkan")</f>
        <v>2018</v>
      </c>
      <c r="E23" s="481">
        <f>'Shelter Gap Analysis'!H142+'Shelter Gap Analysis'!J142+'Shelter Gap Analysis'!K142</f>
        <v>322</v>
      </c>
      <c r="F23" s="482">
        <f>'Shelter Gap Analysis'!M142+'Shelter Gap Analysis'!O142+'Shelter Gap Analysis'!P142</f>
        <v>30</v>
      </c>
      <c r="G23" s="480">
        <f t="shared" si="0"/>
        <v>292</v>
      </c>
      <c r="H23" s="483">
        <f t="shared" si="1"/>
        <v>9.3167701863354033E-2</v>
      </c>
      <c r="I23" s="483"/>
      <c r="J23" s="315"/>
      <c r="K23" s="315"/>
      <c r="L23" s="315"/>
      <c r="M23" s="315"/>
      <c r="N23" s="315"/>
      <c r="O23" s="315"/>
      <c r="P23" s="505"/>
      <c r="Q23" s="267"/>
      <c r="R23" s="267"/>
      <c r="S23" s="267"/>
      <c r="T23" s="267"/>
      <c r="U23" s="267"/>
      <c r="V23" s="267"/>
      <c r="W23" s="267"/>
      <c r="CD23" s="348" t="str">
        <f t="shared" si="2"/>
        <v>Mogaung</v>
      </c>
      <c r="CE23" s="314">
        <f>C18-Shelter_Draw[[#This Row],[V2]]-Shelter_Draw[[#This Row],[V3]]</f>
        <v>269</v>
      </c>
      <c r="CF23" s="314">
        <f t="shared" si="3"/>
        <v>0.87364620938628157</v>
      </c>
      <c r="CG23" s="314">
        <f t="shared" si="4"/>
        <v>34.12635379061372</v>
      </c>
    </row>
    <row r="24" spans="1:85" s="348" customFormat="1" ht="15.75" customHeight="1" x14ac:dyDescent="0.3">
      <c r="A24" s="504"/>
      <c r="B24" s="479" t="s">
        <v>297</v>
      </c>
      <c r="C24" s="480">
        <f>GETPIVOTDATA("HH",'IDP location Analysis'!$B$9,"Township","Namtu")</f>
        <v>133</v>
      </c>
      <c r="D24" s="481">
        <f>GETPIVOTDATA("Individuals",'IDP location Analysis'!$B$9,"Township","Namtu")</f>
        <v>609</v>
      </c>
      <c r="E24" s="481">
        <f>'Shelter Gap Analysis'!H147+'Shelter Gap Analysis'!J147+'Shelter Gap Analysis'!K147</f>
        <v>190</v>
      </c>
      <c r="F24" s="482">
        <f>'Shelter Gap Analysis'!M147+'Shelter Gap Analysis'!O147+'Shelter Gap Analysis'!P147</f>
        <v>36</v>
      </c>
      <c r="G24" s="480">
        <f t="shared" si="0"/>
        <v>154</v>
      </c>
      <c r="H24" s="483">
        <f t="shared" si="1"/>
        <v>0.18947368421052632</v>
      </c>
      <c r="I24" s="483"/>
      <c r="J24" s="315"/>
      <c r="K24" s="315"/>
      <c r="L24" s="315"/>
      <c r="M24" s="315"/>
      <c r="N24" s="315"/>
      <c r="O24" s="315"/>
      <c r="P24" s="505"/>
      <c r="R24" s="267"/>
      <c r="S24" s="267"/>
      <c r="T24" s="267"/>
      <c r="U24" s="267"/>
      <c r="V24" s="267"/>
      <c r="W24" s="267"/>
      <c r="CD24" s="348" t="str">
        <f t="shared" si="2"/>
        <v>Mohnyin</v>
      </c>
      <c r="CE24" s="314" t="e">
        <f>C19-Shelter_Draw[[#This Row],[V2]]-Shelter_Draw[[#This Row],[V3]]</f>
        <v>#VALUE!</v>
      </c>
      <c r="CF24" s="314" t="str">
        <f t="shared" si="3"/>
        <v/>
      </c>
      <c r="CG24" s="314" t="e">
        <f t="shared" si="4"/>
        <v>#VALUE!</v>
      </c>
    </row>
    <row r="25" spans="1:85" s="348" customFormat="1" ht="12.6" customHeight="1" x14ac:dyDescent="0.3">
      <c r="A25" s="504"/>
      <c r="B25" s="627" t="s">
        <v>299</v>
      </c>
      <c r="C25" s="480">
        <f>GETPIVOTDATA("HH",'IDP location Analysis'!$B$9,"Township","Puta-O")</f>
        <v>88</v>
      </c>
      <c r="D25" s="481">
        <f>GETPIVOTDATA("Individuals",'IDP location Analysis'!$B$9,"Township","Puta-O")</f>
        <v>429</v>
      </c>
      <c r="E25" s="481">
        <f>'Shelter Gap Analysis'!H150+'Shelter Gap Analysis'!J150+'Shelter Gap Analysis'!K150</f>
        <v>60</v>
      </c>
      <c r="F25" s="482">
        <f>'Shelter Gap Analysis'!M150+'Shelter Gap Analysis'!O150+'Shelter Gap Analysis'!P150</f>
        <v>60</v>
      </c>
      <c r="G25" s="480">
        <f t="shared" si="0"/>
        <v>0</v>
      </c>
      <c r="H25" s="483">
        <f t="shared" si="1"/>
        <v>1</v>
      </c>
      <c r="I25" s="483"/>
      <c r="J25" s="315"/>
      <c r="K25" s="315"/>
      <c r="L25" s="315"/>
      <c r="M25" s="315"/>
      <c r="N25" s="315"/>
      <c r="O25" s="315"/>
      <c r="P25" s="505"/>
      <c r="R25" s="267"/>
      <c r="S25" s="267"/>
      <c r="T25" s="267"/>
      <c r="U25" s="267"/>
      <c r="V25" s="267"/>
      <c r="W25" s="267"/>
      <c r="CD25" s="348" t="str">
        <f t="shared" si="2"/>
        <v>Momauk</v>
      </c>
      <c r="CE25" s="314">
        <f>C20-Shelter_Draw[[#This Row],[V2]]-Shelter_Draw[[#This Row],[V3]]</f>
        <v>2117.9999999999995</v>
      </c>
      <c r="CF25" s="314">
        <f t="shared" si="3"/>
        <v>0.12204855337545727</v>
      </c>
      <c r="CG25" s="314">
        <f t="shared" si="4"/>
        <v>2639.8779514466246</v>
      </c>
    </row>
    <row r="26" spans="1:85" s="348" customFormat="1" ht="12.75" customHeight="1" x14ac:dyDescent="0.3">
      <c r="A26" s="504"/>
      <c r="B26" s="627" t="s">
        <v>1349</v>
      </c>
      <c r="C26" s="480">
        <f>GETPIVOTDATA("HH",'IDP location Analysis'!$B$9,"Township","Shwegu")</f>
        <v>455</v>
      </c>
      <c r="D26" s="481">
        <f>GETPIVOTDATA("Individuals",'IDP location Analysis'!$B$9,"Township","Shwegu")</f>
        <v>1867</v>
      </c>
      <c r="E26" s="481">
        <f>'Shelter Gap Analysis'!H153+'Shelter Gap Analysis'!J153+'Shelter Gap Analysis'!K153</f>
        <v>0</v>
      </c>
      <c r="F26" s="482">
        <f>'Shelter Gap Analysis'!M153+'Shelter Gap Analysis'!O153+'Shelter Gap Analysis'!P153</f>
        <v>0</v>
      </c>
      <c r="G26" s="480">
        <f t="shared" si="0"/>
        <v>0</v>
      </c>
      <c r="H26" s="483" t="str">
        <f t="shared" si="1"/>
        <v/>
      </c>
      <c r="I26" s="483"/>
      <c r="J26" s="315"/>
      <c r="K26" s="315"/>
      <c r="L26" s="315"/>
      <c r="M26" s="315"/>
      <c r="N26" s="315"/>
      <c r="O26" s="315"/>
      <c r="P26" s="505"/>
      <c r="Q26" s="267"/>
      <c r="R26" s="267"/>
      <c r="S26" s="267"/>
      <c r="T26" s="267"/>
      <c r="U26" s="267"/>
      <c r="V26" s="267"/>
      <c r="W26" s="267"/>
      <c r="CD26" s="348" t="str">
        <f t="shared" si="2"/>
        <v>Muse</v>
      </c>
      <c r="CE26" s="314">
        <f>C21-Shelter_Draw[[#This Row],[V2]]-Shelter_Draw[[#This Row],[V3]]</f>
        <v>131</v>
      </c>
      <c r="CF26" s="314">
        <f t="shared" si="3"/>
        <v>0.17894736842105263</v>
      </c>
      <c r="CG26" s="314">
        <f t="shared" si="4"/>
        <v>77.821052631578951</v>
      </c>
    </row>
    <row r="27" spans="1:85" s="348" customFormat="1" ht="12.75" customHeight="1" x14ac:dyDescent="0.3">
      <c r="A27" s="504"/>
      <c r="B27" s="627" t="s">
        <v>1350</v>
      </c>
      <c r="C27" s="480">
        <f>GETPIVOTDATA("HH",'IDP location Analysis'!$B$9,"Township","Sumprabum")</f>
        <v>212</v>
      </c>
      <c r="D27" s="481">
        <f>GETPIVOTDATA("Individuals",'IDP location Analysis'!$B$9,"Township","Sumprabum")</f>
        <v>1047</v>
      </c>
      <c r="E27" s="481">
        <f>'Shelter Gap Analysis'!H157+'Shelter Gap Analysis'!J157+'Shelter Gap Analysis'!K157</f>
        <v>178</v>
      </c>
      <c r="F27" s="482">
        <f>'Shelter Gap Analysis'!M157+'Shelter Gap Analysis'!O157+'Shelter Gap Analysis'!P157</f>
        <v>178</v>
      </c>
      <c r="G27" s="480">
        <f t="shared" si="0"/>
        <v>0</v>
      </c>
      <c r="H27" s="483">
        <f>IF(AND(E27=0,F27=0),"",IF((IFERROR(F27/E27,0))=0,"no coverage",F27/E27))</f>
        <v>1</v>
      </c>
      <c r="I27" s="483"/>
      <c r="J27" s="315"/>
      <c r="K27" s="315"/>
      <c r="L27" s="315"/>
      <c r="M27" s="315"/>
      <c r="N27" s="315"/>
      <c r="O27" s="315"/>
      <c r="P27" s="505"/>
      <c r="Q27" s="267"/>
      <c r="R27" s="511"/>
      <c r="S27" s="267"/>
      <c r="T27" s="267"/>
      <c r="U27" s="267"/>
      <c r="V27" s="267"/>
      <c r="W27" s="267"/>
      <c r="CD27" s="348" t="str">
        <f t="shared" si="2"/>
        <v>Myitkyina</v>
      </c>
      <c r="CE27" s="314">
        <f>C22-Shelter_Draw[[#This Row],[V2]]-Shelter_Draw[[#This Row],[V3]]</f>
        <v>2208.5</v>
      </c>
      <c r="CF27" s="314">
        <f t="shared" ref="CF27:CF32" si="5">J29</f>
        <v>0</v>
      </c>
      <c r="CG27" s="314">
        <f>H22-J29</f>
        <v>0.5</v>
      </c>
    </row>
    <row r="28" spans="1:85" s="348" customFormat="1" ht="12.75" customHeight="1" x14ac:dyDescent="0.3">
      <c r="A28" s="504"/>
      <c r="B28" s="627" t="s">
        <v>1134</v>
      </c>
      <c r="C28" s="480">
        <f>GETPIVOTDATA("HH",'IDP location Analysis'!$B$9,"Township","Tanai")</f>
        <v>276</v>
      </c>
      <c r="D28" s="481">
        <f>GETPIVOTDATA("Individuals",'IDP location Analysis'!$B$9,"Township","Tanai")</f>
        <v>1156</v>
      </c>
      <c r="E28" s="481">
        <f>'Shelter Gap Analysis'!H161+'Shelter Gap Analysis'!J161+'Shelter Gap Analysis'!K161</f>
        <v>139</v>
      </c>
      <c r="F28" s="482">
        <f>'Shelter Gap Analysis'!M161+'Shelter Gap Analysis'!O161+'Shelter Gap Analysis'!P161</f>
        <v>118</v>
      </c>
      <c r="G28" s="480">
        <f>E28-F28</f>
        <v>21</v>
      </c>
      <c r="H28" s="483">
        <f>IF(AND(E28=0,F28=0),"",IF((IFERROR(F28/E28,0))=0,"no coverage",F28/E28))</f>
        <v>0.84892086330935257</v>
      </c>
      <c r="I28" s="483"/>
      <c r="J28" s="315"/>
      <c r="K28" s="315"/>
      <c r="L28" s="315"/>
      <c r="M28" s="315"/>
      <c r="N28" s="315"/>
      <c r="O28" s="315"/>
      <c r="P28" s="505"/>
      <c r="Q28" s="267"/>
      <c r="R28" s="267"/>
      <c r="S28" s="511"/>
      <c r="T28" s="267"/>
      <c r="U28" s="267"/>
      <c r="V28" s="267"/>
      <c r="W28" s="267"/>
      <c r="CD28" s="348" t="str">
        <f t="shared" si="2"/>
        <v>Nam Kham</v>
      </c>
      <c r="CE28" s="314" t="e">
        <f>C23-Shelter_Draw[[#This Row],[V2]]-Shelter_Draw[[#This Row],[V3]]</f>
        <v>#REF!</v>
      </c>
      <c r="CF28" s="314" t="e">
        <f>#REF!</f>
        <v>#REF!</v>
      </c>
      <c r="CG28" s="314" t="e">
        <f>H23-#REF!</f>
        <v>#REF!</v>
      </c>
    </row>
    <row r="29" spans="1:85" s="348" customFormat="1" ht="12.75" customHeight="1" x14ac:dyDescent="0.3">
      <c r="A29" s="504"/>
      <c r="B29" s="479" t="s">
        <v>309</v>
      </c>
      <c r="C29" s="480">
        <f>GETPIVOTDATA("HH",'IDP location Analysis'!$B$9,"Township","Waingmaw")</f>
        <v>4851</v>
      </c>
      <c r="D29" s="481">
        <f>GETPIVOTDATA("Individuals",'IDP location Analysis'!$B$9,"Township","Waingmaw")</f>
        <v>25825</v>
      </c>
      <c r="E29" s="481">
        <f>'Shelter Gap Analysis'!H183+'Shelter Gap Analysis'!J183+'Shelter Gap Analysis'!K183</f>
        <v>2119</v>
      </c>
      <c r="F29" s="482">
        <f>'Shelter Gap Analysis'!M183+'Shelter Gap Analysis'!O183+'Shelter Gap Analysis'!P183</f>
        <v>295</v>
      </c>
      <c r="G29" s="480">
        <f>E29-F29</f>
        <v>1824</v>
      </c>
      <c r="H29" s="483">
        <f>IF(AND(E29=0,F29=0),"",IF((IFERROR(F29/E29,0))=0,"no coverage",F29/E29))</f>
        <v>0.13921661160924964</v>
      </c>
      <c r="I29" s="483"/>
      <c r="J29" s="315"/>
      <c r="K29" s="315"/>
      <c r="L29" s="315"/>
      <c r="M29" s="315"/>
      <c r="N29" s="315"/>
      <c r="O29" s="315"/>
      <c r="P29" s="505"/>
      <c r="Q29" s="267"/>
      <c r="R29" s="267"/>
      <c r="S29" s="267"/>
      <c r="T29" s="267"/>
      <c r="U29" s="267"/>
      <c r="V29" s="267"/>
      <c r="W29" s="267"/>
      <c r="CD29" s="348" t="str">
        <f t="shared" si="2"/>
        <v>Namtu</v>
      </c>
      <c r="CE29" s="314">
        <f>C24-Shelter_Draw[[#This Row],[V2]]-Shelter_Draw[[#This Row],[V3]]</f>
        <v>132.81052631578947</v>
      </c>
      <c r="CF29" s="314">
        <f>J31</f>
        <v>0</v>
      </c>
      <c r="CG29" s="314">
        <f>H24-J31</f>
        <v>0.18947368421052632</v>
      </c>
    </row>
    <row r="30" spans="1:85" s="348" customFormat="1" ht="12.75" customHeight="1" x14ac:dyDescent="0.3">
      <c r="A30" s="504"/>
      <c r="B30" s="486" t="s">
        <v>3</v>
      </c>
      <c r="C30" s="487">
        <f>SUM(C10:C29)</f>
        <v>20596</v>
      </c>
      <c r="D30" s="488">
        <f>SUM(D10:D29)</f>
        <v>106537</v>
      </c>
      <c r="E30" s="488">
        <f>SUM(E10:E29)</f>
        <v>10292</v>
      </c>
      <c r="F30" s="489">
        <f>SUM(F10:F29)</f>
        <v>2632</v>
      </c>
      <c r="G30" s="487">
        <f>SUM(G10:G29)</f>
        <v>7660</v>
      </c>
      <c r="H30" s="490">
        <f>IF(AND(E30=0,F30=0),"",IF((IFERROR(F30/E30,0))=0,"no coverage",F30/E30))</f>
        <v>0.25573260785075785</v>
      </c>
      <c r="I30" s="490"/>
      <c r="J30" s="315"/>
      <c r="K30" s="315"/>
      <c r="L30" s="315"/>
      <c r="M30" s="315"/>
      <c r="N30" s="315"/>
      <c r="O30" s="315"/>
      <c r="P30" s="505"/>
      <c r="Q30" s="267"/>
      <c r="R30" s="267"/>
      <c r="S30" s="267"/>
      <c r="T30" s="267"/>
      <c r="U30" s="267"/>
      <c r="V30" s="267"/>
      <c r="W30" s="267"/>
      <c r="CD30" s="348" t="str">
        <f>B23</f>
        <v>Nam Kham</v>
      </c>
      <c r="CE30" s="314">
        <f>C23-Shelter_Draw[[#This Row],[V2]]-Shelter_Draw[[#This Row],[V3]]</f>
        <v>103</v>
      </c>
      <c r="CF30" s="314">
        <f>H23</f>
        <v>9.3167701863354033E-2</v>
      </c>
      <c r="CG30" s="314">
        <f>G23-H23</f>
        <v>291.90683229813664</v>
      </c>
    </row>
    <row r="31" spans="1:85" s="348" customFormat="1" ht="15" customHeight="1" thickBot="1" x14ac:dyDescent="0.35">
      <c r="A31" s="504"/>
      <c r="B31" s="351" t="s">
        <v>1369</v>
      </c>
      <c r="C31" s="175"/>
      <c r="D31" s="175"/>
      <c r="E31" s="175"/>
      <c r="F31" s="175"/>
      <c r="G31" s="175"/>
      <c r="H31" s="188"/>
      <c r="I31" s="188"/>
      <c r="J31" s="315"/>
      <c r="K31" s="315"/>
      <c r="L31" s="315"/>
      <c r="M31" s="315"/>
      <c r="N31" s="315"/>
      <c r="O31" s="315"/>
      <c r="P31" s="505"/>
      <c r="Q31" s="267"/>
      <c r="R31" s="267"/>
      <c r="S31" s="267"/>
      <c r="T31" s="267"/>
      <c r="U31" s="267"/>
      <c r="V31" s="267"/>
      <c r="W31" s="267"/>
      <c r="CD31" s="348" t="str">
        <f>B26</f>
        <v>Shwe Gu</v>
      </c>
      <c r="CE31" s="314" t="e">
        <f>C26-Shelter_Draw[[#This Row],[V2]]-Shelter_Draw[[#This Row],[V3]]</f>
        <v>#VALUE!</v>
      </c>
      <c r="CF31" s="314">
        <f t="shared" si="5"/>
        <v>0</v>
      </c>
      <c r="CG31" s="314" t="e">
        <f>H26-J33</f>
        <v>#VALUE!</v>
      </c>
    </row>
    <row r="32" spans="1:85" s="348" customFormat="1" ht="12.6" customHeight="1" x14ac:dyDescent="0.3">
      <c r="A32" s="504"/>
      <c r="B32" s="881" t="s">
        <v>1613</v>
      </c>
      <c r="C32" s="882"/>
      <c r="D32" s="882"/>
      <c r="E32" s="882"/>
      <c r="F32" s="882"/>
      <c r="G32" s="882"/>
      <c r="H32" s="883"/>
      <c r="I32" s="494"/>
      <c r="J32" s="315"/>
      <c r="K32" s="315"/>
      <c r="L32" s="315"/>
      <c r="M32" s="315"/>
      <c r="N32" s="315"/>
      <c r="O32" s="315"/>
      <c r="P32" s="505"/>
      <c r="Q32" s="267"/>
      <c r="R32" s="267"/>
      <c r="S32" s="267"/>
      <c r="T32" s="267"/>
      <c r="U32" s="267"/>
      <c r="V32" s="267"/>
      <c r="W32" s="267"/>
      <c r="CD32" s="348" t="str">
        <f>B27</f>
        <v>Sumbrabum</v>
      </c>
      <c r="CE32" s="314">
        <f>C27-Shelter_Draw[[#This Row],[V2]]-Shelter_Draw[[#This Row],[V3]]</f>
        <v>211</v>
      </c>
      <c r="CF32" s="314">
        <f t="shared" si="5"/>
        <v>0</v>
      </c>
      <c r="CG32" s="314">
        <f>H27-J34</f>
        <v>1</v>
      </c>
    </row>
    <row r="33" spans="1:23" s="348" customFormat="1" ht="12.75" customHeight="1" thickBot="1" x14ac:dyDescent="0.35">
      <c r="A33" s="504"/>
      <c r="B33" s="884"/>
      <c r="C33" s="885"/>
      <c r="D33" s="885"/>
      <c r="E33" s="885"/>
      <c r="F33" s="885"/>
      <c r="G33" s="885"/>
      <c r="H33" s="886"/>
      <c r="I33" s="494"/>
      <c r="J33" s="315"/>
      <c r="K33" s="315"/>
      <c r="L33" s="315"/>
      <c r="M33" s="315"/>
      <c r="N33" s="315"/>
      <c r="O33" s="315"/>
      <c r="P33" s="505"/>
      <c r="Q33" s="267"/>
      <c r="R33" s="267"/>
      <c r="S33" s="267"/>
      <c r="T33" s="267"/>
      <c r="U33" s="267"/>
      <c r="V33" s="267"/>
      <c r="W33" s="267"/>
    </row>
    <row r="34" spans="1:23" s="348" customFormat="1" ht="12.75" customHeight="1" x14ac:dyDescent="0.3">
      <c r="A34" s="504"/>
      <c r="B34" s="863" t="s">
        <v>1295</v>
      </c>
      <c r="C34" s="864"/>
      <c r="D34" s="864"/>
      <c r="E34" s="864"/>
      <c r="F34" s="864"/>
      <c r="G34" s="864"/>
      <c r="H34" s="865"/>
      <c r="I34" s="495"/>
      <c r="J34" s="315"/>
      <c r="K34" s="315"/>
      <c r="L34" s="315"/>
      <c r="M34" s="315"/>
      <c r="N34" s="315"/>
      <c r="O34" s="315"/>
      <c r="P34" s="505"/>
      <c r="Q34" s="267"/>
      <c r="R34" s="267"/>
      <c r="S34" s="267"/>
      <c r="T34" s="267"/>
      <c r="U34" s="267"/>
      <c r="V34" s="267"/>
      <c r="W34" s="267"/>
    </row>
    <row r="35" spans="1:23" s="348" customFormat="1" ht="12" customHeight="1" x14ac:dyDescent="0.3">
      <c r="A35" s="504"/>
      <c r="B35" s="866" t="s">
        <v>420</v>
      </c>
      <c r="C35" s="867"/>
      <c r="D35" s="870" t="s">
        <v>1256</v>
      </c>
      <c r="E35" s="870"/>
      <c r="F35" s="870"/>
      <c r="G35" s="872" t="s">
        <v>1452</v>
      </c>
      <c r="H35" s="873"/>
      <c r="I35" s="438"/>
      <c r="J35" s="315"/>
      <c r="K35" s="315"/>
      <c r="L35" s="315"/>
      <c r="M35" s="315"/>
      <c r="N35" s="315"/>
      <c r="O35" s="315"/>
      <c r="P35" s="505"/>
      <c r="Q35" s="267"/>
      <c r="R35" s="267"/>
      <c r="S35" s="267"/>
      <c r="T35" s="267"/>
      <c r="U35" s="267"/>
      <c r="V35" s="267"/>
      <c r="W35" s="267"/>
    </row>
    <row r="36" spans="1:23" ht="12" customHeight="1" x14ac:dyDescent="0.3">
      <c r="A36" s="503"/>
      <c r="B36" s="892" t="s">
        <v>778</v>
      </c>
      <c r="C36" s="871"/>
      <c r="D36" s="871"/>
      <c r="E36" s="870"/>
      <c r="F36" s="870"/>
      <c r="G36" s="872" t="s">
        <v>462</v>
      </c>
      <c r="H36" s="873"/>
      <c r="J36" s="188"/>
      <c r="K36" s="188"/>
      <c r="L36" s="188"/>
      <c r="M36" s="188"/>
      <c r="N36" s="188"/>
      <c r="O36" s="188"/>
      <c r="P36" s="420"/>
      <c r="W36" s="267"/>
    </row>
    <row r="37" spans="1:23" ht="12" customHeight="1" thickBot="1" x14ac:dyDescent="0.35">
      <c r="A37" s="503"/>
      <c r="B37" s="874" t="s">
        <v>1908</v>
      </c>
      <c r="C37" s="875"/>
      <c r="D37" s="876"/>
      <c r="E37" s="876"/>
      <c r="F37" s="871"/>
      <c r="G37" s="877" t="s">
        <v>1720</v>
      </c>
      <c r="H37" s="878"/>
      <c r="I37" s="438"/>
      <c r="J37" s="188"/>
      <c r="K37" s="188"/>
      <c r="L37" s="188"/>
      <c r="M37" s="188"/>
      <c r="N37" s="188"/>
      <c r="O37" s="188"/>
      <c r="P37" s="498"/>
    </row>
    <row r="38" spans="1:23" ht="12" customHeight="1" thickBot="1" x14ac:dyDescent="0.35">
      <c r="A38" s="503"/>
      <c r="B38" s="889" t="s">
        <v>1909</v>
      </c>
      <c r="C38" s="890"/>
      <c r="D38" s="890"/>
      <c r="E38" s="890"/>
      <c r="F38" s="891"/>
      <c r="G38" s="868" t="s">
        <v>1916</v>
      </c>
      <c r="H38" s="869"/>
      <c r="J38" s="188"/>
      <c r="K38" s="188"/>
      <c r="L38" s="188"/>
      <c r="M38" s="188"/>
      <c r="N38" s="188"/>
      <c r="O38" s="188"/>
      <c r="P38" s="498"/>
    </row>
    <row r="39" spans="1:23" ht="12.75" customHeight="1" x14ac:dyDescent="0.3">
      <c r="A39" s="503"/>
      <c r="B39" s="862"/>
      <c r="C39" s="862"/>
      <c r="D39" s="862"/>
      <c r="E39" s="862"/>
      <c r="F39" s="862"/>
      <c r="G39" s="862"/>
      <c r="H39" s="862"/>
      <c r="J39" s="188"/>
      <c r="K39" s="188"/>
      <c r="L39" s="188"/>
      <c r="M39" s="188"/>
      <c r="N39" s="188"/>
      <c r="O39" s="188"/>
      <c r="P39" s="498"/>
    </row>
    <row r="40" spans="1:23" ht="12.75" customHeight="1" x14ac:dyDescent="0.3">
      <c r="A40" s="503"/>
      <c r="B40" s="862"/>
      <c r="C40" s="862"/>
      <c r="D40" s="862"/>
      <c r="E40" s="862"/>
      <c r="F40" s="862"/>
      <c r="G40" s="862"/>
      <c r="H40" s="862"/>
      <c r="J40" s="188"/>
      <c r="K40" s="188"/>
      <c r="L40" s="188"/>
      <c r="M40" s="188"/>
      <c r="N40" s="188"/>
      <c r="O40" s="188"/>
      <c r="P40" s="498"/>
    </row>
    <row r="41" spans="1:23" ht="12.75" customHeight="1" x14ac:dyDescent="0.3">
      <c r="A41" s="503"/>
      <c r="J41" s="188"/>
      <c r="K41" s="188"/>
      <c r="L41" s="188"/>
      <c r="M41" s="188"/>
      <c r="N41" s="188"/>
      <c r="O41" s="188"/>
      <c r="P41" s="498"/>
    </row>
    <row r="42" spans="1:23" ht="46.5" customHeight="1" x14ac:dyDescent="0.3">
      <c r="B42" s="507"/>
      <c r="C42" s="508"/>
      <c r="D42" s="508"/>
      <c r="E42" s="508"/>
      <c r="F42" s="508"/>
      <c r="G42" s="508"/>
      <c r="H42" s="508"/>
      <c r="I42" s="508"/>
      <c r="J42" s="508"/>
      <c r="K42" s="508"/>
      <c r="L42" s="508"/>
      <c r="M42" s="508"/>
      <c r="N42" s="508"/>
      <c r="O42" s="509"/>
      <c r="P42" s="498"/>
    </row>
    <row r="43" spans="1:23" ht="10.5" customHeight="1" thickBot="1" x14ac:dyDescent="0.35">
      <c r="A43" s="492"/>
      <c r="B43" s="493"/>
      <c r="C43" s="493"/>
      <c r="D43" s="493"/>
      <c r="E43" s="493"/>
      <c r="F43" s="493"/>
      <c r="G43" s="493"/>
      <c r="H43" s="493"/>
      <c r="I43" s="493"/>
      <c r="J43" s="493"/>
      <c r="K43" s="493"/>
      <c r="L43" s="493"/>
      <c r="M43" s="493"/>
      <c r="N43" s="493"/>
      <c r="O43" s="493"/>
      <c r="P43" s="506"/>
    </row>
    <row r="44" spans="1:23" ht="18" customHeight="1" x14ac:dyDescent="0.3"/>
    <row r="45" spans="1:23" ht="30.75" customHeight="1" x14ac:dyDescent="0.3"/>
  </sheetData>
  <dataConsolidate link="1"/>
  <mergeCells count="18">
    <mergeCell ref="B3:J3"/>
    <mergeCell ref="B32:H33"/>
    <mergeCell ref="B2:K2"/>
    <mergeCell ref="B38:F38"/>
    <mergeCell ref="B36:C36"/>
    <mergeCell ref="B40:E40"/>
    <mergeCell ref="B39:E39"/>
    <mergeCell ref="B34:H34"/>
    <mergeCell ref="F39:H39"/>
    <mergeCell ref="F40:H40"/>
    <mergeCell ref="B35:C35"/>
    <mergeCell ref="G38:H38"/>
    <mergeCell ref="D35:F35"/>
    <mergeCell ref="D36:F36"/>
    <mergeCell ref="G35:H35"/>
    <mergeCell ref="G36:H36"/>
    <mergeCell ref="B37:F37"/>
    <mergeCell ref="G37:H37"/>
  </mergeCells>
  <conditionalFormatting sqref="H29:I30 H13:I27 H28 H10:H12 I5:I12">
    <cfRule type="containsText" dxfId="306" priority="2" operator="containsText" text="no coverage">
      <formula>NOT(ISERROR(SEARCH("no coverage",H5)))</formula>
    </cfRule>
  </conditionalFormatting>
  <conditionalFormatting sqref="I28">
    <cfRule type="containsText" dxfId="305" priority="1" operator="containsText" text="no coverage">
      <formula>NOT(ISERROR(SEARCH("no coverage",I28)))</formula>
    </cfRule>
  </conditionalFormatting>
  <printOptions horizontalCentered="1" verticalCentered="1"/>
  <pageMargins left="0" right="0" top="0" bottom="0" header="0" footer="0"/>
  <pageSetup paperSize="9" scale="87" orientation="landscape" horizontalDpi="1200" verticalDpi="1200" r:id="rId1"/>
  <rowBreaks count="1" manualBreakCount="1">
    <brk id="49" max="16383" man="1"/>
  </rowBreaks>
  <drawing r:id="rId2"/>
  <tableParts count="2">
    <tablePart r:id="rId3"/>
    <tablePart r:id="rId4"/>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B1:BZ32"/>
  <sheetViews>
    <sheetView showGridLines="0" workbookViewId="0">
      <pane ySplit="3" topLeftCell="A4" activePane="bottomLeft" state="frozen"/>
      <selection pane="bottomLeft" activeCell="A4" sqref="A4"/>
    </sheetView>
  </sheetViews>
  <sheetFormatPr defaultColWidth="5" defaultRowHeight="51.75" customHeight="1" x14ac:dyDescent="0.3"/>
  <cols>
    <col min="1" max="1" width="1.6640625" style="170" customWidth="1"/>
    <col min="2" max="6" width="12.33203125" style="170" customWidth="1"/>
    <col min="7" max="49" width="5.44140625" style="170" customWidth="1"/>
    <col min="50" max="50" width="8.5546875" style="170" bestFit="1" customWidth="1"/>
    <col min="51" max="60" width="5.44140625" style="170" customWidth="1"/>
    <col min="61" max="61" width="6" style="170" bestFit="1" customWidth="1"/>
    <col min="62" max="75" width="5.44140625" style="170" customWidth="1"/>
    <col min="76" max="76" width="17.44140625" style="170" customWidth="1"/>
    <col min="77" max="16384" width="5" style="170"/>
  </cols>
  <sheetData>
    <row r="1" spans="2:78" ht="41.4" customHeight="1" thickBot="1" x14ac:dyDescent="0.35">
      <c r="B1" s="902" t="s">
        <v>1439</v>
      </c>
      <c r="C1" s="902"/>
      <c r="D1" s="902"/>
      <c r="E1" s="902"/>
      <c r="F1" s="902"/>
      <c r="G1" s="902"/>
      <c r="H1" s="902"/>
      <c r="I1" s="902"/>
      <c r="J1" s="902"/>
      <c r="K1" s="902"/>
      <c r="L1" s="902"/>
      <c r="M1" s="902"/>
      <c r="N1" s="902"/>
      <c r="O1" s="902"/>
      <c r="P1" s="902"/>
      <c r="Q1" s="902"/>
      <c r="R1" s="902"/>
      <c r="S1" s="902"/>
      <c r="T1" s="902"/>
      <c r="U1" s="902"/>
      <c r="V1" s="902"/>
      <c r="W1" s="902"/>
      <c r="X1" s="902"/>
      <c r="Y1" s="902"/>
      <c r="Z1" s="902"/>
      <c r="AA1" s="902"/>
      <c r="AB1" s="902"/>
      <c r="AC1" s="902"/>
      <c r="AD1" s="902"/>
      <c r="AE1" s="902"/>
      <c r="AF1" s="902"/>
      <c r="AG1" s="902"/>
      <c r="AH1" s="902"/>
      <c r="AI1" s="902"/>
      <c r="AJ1" s="902"/>
      <c r="AK1" s="902"/>
      <c r="AL1" s="902"/>
      <c r="AM1" s="902"/>
      <c r="AN1" s="902"/>
      <c r="AO1" s="902"/>
      <c r="AP1" s="902"/>
      <c r="AQ1" s="902"/>
      <c r="AR1" s="902"/>
      <c r="AS1" s="902"/>
      <c r="AT1" s="902"/>
      <c r="AU1" s="902"/>
      <c r="AV1" s="902"/>
      <c r="AW1" s="902"/>
      <c r="AX1" s="902"/>
      <c r="AY1" s="902"/>
      <c r="AZ1" s="902"/>
      <c r="BA1" s="902"/>
      <c r="BB1" s="902"/>
      <c r="BC1" s="902"/>
      <c r="BD1" s="902"/>
      <c r="BE1" s="902"/>
      <c r="BF1" s="902"/>
      <c r="BG1" s="902"/>
      <c r="BH1" s="902"/>
      <c r="BI1" s="902"/>
      <c r="BJ1" s="902"/>
      <c r="BK1" s="902"/>
      <c r="BL1" s="902"/>
      <c r="BM1" s="902"/>
      <c r="BN1" s="902"/>
      <c r="BO1" s="902"/>
      <c r="BP1" s="902"/>
      <c r="BQ1" s="902"/>
      <c r="BR1" s="902"/>
      <c r="BS1" s="902"/>
      <c r="BT1" s="903"/>
      <c r="BU1" s="700"/>
      <c r="BV1" s="700"/>
      <c r="BW1" s="700"/>
    </row>
    <row r="2" spans="2:78" s="553" customFormat="1" ht="28.95" customHeight="1" thickBot="1" x14ac:dyDescent="0.35">
      <c r="B2" s="904" t="s">
        <v>405</v>
      </c>
      <c r="C2" s="906" t="s">
        <v>1295</v>
      </c>
      <c r="D2" s="908" t="s">
        <v>409</v>
      </c>
      <c r="E2" s="910" t="s">
        <v>392</v>
      </c>
      <c r="F2" s="912" t="s">
        <v>0</v>
      </c>
      <c r="G2" s="894" t="s">
        <v>1440</v>
      </c>
      <c r="H2" s="894"/>
      <c r="I2" s="894"/>
      <c r="J2" s="893" t="s">
        <v>400</v>
      </c>
      <c r="K2" s="894"/>
      <c r="L2" s="895"/>
      <c r="M2" s="896" t="s">
        <v>1604</v>
      </c>
      <c r="N2" s="897"/>
      <c r="O2" s="898"/>
      <c r="P2" s="893" t="s">
        <v>1559</v>
      </c>
      <c r="Q2" s="894"/>
      <c r="R2" s="895"/>
      <c r="S2" s="893" t="s">
        <v>401</v>
      </c>
      <c r="T2" s="894"/>
      <c r="U2" s="895"/>
      <c r="V2" s="896" t="s">
        <v>402</v>
      </c>
      <c r="W2" s="897"/>
      <c r="X2" s="898"/>
      <c r="Y2" s="897" t="s">
        <v>403</v>
      </c>
      <c r="Z2" s="897"/>
      <c r="AA2" s="897"/>
      <c r="AB2" s="893" t="s">
        <v>415</v>
      </c>
      <c r="AC2" s="894"/>
      <c r="AD2" s="894"/>
      <c r="AE2" s="893" t="s">
        <v>416</v>
      </c>
      <c r="AF2" s="894"/>
      <c r="AG2" s="894"/>
      <c r="AH2" s="893" t="s">
        <v>1441</v>
      </c>
      <c r="AI2" s="894"/>
      <c r="AJ2" s="894"/>
      <c r="AK2" s="893" t="s">
        <v>525</v>
      </c>
      <c r="AL2" s="894"/>
      <c r="AM2" s="895"/>
      <c r="AN2" s="893" t="s">
        <v>1444</v>
      </c>
      <c r="AO2" s="894"/>
      <c r="AP2" s="895"/>
      <c r="AQ2" s="893" t="s">
        <v>526</v>
      </c>
      <c r="AR2" s="894"/>
      <c r="AS2" s="895"/>
      <c r="AT2" s="894" t="s">
        <v>1086</v>
      </c>
      <c r="AU2" s="894"/>
      <c r="AV2" s="894"/>
      <c r="AW2" s="893" t="s">
        <v>1442</v>
      </c>
      <c r="AX2" s="894"/>
      <c r="AY2" s="895"/>
      <c r="AZ2" s="893" t="s">
        <v>1443</v>
      </c>
      <c r="BA2" s="894"/>
      <c r="BB2" s="895"/>
      <c r="BC2" s="899" t="s">
        <v>1918</v>
      </c>
      <c r="BD2" s="900"/>
      <c r="BE2" s="901"/>
      <c r="BF2" s="893" t="s">
        <v>1957</v>
      </c>
      <c r="BG2" s="894"/>
      <c r="BH2" s="895"/>
      <c r="BI2" s="893" t="s">
        <v>848</v>
      </c>
      <c r="BJ2" s="894"/>
      <c r="BK2" s="894"/>
      <c r="BL2" s="893" t="s">
        <v>852</v>
      </c>
      <c r="BM2" s="894"/>
      <c r="BN2" s="894"/>
      <c r="BO2" s="893" t="s">
        <v>856</v>
      </c>
      <c r="BP2" s="894"/>
      <c r="BQ2" s="894"/>
      <c r="BR2" s="893" t="s">
        <v>945</v>
      </c>
      <c r="BS2" s="894"/>
      <c r="BT2" s="894"/>
      <c r="BU2" s="893" t="s">
        <v>1772</v>
      </c>
      <c r="BV2" s="894"/>
      <c r="BW2" s="894"/>
      <c r="BX2" s="625" t="s">
        <v>1605</v>
      </c>
      <c r="BY2" s="624"/>
      <c r="BZ2" s="624"/>
    </row>
    <row r="3" spans="2:78" s="553" customFormat="1" ht="63.6" x14ac:dyDescent="0.3">
      <c r="B3" s="905"/>
      <c r="C3" s="907"/>
      <c r="D3" s="909"/>
      <c r="E3" s="911"/>
      <c r="F3" s="913"/>
      <c r="G3" s="444" t="s">
        <v>404</v>
      </c>
      <c r="H3" s="445" t="s">
        <v>406</v>
      </c>
      <c r="I3" s="446" t="s">
        <v>407</v>
      </c>
      <c r="J3" s="444" t="s">
        <v>404</v>
      </c>
      <c r="K3" s="445" t="s">
        <v>406</v>
      </c>
      <c r="L3" s="515" t="s">
        <v>407</v>
      </c>
      <c r="M3" s="444" t="s">
        <v>404</v>
      </c>
      <c r="N3" s="445" t="s">
        <v>406</v>
      </c>
      <c r="O3" s="515" t="s">
        <v>407</v>
      </c>
      <c r="P3" s="763" t="s">
        <v>404</v>
      </c>
      <c r="Q3" s="763" t="s">
        <v>406</v>
      </c>
      <c r="R3" s="763" t="s">
        <v>407</v>
      </c>
      <c r="S3" s="516" t="s">
        <v>404</v>
      </c>
      <c r="T3" s="445" t="s">
        <v>406</v>
      </c>
      <c r="U3" s="446" t="s">
        <v>407</v>
      </c>
      <c r="V3" s="444" t="s">
        <v>404</v>
      </c>
      <c r="W3" s="445" t="s">
        <v>406</v>
      </c>
      <c r="X3" s="446" t="s">
        <v>407</v>
      </c>
      <c r="Y3" s="444" t="s">
        <v>404</v>
      </c>
      <c r="Z3" s="445" t="s">
        <v>406</v>
      </c>
      <c r="AA3" s="446" t="s">
        <v>407</v>
      </c>
      <c r="AB3" s="444" t="s">
        <v>404</v>
      </c>
      <c r="AC3" s="445" t="s">
        <v>406</v>
      </c>
      <c r="AD3" s="446" t="s">
        <v>407</v>
      </c>
      <c r="AE3" s="444" t="s">
        <v>404</v>
      </c>
      <c r="AF3" s="445" t="s">
        <v>406</v>
      </c>
      <c r="AG3" s="446" t="s">
        <v>407</v>
      </c>
      <c r="AH3" s="444" t="s">
        <v>404</v>
      </c>
      <c r="AI3" s="445" t="s">
        <v>406</v>
      </c>
      <c r="AJ3" s="446" t="s">
        <v>407</v>
      </c>
      <c r="AK3" s="447" t="s">
        <v>404</v>
      </c>
      <c r="AL3" s="448" t="s">
        <v>406</v>
      </c>
      <c r="AM3" s="449" t="s">
        <v>407</v>
      </c>
      <c r="AN3" s="447" t="s">
        <v>404</v>
      </c>
      <c r="AO3" s="448" t="s">
        <v>406</v>
      </c>
      <c r="AP3" s="449" t="s">
        <v>407</v>
      </c>
      <c r="AQ3" s="447" t="s">
        <v>404</v>
      </c>
      <c r="AR3" s="448" t="s">
        <v>406</v>
      </c>
      <c r="AS3" s="449" t="s">
        <v>407</v>
      </c>
      <c r="AT3" s="447" t="s">
        <v>404</v>
      </c>
      <c r="AU3" s="448" t="s">
        <v>406</v>
      </c>
      <c r="AV3" s="449" t="s">
        <v>407</v>
      </c>
      <c r="AW3" s="447" t="s">
        <v>404</v>
      </c>
      <c r="AX3" s="448" t="s">
        <v>406</v>
      </c>
      <c r="AY3" s="449" t="s">
        <v>407</v>
      </c>
      <c r="AZ3" s="447" t="s">
        <v>404</v>
      </c>
      <c r="BA3" s="448" t="s">
        <v>406</v>
      </c>
      <c r="BB3" s="764" t="s">
        <v>407</v>
      </c>
      <c r="BC3" s="447" t="s">
        <v>404</v>
      </c>
      <c r="BD3" s="448" t="s">
        <v>406</v>
      </c>
      <c r="BE3" s="764" t="s">
        <v>407</v>
      </c>
      <c r="BF3" s="447" t="s">
        <v>404</v>
      </c>
      <c r="BG3" s="448" t="s">
        <v>406</v>
      </c>
      <c r="BH3" s="764" t="s">
        <v>407</v>
      </c>
      <c r="BI3" s="764" t="s">
        <v>404</v>
      </c>
      <c r="BJ3" s="448" t="s">
        <v>406</v>
      </c>
      <c r="BK3" s="449" t="s">
        <v>407</v>
      </c>
      <c r="BL3" s="447" t="s">
        <v>404</v>
      </c>
      <c r="BM3" s="448" t="s">
        <v>406</v>
      </c>
      <c r="BN3" s="449" t="s">
        <v>407</v>
      </c>
      <c r="BO3" s="447" t="s">
        <v>404</v>
      </c>
      <c r="BP3" s="448" t="s">
        <v>406</v>
      </c>
      <c r="BQ3" s="449" t="s">
        <v>407</v>
      </c>
      <c r="BR3" s="447" t="s">
        <v>404</v>
      </c>
      <c r="BS3" s="448" t="s">
        <v>406</v>
      </c>
      <c r="BT3" s="623" t="s">
        <v>407</v>
      </c>
      <c r="BU3" s="447" t="s">
        <v>404</v>
      </c>
      <c r="BV3" s="448" t="s">
        <v>406</v>
      </c>
      <c r="BW3" s="623" t="s">
        <v>407</v>
      </c>
      <c r="BX3" s="626"/>
    </row>
    <row r="4" spans="2:78" s="171" customFormat="1" ht="14.4" x14ac:dyDescent="0.3">
      <c r="B4" s="765">
        <v>43553</v>
      </c>
      <c r="C4" s="554" t="s">
        <v>420</v>
      </c>
      <c r="D4" s="554"/>
      <c r="E4" s="554" t="s">
        <v>378</v>
      </c>
      <c r="F4" s="554" t="s">
        <v>5</v>
      </c>
      <c r="G4" s="554"/>
      <c r="H4" s="554"/>
      <c r="I4" s="554"/>
      <c r="J4" s="554">
        <v>754</v>
      </c>
      <c r="K4" s="554"/>
      <c r="L4" s="554"/>
      <c r="M4" s="554"/>
      <c r="N4" s="554"/>
      <c r="O4" s="554"/>
      <c r="P4" s="554"/>
      <c r="Q4" s="554"/>
      <c r="R4" s="554"/>
      <c r="S4" s="554">
        <v>35</v>
      </c>
      <c r="T4" s="554"/>
      <c r="U4" s="554"/>
      <c r="V4" s="554">
        <v>1200</v>
      </c>
      <c r="W4" s="554"/>
      <c r="X4" s="554"/>
      <c r="Y4" s="554">
        <v>515</v>
      </c>
      <c r="Z4" s="554"/>
      <c r="AA4" s="554"/>
      <c r="AB4" s="554">
        <v>1420</v>
      </c>
      <c r="AC4" s="554"/>
      <c r="AD4" s="554"/>
      <c r="AE4" s="554">
        <v>400</v>
      </c>
      <c r="AF4" s="554"/>
      <c r="AG4" s="554"/>
      <c r="AH4" s="554">
        <v>113</v>
      </c>
      <c r="AI4" s="554"/>
      <c r="AJ4" s="554"/>
      <c r="AK4" s="554">
        <v>400</v>
      </c>
      <c r="AL4" s="554"/>
      <c r="AM4" s="554"/>
      <c r="AN4" s="554">
        <v>1027</v>
      </c>
      <c r="AO4" s="554"/>
      <c r="AP4" s="554"/>
      <c r="AQ4" s="554">
        <v>2000</v>
      </c>
      <c r="AR4" s="554"/>
      <c r="AS4" s="554"/>
      <c r="AT4" s="554">
        <v>50</v>
      </c>
      <c r="AU4" s="554"/>
      <c r="AV4" s="554"/>
      <c r="AW4" s="554"/>
      <c r="AX4" s="554"/>
      <c r="AY4" s="554"/>
      <c r="AZ4" s="554"/>
      <c r="BA4" s="554"/>
      <c r="BB4" s="554"/>
      <c r="BC4" s="554"/>
      <c r="BD4" s="554"/>
      <c r="BE4" s="554"/>
      <c r="BF4" s="554">
        <v>1584</v>
      </c>
      <c r="BG4" s="554"/>
      <c r="BH4" s="554"/>
      <c r="BI4" s="554">
        <v>66</v>
      </c>
      <c r="BJ4" s="554"/>
      <c r="BK4" s="554"/>
      <c r="BL4" s="554">
        <v>4320</v>
      </c>
      <c r="BM4" s="554"/>
      <c r="BN4" s="554"/>
      <c r="BO4" s="554">
        <v>113</v>
      </c>
      <c r="BP4" s="554"/>
      <c r="BQ4" s="554"/>
      <c r="BR4" s="554">
        <v>3174</v>
      </c>
      <c r="BS4" s="554"/>
      <c r="BT4" s="554"/>
      <c r="BU4" s="554">
        <v>64</v>
      </c>
      <c r="BV4" s="554"/>
      <c r="BW4" s="554"/>
      <c r="BX4" s="554"/>
    </row>
    <row r="5" spans="2:78" s="649" customFormat="1" ht="14.4" x14ac:dyDescent="0.3">
      <c r="B5" s="809">
        <v>43554</v>
      </c>
      <c r="C5" s="810" t="s">
        <v>420</v>
      </c>
      <c r="D5" s="810"/>
      <c r="E5" s="810" t="s">
        <v>378</v>
      </c>
      <c r="F5" s="810" t="s">
        <v>237</v>
      </c>
      <c r="G5" s="810"/>
      <c r="H5" s="810"/>
      <c r="I5" s="810"/>
      <c r="J5" s="810">
        <v>447</v>
      </c>
      <c r="K5" s="810"/>
      <c r="L5" s="810"/>
      <c r="M5" s="810"/>
      <c r="N5" s="810"/>
      <c r="O5" s="810"/>
      <c r="P5" s="810"/>
      <c r="Q5" s="810"/>
      <c r="R5" s="810"/>
      <c r="S5" s="810">
        <v>11</v>
      </c>
      <c r="T5" s="810"/>
      <c r="U5" s="810"/>
      <c r="V5" s="810">
        <v>1412</v>
      </c>
      <c r="W5" s="810"/>
      <c r="X5" s="810"/>
      <c r="Y5" s="810">
        <v>431</v>
      </c>
      <c r="Z5" s="810"/>
      <c r="AA5" s="810"/>
      <c r="AB5" s="810">
        <v>912</v>
      </c>
      <c r="AC5" s="810"/>
      <c r="AD5" s="810"/>
      <c r="AE5" s="810">
        <v>452</v>
      </c>
      <c r="AF5" s="810"/>
      <c r="AG5" s="810"/>
      <c r="AH5" s="810"/>
      <c r="AI5" s="810"/>
      <c r="AJ5" s="810"/>
      <c r="AK5" s="810">
        <v>498</v>
      </c>
      <c r="AL5" s="810"/>
      <c r="AM5" s="810"/>
      <c r="AN5" s="810">
        <v>442</v>
      </c>
      <c r="AO5" s="810"/>
      <c r="AP5" s="810"/>
      <c r="AQ5" s="810">
        <v>2294</v>
      </c>
      <c r="AR5" s="810"/>
      <c r="AS5" s="810"/>
      <c r="AT5" s="810">
        <v>59</v>
      </c>
      <c r="AU5" s="810"/>
      <c r="AV5" s="810"/>
      <c r="AW5" s="810"/>
      <c r="AX5" s="810"/>
      <c r="AY5" s="810"/>
      <c r="AZ5" s="810"/>
      <c r="BA5" s="810"/>
      <c r="BB5" s="810"/>
      <c r="BC5" s="810"/>
      <c r="BD5" s="810"/>
      <c r="BE5" s="810"/>
      <c r="BF5" s="810">
        <v>5000</v>
      </c>
      <c r="BG5" s="810"/>
      <c r="BH5" s="810"/>
      <c r="BI5" s="810">
        <v>3470</v>
      </c>
      <c r="BJ5" s="810"/>
      <c r="BK5" s="810"/>
      <c r="BL5" s="810">
        <v>609</v>
      </c>
      <c r="BM5" s="810"/>
      <c r="BN5" s="810"/>
      <c r="BO5" s="810"/>
      <c r="BP5" s="810"/>
      <c r="BQ5" s="810"/>
      <c r="BR5" s="810"/>
      <c r="BS5" s="810"/>
      <c r="BT5" s="810"/>
      <c r="BU5" s="810">
        <v>825</v>
      </c>
      <c r="BV5" s="810"/>
      <c r="BW5" s="810"/>
      <c r="BX5" s="810"/>
    </row>
    <row r="6" spans="2:78" s="171" customFormat="1" ht="14.4" x14ac:dyDescent="0.3">
      <c r="B6" s="776">
        <v>43594</v>
      </c>
      <c r="C6" s="554" t="s">
        <v>1836</v>
      </c>
      <c r="D6" s="554"/>
      <c r="E6" s="554" t="s">
        <v>378</v>
      </c>
      <c r="F6" s="554" t="s">
        <v>237</v>
      </c>
      <c r="G6" s="554">
        <v>40</v>
      </c>
      <c r="H6" s="554"/>
      <c r="I6" s="554"/>
      <c r="J6" s="554">
        <v>46</v>
      </c>
      <c r="K6" s="554"/>
      <c r="L6" s="554"/>
      <c r="M6" s="554"/>
      <c r="N6" s="554"/>
      <c r="O6" s="554"/>
      <c r="P6" s="554"/>
      <c r="Q6" s="554"/>
      <c r="R6" s="554"/>
      <c r="S6" s="554"/>
      <c r="T6" s="554"/>
      <c r="U6" s="554"/>
      <c r="V6" s="554">
        <v>40</v>
      </c>
      <c r="W6" s="554"/>
      <c r="X6" s="554"/>
      <c r="Y6" s="554">
        <v>40</v>
      </c>
      <c r="Z6" s="554"/>
      <c r="AA6" s="554"/>
      <c r="AB6" s="554">
        <v>47</v>
      </c>
      <c r="AC6" s="554"/>
      <c r="AD6" s="554"/>
      <c r="AE6" s="554">
        <v>107</v>
      </c>
      <c r="AF6" s="554"/>
      <c r="AG6" s="554"/>
      <c r="AH6" s="554">
        <v>40</v>
      </c>
      <c r="AI6" s="554"/>
      <c r="AJ6" s="554"/>
      <c r="AK6" s="554">
        <v>64</v>
      </c>
      <c r="AL6" s="554"/>
      <c r="AM6" s="554"/>
      <c r="AN6" s="554"/>
      <c r="AO6" s="554"/>
      <c r="AP6" s="554"/>
      <c r="AQ6" s="554">
        <v>6</v>
      </c>
      <c r="AR6" s="554"/>
      <c r="AS6" s="554"/>
      <c r="AT6" s="554"/>
      <c r="AU6" s="554"/>
      <c r="AV6" s="554"/>
      <c r="AW6" s="554"/>
      <c r="AX6" s="554"/>
      <c r="AY6" s="554"/>
      <c r="AZ6" s="554"/>
      <c r="BA6" s="554"/>
      <c r="BB6" s="554"/>
      <c r="BC6" s="554"/>
      <c r="BD6" s="554"/>
      <c r="BE6" s="554"/>
      <c r="BF6" s="554"/>
      <c r="BG6" s="554"/>
      <c r="BH6" s="554"/>
      <c r="BI6" s="554"/>
      <c r="BJ6" s="554"/>
      <c r="BK6" s="554"/>
      <c r="BL6" s="554"/>
      <c r="BM6" s="554"/>
      <c r="BN6" s="554"/>
      <c r="BO6" s="554"/>
      <c r="BP6" s="554"/>
      <c r="BQ6" s="554"/>
      <c r="BR6" s="554"/>
      <c r="BS6" s="554"/>
      <c r="BT6" s="777"/>
      <c r="BU6" s="554"/>
      <c r="BV6" s="554"/>
      <c r="BW6" s="777"/>
      <c r="BX6" s="554"/>
    </row>
    <row r="7" spans="2:78" s="171" customFormat="1" ht="14.4" x14ac:dyDescent="0.3">
      <c r="B7" s="776">
        <v>43559</v>
      </c>
      <c r="C7" s="554" t="s">
        <v>1370</v>
      </c>
      <c r="D7" s="554"/>
      <c r="E7" s="554" t="s">
        <v>378</v>
      </c>
      <c r="F7" s="554" t="s">
        <v>5</v>
      </c>
      <c r="G7" s="554">
        <v>199</v>
      </c>
      <c r="H7" s="554"/>
      <c r="I7" s="554"/>
      <c r="J7" s="554">
        <v>193</v>
      </c>
      <c r="K7" s="554">
        <v>52</v>
      </c>
      <c r="L7" s="554"/>
      <c r="M7" s="554"/>
      <c r="N7" s="554"/>
      <c r="O7" s="554"/>
      <c r="P7" s="554"/>
      <c r="Q7" s="554"/>
      <c r="R7" s="554"/>
      <c r="S7" s="554"/>
      <c r="T7" s="554"/>
      <c r="U7" s="554"/>
      <c r="V7" s="554">
        <v>386</v>
      </c>
      <c r="W7" s="554">
        <v>104</v>
      </c>
      <c r="X7" s="554"/>
      <c r="Y7" s="554">
        <v>183</v>
      </c>
      <c r="Z7" s="554">
        <v>300</v>
      </c>
      <c r="AA7" s="554"/>
      <c r="AB7" s="554">
        <v>386</v>
      </c>
      <c r="AC7" s="554">
        <v>104</v>
      </c>
      <c r="AD7" s="554"/>
      <c r="AE7" s="554">
        <v>193</v>
      </c>
      <c r="AF7" s="554">
        <v>52</v>
      </c>
      <c r="AG7" s="554"/>
      <c r="AH7" s="554">
        <v>48</v>
      </c>
      <c r="AI7" s="554">
        <v>52</v>
      </c>
      <c r="AJ7" s="554"/>
      <c r="AK7" s="554">
        <v>1298</v>
      </c>
      <c r="AL7" s="554"/>
      <c r="AM7" s="554"/>
      <c r="AN7" s="554"/>
      <c r="AO7" s="554"/>
      <c r="AP7" s="554"/>
      <c r="AQ7" s="554">
        <v>386</v>
      </c>
      <c r="AR7" s="554">
        <v>104</v>
      </c>
      <c r="AS7" s="554"/>
      <c r="AT7" s="554"/>
      <c r="AU7" s="554"/>
      <c r="AV7" s="554"/>
      <c r="AW7" s="554"/>
      <c r="AX7" s="554"/>
      <c r="AY7" s="554"/>
      <c r="AZ7" s="554">
        <v>16</v>
      </c>
      <c r="BA7" s="554">
        <v>5</v>
      </c>
      <c r="BB7" s="554"/>
      <c r="BC7" s="554"/>
      <c r="BD7" s="554">
        <v>3220</v>
      </c>
      <c r="BE7" s="554"/>
      <c r="BF7" s="554"/>
      <c r="BG7" s="554"/>
      <c r="BH7" s="554"/>
      <c r="BI7" s="554"/>
      <c r="BJ7" s="554"/>
      <c r="BK7" s="554"/>
      <c r="BL7" s="554"/>
      <c r="BM7" s="554"/>
      <c r="BN7" s="554"/>
      <c r="BO7" s="554"/>
      <c r="BP7" s="554"/>
      <c r="BQ7" s="554"/>
      <c r="BR7" s="554"/>
      <c r="BS7" s="554"/>
      <c r="BT7" s="777"/>
      <c r="BU7" s="554"/>
      <c r="BV7" s="554"/>
      <c r="BW7" s="777"/>
      <c r="BX7" s="554"/>
    </row>
    <row r="8" spans="2:78" s="171" customFormat="1" ht="14.4" x14ac:dyDescent="0.3">
      <c r="B8" s="765">
        <v>43553</v>
      </c>
      <c r="C8" s="554" t="s">
        <v>1256</v>
      </c>
      <c r="D8" s="554"/>
      <c r="E8" s="554" t="s">
        <v>378</v>
      </c>
      <c r="F8" s="554" t="s">
        <v>5</v>
      </c>
      <c r="G8" s="554">
        <v>20</v>
      </c>
      <c r="H8" s="554"/>
      <c r="I8" s="554"/>
      <c r="J8" s="554"/>
      <c r="K8" s="554"/>
      <c r="L8" s="554"/>
      <c r="M8" s="554"/>
      <c r="N8" s="554"/>
      <c r="O8" s="554"/>
      <c r="P8" s="554"/>
      <c r="Q8" s="554"/>
      <c r="R8" s="554"/>
      <c r="S8" s="554">
        <v>20</v>
      </c>
      <c r="T8" s="554"/>
      <c r="U8" s="554"/>
      <c r="V8" s="554">
        <v>16</v>
      </c>
      <c r="W8" s="554"/>
      <c r="X8" s="554"/>
      <c r="Y8" s="554">
        <v>33</v>
      </c>
      <c r="Z8" s="554"/>
      <c r="AA8" s="554"/>
      <c r="AB8" s="554"/>
      <c r="AC8" s="554"/>
      <c r="AD8" s="554"/>
      <c r="AE8" s="554">
        <v>20</v>
      </c>
      <c r="AF8" s="554"/>
      <c r="AG8" s="554"/>
      <c r="AH8" s="554"/>
      <c r="AI8" s="554"/>
      <c r="AJ8" s="554"/>
      <c r="AK8" s="554">
        <v>40</v>
      </c>
      <c r="AL8" s="554"/>
      <c r="AM8" s="554"/>
      <c r="AN8" s="554"/>
      <c r="AO8" s="554"/>
      <c r="AP8" s="554"/>
      <c r="AQ8" s="554"/>
      <c r="AR8" s="554"/>
      <c r="AS8" s="554"/>
      <c r="AT8" s="554"/>
      <c r="AU8" s="554"/>
      <c r="AV8" s="554"/>
      <c r="AW8" s="554"/>
      <c r="AX8" s="554"/>
      <c r="AY8" s="554"/>
      <c r="AZ8" s="554"/>
      <c r="BA8" s="554"/>
      <c r="BB8" s="554"/>
      <c r="BC8" s="554"/>
      <c r="BD8" s="554"/>
      <c r="BE8" s="554"/>
      <c r="BF8" s="554"/>
      <c r="BG8" s="554"/>
      <c r="BH8" s="554"/>
      <c r="BI8" s="554"/>
      <c r="BJ8" s="554"/>
      <c r="BK8" s="554"/>
      <c r="BL8" s="554"/>
      <c r="BM8" s="554"/>
      <c r="BN8" s="554"/>
      <c r="BO8" s="554">
        <v>117</v>
      </c>
      <c r="BP8" s="554"/>
      <c r="BQ8" s="554"/>
      <c r="BR8" s="554"/>
      <c r="BS8" s="554"/>
      <c r="BT8" s="554"/>
      <c r="BU8" s="554"/>
      <c r="BV8" s="554"/>
      <c r="BW8" s="554"/>
      <c r="BX8" s="554"/>
    </row>
    <row r="9" spans="2:78" s="171" customFormat="1" ht="14.4" x14ac:dyDescent="0.3">
      <c r="B9" s="765">
        <v>43514</v>
      </c>
      <c r="C9" s="554" t="s">
        <v>1256</v>
      </c>
      <c r="D9" s="554"/>
      <c r="E9" s="554" t="s">
        <v>506</v>
      </c>
      <c r="F9" s="554" t="s">
        <v>717</v>
      </c>
      <c r="G9" s="554">
        <v>100</v>
      </c>
      <c r="H9" s="554"/>
      <c r="I9" s="554"/>
      <c r="J9" s="554"/>
      <c r="K9" s="554"/>
      <c r="L9" s="554"/>
      <c r="M9" s="554"/>
      <c r="N9" s="554"/>
      <c r="O9" s="554"/>
      <c r="P9" s="554"/>
      <c r="Q9" s="554"/>
      <c r="R9" s="554"/>
      <c r="S9" s="554"/>
      <c r="T9" s="554"/>
      <c r="U9" s="554"/>
      <c r="V9" s="554"/>
      <c r="W9" s="554"/>
      <c r="X9" s="554"/>
      <c r="Y9" s="554">
        <v>63</v>
      </c>
      <c r="Z9" s="554"/>
      <c r="AA9" s="554"/>
      <c r="AB9" s="554">
        <v>3</v>
      </c>
      <c r="AC9" s="554"/>
      <c r="AD9" s="554"/>
      <c r="AE9" s="554"/>
      <c r="AF9" s="554"/>
      <c r="AG9" s="554"/>
      <c r="AH9" s="554"/>
      <c r="AI9" s="554"/>
      <c r="AJ9" s="554"/>
      <c r="AK9" s="554"/>
      <c r="AL9" s="554"/>
      <c r="AM9" s="554"/>
      <c r="AN9" s="554"/>
      <c r="AO9" s="554"/>
      <c r="AP9" s="554"/>
      <c r="AQ9" s="554">
        <v>2</v>
      </c>
      <c r="AR9" s="554"/>
      <c r="AS9" s="554"/>
      <c r="AT9" s="554">
        <v>82</v>
      </c>
      <c r="AU9" s="554"/>
      <c r="AV9" s="554"/>
      <c r="AW9" s="554"/>
      <c r="AX9" s="554"/>
      <c r="AY9" s="554"/>
      <c r="AZ9" s="554"/>
      <c r="BA9" s="554"/>
      <c r="BB9" s="554"/>
      <c r="BC9" s="554"/>
      <c r="BD9" s="554"/>
      <c r="BE9" s="554"/>
      <c r="BF9" s="554"/>
      <c r="BG9" s="554"/>
      <c r="BH9" s="554"/>
      <c r="BI9" s="554"/>
      <c r="BJ9" s="554"/>
      <c r="BK9" s="554"/>
      <c r="BL9" s="554"/>
      <c r="BM9" s="554"/>
      <c r="BN9" s="554"/>
      <c r="BO9" s="554"/>
      <c r="BP9" s="554"/>
      <c r="BQ9" s="554"/>
      <c r="BR9" s="554"/>
      <c r="BS9" s="554"/>
      <c r="BT9" s="554"/>
      <c r="BU9" s="554"/>
      <c r="BV9" s="554"/>
      <c r="BW9" s="554"/>
      <c r="BX9" s="554"/>
    </row>
    <row r="10" spans="2:78" s="171" customFormat="1" ht="14.4" x14ac:dyDescent="0.3">
      <c r="B10" s="765">
        <v>43514</v>
      </c>
      <c r="C10" s="554" t="s">
        <v>1541</v>
      </c>
      <c r="D10" s="554"/>
      <c r="E10" s="554" t="s">
        <v>506</v>
      </c>
      <c r="F10" s="554"/>
      <c r="G10" s="554">
        <v>38</v>
      </c>
      <c r="H10" s="554">
        <v>200</v>
      </c>
      <c r="I10" s="554"/>
      <c r="J10" s="554">
        <v>75</v>
      </c>
      <c r="K10" s="554"/>
      <c r="L10" s="554"/>
      <c r="M10" s="554"/>
      <c r="N10" s="554"/>
      <c r="O10" s="554"/>
      <c r="P10" s="554"/>
      <c r="Q10" s="554"/>
      <c r="R10" s="554"/>
      <c r="S10" s="554"/>
      <c r="T10" s="554"/>
      <c r="U10" s="554"/>
      <c r="V10" s="554"/>
      <c r="W10" s="554"/>
      <c r="X10" s="554"/>
      <c r="Y10" s="554"/>
      <c r="Z10" s="554"/>
      <c r="AA10" s="554"/>
      <c r="AB10" s="554"/>
      <c r="AC10" s="554"/>
      <c r="AD10" s="554"/>
      <c r="AE10" s="554"/>
      <c r="AF10" s="554"/>
      <c r="AG10" s="554"/>
      <c r="AH10" s="554"/>
      <c r="AI10" s="554"/>
      <c r="AJ10" s="554"/>
      <c r="AK10" s="554"/>
      <c r="AL10" s="554"/>
      <c r="AM10" s="554"/>
      <c r="AN10" s="554"/>
      <c r="AO10" s="554"/>
      <c r="AP10" s="554"/>
      <c r="AQ10" s="554"/>
      <c r="AR10" s="554"/>
      <c r="AS10" s="554"/>
      <c r="AT10" s="554"/>
      <c r="AU10" s="554"/>
      <c r="AV10" s="554"/>
      <c r="AW10" s="554"/>
      <c r="AX10" s="554"/>
      <c r="AY10" s="554"/>
      <c r="AZ10" s="554"/>
      <c r="BA10" s="554"/>
      <c r="BB10" s="554"/>
      <c r="BC10" s="554"/>
      <c r="BD10" s="554"/>
      <c r="BE10" s="554"/>
      <c r="BF10" s="554"/>
      <c r="BG10" s="554"/>
      <c r="BH10" s="554"/>
      <c r="BI10" s="554"/>
      <c r="BJ10" s="554"/>
      <c r="BK10" s="554"/>
      <c r="BL10" s="554"/>
      <c r="BM10" s="554"/>
      <c r="BN10" s="554"/>
      <c r="BO10" s="554"/>
      <c r="BP10" s="554"/>
      <c r="BQ10" s="554"/>
      <c r="BR10" s="554"/>
      <c r="BS10" s="554"/>
      <c r="BT10" s="554"/>
      <c r="BU10" s="554"/>
      <c r="BV10" s="554"/>
      <c r="BW10" s="554"/>
      <c r="BX10" s="554"/>
    </row>
    <row r="11" spans="2:78" ht="14.4" x14ac:dyDescent="0.3">
      <c r="B11" s="462" t="s">
        <v>1507</v>
      </c>
      <c r="C11" s="556"/>
      <c r="D11" s="556"/>
      <c r="E11" s="556"/>
      <c r="F11" s="556"/>
      <c r="G11" s="463">
        <f t="shared" ref="G11:AL11" si="0">SUBTOTAL(109,G4:G10)</f>
        <v>397</v>
      </c>
      <c r="H11" s="463">
        <f t="shared" si="0"/>
        <v>200</v>
      </c>
      <c r="I11" s="463">
        <f t="shared" si="0"/>
        <v>0</v>
      </c>
      <c r="J11" s="463">
        <f t="shared" si="0"/>
        <v>1515</v>
      </c>
      <c r="K11" s="463">
        <f t="shared" si="0"/>
        <v>52</v>
      </c>
      <c r="L11" s="463">
        <f t="shared" si="0"/>
        <v>0</v>
      </c>
      <c r="M11" s="463">
        <f t="shared" si="0"/>
        <v>0</v>
      </c>
      <c r="N11" s="463">
        <f t="shared" si="0"/>
        <v>0</v>
      </c>
      <c r="O11" s="463">
        <f t="shared" si="0"/>
        <v>0</v>
      </c>
      <c r="P11" s="463">
        <f t="shared" si="0"/>
        <v>0</v>
      </c>
      <c r="Q11" s="463">
        <f t="shared" si="0"/>
        <v>0</v>
      </c>
      <c r="R11" s="463">
        <f t="shared" si="0"/>
        <v>0</v>
      </c>
      <c r="S11" s="463">
        <f t="shared" si="0"/>
        <v>66</v>
      </c>
      <c r="T11" s="463">
        <f t="shared" si="0"/>
        <v>0</v>
      </c>
      <c r="U11" s="463">
        <f t="shared" si="0"/>
        <v>0</v>
      </c>
      <c r="V11" s="463">
        <f t="shared" si="0"/>
        <v>3054</v>
      </c>
      <c r="W11" s="463">
        <f t="shared" si="0"/>
        <v>104</v>
      </c>
      <c r="X11" s="463">
        <f t="shared" si="0"/>
        <v>0</v>
      </c>
      <c r="Y11" s="463">
        <f t="shared" si="0"/>
        <v>1265</v>
      </c>
      <c r="Z11" s="463">
        <f t="shared" si="0"/>
        <v>300</v>
      </c>
      <c r="AA11" s="463">
        <f t="shared" si="0"/>
        <v>0</v>
      </c>
      <c r="AB11" s="463">
        <f t="shared" si="0"/>
        <v>2768</v>
      </c>
      <c r="AC11" s="463">
        <f t="shared" si="0"/>
        <v>104</v>
      </c>
      <c r="AD11" s="463">
        <f t="shared" si="0"/>
        <v>0</v>
      </c>
      <c r="AE11" s="463">
        <f t="shared" si="0"/>
        <v>1172</v>
      </c>
      <c r="AF11" s="463">
        <f t="shared" si="0"/>
        <v>52</v>
      </c>
      <c r="AG11" s="463">
        <f t="shared" si="0"/>
        <v>0</v>
      </c>
      <c r="AH11" s="463">
        <f t="shared" si="0"/>
        <v>201</v>
      </c>
      <c r="AI11" s="463">
        <f t="shared" si="0"/>
        <v>52</v>
      </c>
      <c r="AJ11" s="463">
        <f t="shared" si="0"/>
        <v>0</v>
      </c>
      <c r="AK11" s="463">
        <f t="shared" si="0"/>
        <v>2300</v>
      </c>
      <c r="AL11" s="463">
        <f t="shared" si="0"/>
        <v>0</v>
      </c>
      <c r="AM11" s="463">
        <f t="shared" ref="AM11:BW11" si="1">SUBTOTAL(109,AM4:AM10)</f>
        <v>0</v>
      </c>
      <c r="AN11" s="463">
        <f t="shared" si="1"/>
        <v>1469</v>
      </c>
      <c r="AO11" s="463">
        <f t="shared" si="1"/>
        <v>0</v>
      </c>
      <c r="AP11" s="463">
        <f t="shared" si="1"/>
        <v>0</v>
      </c>
      <c r="AQ11" s="463">
        <f t="shared" si="1"/>
        <v>4688</v>
      </c>
      <c r="AR11" s="463">
        <f t="shared" si="1"/>
        <v>104</v>
      </c>
      <c r="AS11" s="463">
        <f t="shared" si="1"/>
        <v>0</v>
      </c>
      <c r="AT11" s="463">
        <f t="shared" si="1"/>
        <v>191</v>
      </c>
      <c r="AU11" s="463">
        <f t="shared" si="1"/>
        <v>0</v>
      </c>
      <c r="AV11" s="463">
        <f t="shared" si="1"/>
        <v>0</v>
      </c>
      <c r="AW11" s="463">
        <f t="shared" si="1"/>
        <v>0</v>
      </c>
      <c r="AX11" s="463">
        <f t="shared" si="1"/>
        <v>0</v>
      </c>
      <c r="AY11" s="463">
        <f t="shared" si="1"/>
        <v>0</v>
      </c>
      <c r="AZ11" s="463">
        <f t="shared" si="1"/>
        <v>16</v>
      </c>
      <c r="BA11" s="463">
        <f t="shared" si="1"/>
        <v>5</v>
      </c>
      <c r="BB11" s="463">
        <f t="shared" si="1"/>
        <v>0</v>
      </c>
      <c r="BC11" s="463">
        <f t="shared" si="1"/>
        <v>0</v>
      </c>
      <c r="BD11" s="463">
        <f t="shared" si="1"/>
        <v>3220</v>
      </c>
      <c r="BE11" s="463">
        <f t="shared" si="1"/>
        <v>0</v>
      </c>
      <c r="BF11" s="463">
        <f t="shared" ref="BF11:BH11" si="2">SUBTOTAL(109,BF4:BF10)</f>
        <v>6584</v>
      </c>
      <c r="BG11" s="463">
        <f t="shared" si="2"/>
        <v>0</v>
      </c>
      <c r="BH11" s="463">
        <f t="shared" si="2"/>
        <v>0</v>
      </c>
      <c r="BI11" s="463">
        <f t="shared" si="1"/>
        <v>3536</v>
      </c>
      <c r="BJ11" s="463">
        <f t="shared" si="1"/>
        <v>0</v>
      </c>
      <c r="BK11" s="463">
        <f t="shared" si="1"/>
        <v>0</v>
      </c>
      <c r="BL11" s="463">
        <f t="shared" si="1"/>
        <v>4929</v>
      </c>
      <c r="BM11" s="463">
        <f t="shared" si="1"/>
        <v>0</v>
      </c>
      <c r="BN11" s="463">
        <f t="shared" si="1"/>
        <v>0</v>
      </c>
      <c r="BO11" s="463">
        <f t="shared" si="1"/>
        <v>230</v>
      </c>
      <c r="BP11" s="463">
        <f t="shared" si="1"/>
        <v>0</v>
      </c>
      <c r="BQ11" s="463">
        <f t="shared" si="1"/>
        <v>0</v>
      </c>
      <c r="BR11" s="463">
        <f t="shared" si="1"/>
        <v>3174</v>
      </c>
      <c r="BS11" s="463">
        <f t="shared" si="1"/>
        <v>0</v>
      </c>
      <c r="BT11" s="463">
        <f t="shared" si="1"/>
        <v>0</v>
      </c>
      <c r="BU11" s="463">
        <f t="shared" si="1"/>
        <v>889</v>
      </c>
      <c r="BV11" s="463">
        <f t="shared" si="1"/>
        <v>0</v>
      </c>
      <c r="BW11" s="463">
        <f t="shared" si="1"/>
        <v>0</v>
      </c>
      <c r="BX11" s="556"/>
    </row>
    <row r="12" spans="2:78" ht="14.4" x14ac:dyDescent="0.3">
      <c r="B12" s="555"/>
      <c r="C12" s="556"/>
      <c r="D12" s="556"/>
      <c r="E12" s="556"/>
      <c r="F12" s="556"/>
      <c r="G12" s="556"/>
      <c r="H12" s="556"/>
      <c r="I12" s="556"/>
      <c r="J12" s="556"/>
      <c r="K12" s="556"/>
      <c r="L12" s="556"/>
      <c r="M12" s="556"/>
      <c r="N12" s="556"/>
      <c r="O12" s="556"/>
      <c r="P12" s="556"/>
      <c r="Q12" s="556"/>
      <c r="R12" s="556"/>
      <c r="S12" s="556"/>
      <c r="T12" s="556"/>
      <c r="U12" s="556"/>
      <c r="V12" s="556"/>
      <c r="W12" s="556"/>
      <c r="X12" s="556"/>
      <c r="Y12" s="556"/>
      <c r="Z12" s="556"/>
      <c r="AA12" s="556"/>
      <c r="AB12" s="556"/>
      <c r="AC12" s="556"/>
      <c r="AD12" s="556"/>
      <c r="AE12" s="556"/>
      <c r="AF12" s="556"/>
      <c r="AG12" s="556"/>
      <c r="AH12" s="556"/>
      <c r="AI12" s="556"/>
      <c r="AJ12" s="556"/>
      <c r="AK12" s="556"/>
      <c r="AL12" s="556"/>
      <c r="AM12" s="556"/>
      <c r="AN12" s="556"/>
      <c r="AO12" s="556"/>
      <c r="AP12" s="556"/>
      <c r="AQ12" s="556"/>
      <c r="AR12" s="556"/>
      <c r="AS12" s="556"/>
      <c r="AT12" s="556"/>
      <c r="AU12" s="556"/>
      <c r="AV12" s="556"/>
      <c r="AW12" s="556"/>
      <c r="AX12" s="556"/>
      <c r="AY12" s="556"/>
      <c r="AZ12" s="556"/>
      <c r="BA12" s="556"/>
      <c r="BB12" s="556"/>
      <c r="BC12" s="556"/>
      <c r="BD12" s="556"/>
      <c r="BE12" s="556"/>
      <c r="BF12" s="556"/>
      <c r="BG12" s="556"/>
      <c r="BH12" s="556"/>
      <c r="BI12" s="556"/>
      <c r="BJ12" s="556"/>
      <c r="BK12" s="556"/>
      <c r="BL12" s="556"/>
      <c r="BM12" s="556"/>
      <c r="BN12" s="556"/>
      <c r="BO12" s="556"/>
      <c r="BP12" s="556"/>
      <c r="BQ12" s="556"/>
      <c r="BR12" s="556"/>
      <c r="BS12" s="556"/>
      <c r="BT12" s="557"/>
      <c r="BU12" s="556"/>
      <c r="BV12" s="556"/>
      <c r="BW12" s="557"/>
      <c r="BX12" s="556"/>
    </row>
    <row r="13" spans="2:78" ht="14.4" x14ac:dyDescent="0.3">
      <c r="B13" s="555"/>
      <c r="C13" s="556"/>
      <c r="D13" s="556"/>
      <c r="E13" s="556"/>
      <c r="F13" s="556"/>
      <c r="G13" s="556"/>
      <c r="H13" s="556"/>
      <c r="I13" s="556"/>
      <c r="J13" s="556"/>
      <c r="K13" s="556"/>
      <c r="L13" s="556"/>
      <c r="M13" s="556"/>
      <c r="N13" s="556"/>
      <c r="O13" s="556"/>
      <c r="P13" s="556"/>
      <c r="Q13" s="556"/>
      <c r="R13" s="556"/>
      <c r="S13" s="556"/>
      <c r="T13" s="556"/>
      <c r="U13" s="556"/>
      <c r="V13" s="556"/>
      <c r="W13" s="556"/>
      <c r="X13" s="556"/>
      <c r="Y13" s="556"/>
      <c r="Z13" s="556"/>
      <c r="AA13" s="556"/>
      <c r="AB13" s="556"/>
      <c r="AC13" s="556"/>
      <c r="AD13" s="556"/>
      <c r="AE13" s="556"/>
      <c r="AF13" s="556"/>
      <c r="AG13" s="556"/>
      <c r="AH13" s="556"/>
      <c r="AI13" s="556"/>
      <c r="AJ13" s="556"/>
      <c r="AK13" s="556"/>
      <c r="AL13" s="556"/>
      <c r="AM13" s="556"/>
      <c r="AN13" s="556"/>
      <c r="AO13" s="556"/>
      <c r="AP13" s="556"/>
      <c r="AQ13" s="556"/>
      <c r="AR13" s="556"/>
      <c r="AS13" s="556"/>
      <c r="AT13" s="556"/>
      <c r="AU13" s="556"/>
      <c r="AV13" s="556"/>
      <c r="AW13" s="556"/>
      <c r="AX13" s="556"/>
      <c r="AY13" s="556"/>
      <c r="AZ13" s="556"/>
      <c r="BA13" s="556"/>
      <c r="BB13" s="556"/>
      <c r="BC13" s="556"/>
      <c r="BD13" s="556"/>
      <c r="BE13" s="556"/>
      <c r="BF13" s="556"/>
      <c r="BG13" s="556"/>
      <c r="BH13" s="556"/>
      <c r="BI13" s="556"/>
      <c r="BJ13" s="556"/>
      <c r="BK13" s="556"/>
      <c r="BL13" s="556"/>
      <c r="BM13" s="556"/>
      <c r="BN13" s="556"/>
      <c r="BO13" s="556"/>
      <c r="BP13" s="556"/>
      <c r="BQ13" s="556"/>
      <c r="BR13" s="556"/>
      <c r="BS13" s="556"/>
      <c r="BT13" s="557"/>
      <c r="BU13" s="556"/>
      <c r="BV13" s="556"/>
      <c r="BW13" s="557"/>
      <c r="BX13" s="556"/>
    </row>
    <row r="14" spans="2:78" ht="14.4" x14ac:dyDescent="0.3">
      <c r="B14" s="555"/>
      <c r="C14" s="556"/>
      <c r="D14" s="556"/>
      <c r="E14" s="556"/>
      <c r="F14" s="556"/>
      <c r="G14" s="556"/>
      <c r="H14" s="556"/>
      <c r="I14" s="556"/>
      <c r="J14" s="556"/>
      <c r="K14" s="556"/>
      <c r="L14" s="556"/>
      <c r="M14" s="556"/>
      <c r="N14" s="556"/>
      <c r="O14" s="556"/>
      <c r="P14" s="556"/>
      <c r="Q14" s="556"/>
      <c r="R14" s="556"/>
      <c r="S14" s="556"/>
      <c r="T14" s="556"/>
      <c r="U14" s="556"/>
      <c r="V14" s="556"/>
      <c r="W14" s="556"/>
      <c r="X14" s="556"/>
      <c r="Y14" s="556"/>
      <c r="Z14" s="556"/>
      <c r="AA14" s="556"/>
      <c r="AB14" s="556"/>
      <c r="AC14" s="556"/>
      <c r="AD14" s="556"/>
      <c r="AE14" s="556"/>
      <c r="AF14" s="556"/>
      <c r="AG14" s="556"/>
      <c r="AH14" s="556"/>
      <c r="AI14" s="556"/>
      <c r="AJ14" s="556"/>
      <c r="AK14" s="556"/>
      <c r="AL14" s="556"/>
      <c r="AM14" s="556"/>
      <c r="AN14" s="556"/>
      <c r="AO14" s="556"/>
      <c r="AP14" s="556"/>
      <c r="AQ14" s="556"/>
      <c r="AR14" s="556"/>
      <c r="AS14" s="556"/>
      <c r="AT14" s="556"/>
      <c r="AU14" s="556"/>
      <c r="AV14" s="556"/>
      <c r="AW14" s="556"/>
      <c r="AX14" s="556"/>
      <c r="AY14" s="556"/>
      <c r="AZ14" s="556"/>
      <c r="BA14" s="556"/>
      <c r="BB14" s="556"/>
      <c r="BC14" s="556"/>
      <c r="BD14" s="556"/>
      <c r="BE14" s="556"/>
      <c r="BF14" s="556"/>
      <c r="BG14" s="556"/>
      <c r="BH14" s="556"/>
      <c r="BI14" s="556"/>
      <c r="BJ14" s="556"/>
      <c r="BK14" s="556"/>
      <c r="BL14" s="556"/>
      <c r="BM14" s="556"/>
      <c r="BN14" s="556"/>
      <c r="BO14" s="556"/>
      <c r="BP14" s="556"/>
      <c r="BQ14" s="556"/>
      <c r="BR14" s="556"/>
      <c r="BS14" s="556"/>
      <c r="BT14" s="557"/>
      <c r="BU14" s="556"/>
      <c r="BV14" s="556"/>
      <c r="BW14" s="557"/>
      <c r="BX14" s="556"/>
    </row>
    <row r="15" spans="2:78" ht="14.4" x14ac:dyDescent="0.3">
      <c r="B15" s="555"/>
      <c r="C15" s="556"/>
      <c r="D15" s="556"/>
      <c r="E15" s="556"/>
      <c r="F15" s="556"/>
      <c r="G15" s="556"/>
      <c r="H15" s="556"/>
      <c r="I15" s="556"/>
      <c r="J15" s="556"/>
      <c r="K15" s="556"/>
      <c r="L15" s="556"/>
      <c r="M15" s="556"/>
      <c r="N15" s="556"/>
      <c r="O15" s="556"/>
      <c r="P15" s="556"/>
      <c r="Q15" s="556"/>
      <c r="R15" s="556"/>
      <c r="S15" s="556"/>
      <c r="T15" s="556"/>
      <c r="U15" s="556"/>
      <c r="V15" s="556"/>
      <c r="W15" s="556"/>
      <c r="X15" s="556"/>
      <c r="Y15" s="556"/>
      <c r="Z15" s="556"/>
      <c r="AA15" s="556"/>
      <c r="AB15" s="556"/>
      <c r="AC15" s="556"/>
      <c r="AD15" s="556"/>
      <c r="AE15" s="556"/>
      <c r="AF15" s="556"/>
      <c r="AG15" s="556"/>
      <c r="AH15" s="556"/>
      <c r="AI15" s="556"/>
      <c r="AJ15" s="556"/>
      <c r="AK15" s="556"/>
      <c r="AL15" s="556"/>
      <c r="AM15" s="556"/>
      <c r="AN15" s="556"/>
      <c r="AO15" s="556"/>
      <c r="AP15" s="556"/>
      <c r="AQ15" s="556"/>
      <c r="AR15" s="556"/>
      <c r="AS15" s="556"/>
      <c r="AT15" s="556"/>
      <c r="AU15" s="556"/>
      <c r="AV15" s="556"/>
      <c r="AW15" s="556"/>
      <c r="AX15" s="556"/>
      <c r="AY15" s="556"/>
      <c r="AZ15" s="556"/>
      <c r="BA15" s="556"/>
      <c r="BB15" s="556"/>
      <c r="BC15" s="556"/>
      <c r="BD15" s="556"/>
      <c r="BE15" s="556"/>
      <c r="BF15" s="556"/>
      <c r="BG15" s="556"/>
      <c r="BH15" s="556"/>
      <c r="BI15" s="556"/>
      <c r="BJ15" s="556"/>
      <c r="BK15" s="556"/>
      <c r="BL15" s="556"/>
      <c r="BM15" s="556"/>
      <c r="BN15" s="556"/>
      <c r="BO15" s="556"/>
      <c r="BP15" s="556"/>
      <c r="BQ15" s="556"/>
      <c r="BR15" s="556"/>
      <c r="BS15" s="556"/>
      <c r="BT15" s="557"/>
      <c r="BU15" s="556"/>
      <c r="BV15" s="556"/>
      <c r="BW15" s="557"/>
      <c r="BX15" s="556"/>
    </row>
    <row r="16" spans="2:78" ht="14.4" x14ac:dyDescent="0.3">
      <c r="B16" s="555"/>
      <c r="C16" s="556"/>
      <c r="D16" s="556"/>
      <c r="E16" s="556"/>
      <c r="F16" s="556"/>
      <c r="G16" s="556"/>
      <c r="H16" s="556"/>
      <c r="I16" s="556"/>
      <c r="J16" s="556"/>
      <c r="K16" s="556"/>
      <c r="L16" s="556"/>
      <c r="M16" s="556"/>
      <c r="N16" s="556"/>
      <c r="O16" s="556"/>
      <c r="P16" s="556"/>
      <c r="Q16" s="556"/>
      <c r="R16" s="556"/>
      <c r="S16" s="556"/>
      <c r="T16" s="556"/>
      <c r="U16" s="556"/>
      <c r="V16" s="556"/>
      <c r="W16" s="556"/>
      <c r="X16" s="556"/>
      <c r="Y16" s="556"/>
      <c r="Z16" s="556"/>
      <c r="AA16" s="556"/>
      <c r="AB16" s="556"/>
      <c r="AC16" s="556"/>
      <c r="AD16" s="556"/>
      <c r="AE16" s="556"/>
      <c r="AF16" s="556"/>
      <c r="AG16" s="556"/>
      <c r="AH16" s="556"/>
      <c r="AI16" s="556"/>
      <c r="AJ16" s="556"/>
      <c r="AK16" s="556"/>
      <c r="AL16" s="556"/>
      <c r="AM16" s="556"/>
      <c r="AN16" s="556"/>
      <c r="AO16" s="556"/>
      <c r="AP16" s="556"/>
      <c r="AQ16" s="556"/>
      <c r="AR16" s="556"/>
      <c r="AS16" s="556"/>
      <c r="AT16" s="556"/>
      <c r="AU16" s="556"/>
      <c r="AV16" s="556"/>
      <c r="AW16" s="556"/>
      <c r="AX16" s="556"/>
      <c r="AY16" s="556"/>
      <c r="AZ16" s="556"/>
      <c r="BA16" s="556"/>
      <c r="BB16" s="556"/>
      <c r="BC16" s="556"/>
      <c r="BD16" s="556"/>
      <c r="BE16" s="556"/>
      <c r="BF16" s="556"/>
      <c r="BG16" s="556"/>
      <c r="BH16" s="556"/>
      <c r="BI16" s="556"/>
      <c r="BJ16" s="556"/>
      <c r="BK16" s="556"/>
      <c r="BL16" s="556"/>
      <c r="BM16" s="556"/>
      <c r="BN16" s="556"/>
      <c r="BO16" s="556"/>
      <c r="BP16" s="556"/>
      <c r="BQ16" s="556"/>
      <c r="BR16" s="556"/>
      <c r="BS16" s="556"/>
      <c r="BT16" s="557"/>
      <c r="BU16" s="556"/>
      <c r="BV16" s="556"/>
      <c r="BW16" s="557"/>
      <c r="BX16" s="556"/>
    </row>
    <row r="17" spans="2:76" ht="14.4" x14ac:dyDescent="0.3">
      <c r="B17" s="555"/>
      <c r="C17" s="556"/>
      <c r="D17" s="556"/>
      <c r="E17" s="556"/>
      <c r="F17" s="556"/>
      <c r="G17" s="556"/>
      <c r="H17" s="556" t="s">
        <v>541</v>
      </c>
      <c r="I17" s="556"/>
      <c r="J17" s="556"/>
      <c r="K17" s="556"/>
      <c r="L17" s="556"/>
      <c r="M17" s="556"/>
      <c r="N17" s="556"/>
      <c r="O17" s="556"/>
      <c r="P17" s="556"/>
      <c r="Q17" s="556"/>
      <c r="R17" s="556"/>
      <c r="S17" s="556"/>
      <c r="T17" s="556"/>
      <c r="U17" s="556"/>
      <c r="V17" s="556"/>
      <c r="W17" s="556"/>
      <c r="X17" s="556"/>
      <c r="Y17" s="556"/>
      <c r="Z17" s="556"/>
      <c r="AA17" s="556"/>
      <c r="AB17" s="556"/>
      <c r="AC17" s="556"/>
      <c r="AD17" s="556"/>
      <c r="AE17" s="556"/>
      <c r="AF17" s="556"/>
      <c r="AG17" s="556"/>
      <c r="AH17" s="556"/>
      <c r="AI17" s="556"/>
      <c r="AJ17" s="556"/>
      <c r="AK17" s="556"/>
      <c r="AL17" s="556"/>
      <c r="AM17" s="556"/>
      <c r="AN17" s="556"/>
      <c r="AO17" s="556"/>
      <c r="AP17" s="556"/>
      <c r="AQ17" s="556"/>
      <c r="AR17" s="556"/>
      <c r="AS17" s="556"/>
      <c r="AT17" s="556"/>
      <c r="AU17" s="556"/>
      <c r="AV17" s="556"/>
      <c r="AW17" s="556"/>
      <c r="AX17" s="556"/>
      <c r="AY17" s="556"/>
      <c r="AZ17" s="556"/>
      <c r="BA17" s="556"/>
      <c r="BB17" s="556"/>
      <c r="BC17" s="556"/>
      <c r="BD17" s="556"/>
      <c r="BE17" s="556"/>
      <c r="BF17" s="556"/>
      <c r="BG17" s="556"/>
      <c r="BH17" s="556"/>
      <c r="BI17" s="556"/>
      <c r="BJ17" s="556"/>
      <c r="BK17" s="556"/>
      <c r="BL17" s="556"/>
      <c r="BM17" s="556"/>
      <c r="BN17" s="556"/>
      <c r="BO17" s="556"/>
      <c r="BP17" s="556"/>
      <c r="BQ17" s="556"/>
      <c r="BR17" s="556"/>
      <c r="BS17" s="556"/>
      <c r="BT17" s="557"/>
      <c r="BU17" s="556"/>
      <c r="BV17" s="556"/>
      <c r="BW17" s="557"/>
      <c r="BX17" s="556"/>
    </row>
    <row r="18" spans="2:76" ht="14.4" x14ac:dyDescent="0.3">
      <c r="B18" s="555"/>
      <c r="C18" s="556"/>
      <c r="D18" s="556"/>
      <c r="E18" s="556"/>
      <c r="F18" s="556"/>
      <c r="G18" s="556"/>
      <c r="H18" s="556"/>
      <c r="I18" s="556"/>
      <c r="J18" s="556"/>
      <c r="K18" s="556"/>
      <c r="L18" s="556"/>
      <c r="M18" s="556"/>
      <c r="N18" s="556"/>
      <c r="O18" s="556"/>
      <c r="P18" s="556"/>
      <c r="Q18" s="556"/>
      <c r="R18" s="556"/>
      <c r="S18" s="556"/>
      <c r="T18" s="556"/>
      <c r="U18" s="556"/>
      <c r="V18" s="556"/>
      <c r="W18" s="556"/>
      <c r="X18" s="556"/>
      <c r="Y18" s="556"/>
      <c r="Z18" s="556"/>
      <c r="AA18" s="556"/>
      <c r="AB18" s="556"/>
      <c r="AC18" s="556"/>
      <c r="AD18" s="556"/>
      <c r="AE18" s="556"/>
      <c r="AF18" s="556"/>
      <c r="AG18" s="556"/>
      <c r="AH18" s="556"/>
      <c r="AI18" s="556"/>
      <c r="AJ18" s="556"/>
      <c r="AK18" s="556"/>
      <c r="AL18" s="556"/>
      <c r="AM18" s="556"/>
      <c r="AN18" s="556"/>
      <c r="AO18" s="556"/>
      <c r="AP18" s="556"/>
      <c r="AQ18" s="556"/>
      <c r="AR18" s="556"/>
      <c r="AS18" s="556"/>
      <c r="AT18" s="556"/>
      <c r="AU18" s="556"/>
      <c r="AV18" s="556"/>
      <c r="AW18" s="556"/>
      <c r="AX18" s="556"/>
      <c r="AY18" s="556"/>
      <c r="AZ18" s="556"/>
      <c r="BA18" s="556"/>
      <c r="BB18" s="556"/>
      <c r="BC18" s="556"/>
      <c r="BD18" s="556"/>
      <c r="BE18" s="556"/>
      <c r="BF18" s="556"/>
      <c r="BG18" s="556"/>
      <c r="BH18" s="556"/>
      <c r="BI18" s="556"/>
      <c r="BJ18" s="556"/>
      <c r="BK18" s="556"/>
      <c r="BL18" s="556"/>
      <c r="BM18" s="556"/>
      <c r="BN18" s="556"/>
      <c r="BO18" s="556"/>
      <c r="BP18" s="556"/>
      <c r="BQ18" s="556"/>
      <c r="BR18" s="556"/>
      <c r="BS18" s="556"/>
      <c r="BT18" s="557"/>
      <c r="BU18" s="556"/>
      <c r="BV18" s="556"/>
      <c r="BW18" s="557"/>
      <c r="BX18" s="556"/>
    </row>
    <row r="19" spans="2:76" ht="14.4" x14ac:dyDescent="0.3">
      <c r="B19" s="555"/>
      <c r="C19" s="556"/>
      <c r="D19" s="556"/>
      <c r="E19" s="556"/>
      <c r="F19" s="556"/>
      <c r="G19" s="556"/>
      <c r="H19" s="556"/>
      <c r="I19" s="556"/>
      <c r="J19" s="556"/>
      <c r="K19" s="556"/>
      <c r="L19" s="556"/>
      <c r="M19" s="556"/>
      <c r="N19" s="556"/>
      <c r="O19" s="556"/>
      <c r="P19" s="556"/>
      <c r="Q19" s="556"/>
      <c r="R19" s="556"/>
      <c r="S19" s="556"/>
      <c r="T19" s="556"/>
      <c r="U19" s="556"/>
      <c r="V19" s="556"/>
      <c r="W19" s="556"/>
      <c r="X19" s="556"/>
      <c r="Y19" s="556"/>
      <c r="Z19" s="556"/>
      <c r="AA19" s="556"/>
      <c r="AB19" s="556"/>
      <c r="AC19" s="556"/>
      <c r="AD19" s="556"/>
      <c r="AE19" s="556"/>
      <c r="AF19" s="556"/>
      <c r="AG19" s="556"/>
      <c r="AH19" s="556"/>
      <c r="AI19" s="556"/>
      <c r="AJ19" s="556"/>
      <c r="AK19" s="556"/>
      <c r="AL19" s="556"/>
      <c r="AM19" s="556"/>
      <c r="AN19" s="556"/>
      <c r="AO19" s="556"/>
      <c r="AP19" s="556"/>
      <c r="AQ19" s="556"/>
      <c r="AR19" s="556"/>
      <c r="AS19" s="556"/>
      <c r="AT19" s="556"/>
      <c r="AU19" s="556"/>
      <c r="AV19" s="556"/>
      <c r="AW19" s="556"/>
      <c r="AX19" s="556"/>
      <c r="AY19" s="556"/>
      <c r="AZ19" s="556"/>
      <c r="BA19" s="556"/>
      <c r="BB19" s="556"/>
      <c r="BC19" s="556"/>
      <c r="BD19" s="556"/>
      <c r="BE19" s="556"/>
      <c r="BF19" s="556"/>
      <c r="BG19" s="556"/>
      <c r="BH19" s="556"/>
      <c r="BI19" s="556"/>
      <c r="BJ19" s="556"/>
      <c r="BK19" s="556"/>
      <c r="BL19" s="556"/>
      <c r="BM19" s="556"/>
      <c r="BN19" s="556"/>
      <c r="BO19" s="556"/>
      <c r="BP19" s="556"/>
      <c r="BQ19" s="556"/>
      <c r="BR19" s="556"/>
      <c r="BS19" s="556"/>
      <c r="BT19" s="557"/>
      <c r="BU19" s="556"/>
      <c r="BV19" s="556"/>
      <c r="BW19" s="557"/>
      <c r="BX19" s="556"/>
    </row>
    <row r="20" spans="2:76" ht="14.4" x14ac:dyDescent="0.3">
      <c r="B20" s="555"/>
      <c r="C20" s="556"/>
      <c r="D20" s="556"/>
      <c r="E20" s="556"/>
      <c r="F20" s="556"/>
      <c r="G20" s="556"/>
      <c r="H20" s="556"/>
      <c r="I20" s="556"/>
      <c r="J20" s="556"/>
      <c r="K20" s="556"/>
      <c r="L20" s="556"/>
      <c r="M20" s="556"/>
      <c r="N20" s="556"/>
      <c r="O20" s="556"/>
      <c r="P20" s="556"/>
      <c r="Q20" s="556"/>
      <c r="R20" s="556"/>
      <c r="S20" s="556"/>
      <c r="T20" s="556"/>
      <c r="U20" s="556"/>
      <c r="V20" s="556"/>
      <c r="W20" s="556"/>
      <c r="X20" s="556"/>
      <c r="Y20" s="556"/>
      <c r="Z20" s="556"/>
      <c r="AA20" s="556"/>
      <c r="AB20" s="556"/>
      <c r="AC20" s="556"/>
      <c r="AD20" s="556"/>
      <c r="AE20" s="556"/>
      <c r="AF20" s="556"/>
      <c r="AG20" s="556"/>
      <c r="AH20" s="556"/>
      <c r="AI20" s="556"/>
      <c r="AJ20" s="556"/>
      <c r="AK20" s="556"/>
      <c r="AL20" s="556"/>
      <c r="AM20" s="556"/>
      <c r="AN20" s="556"/>
      <c r="AO20" s="556"/>
      <c r="AP20" s="556"/>
      <c r="AQ20" s="556"/>
      <c r="AR20" s="556"/>
      <c r="AS20" s="556"/>
      <c r="AT20" s="556"/>
      <c r="AU20" s="556"/>
      <c r="AV20" s="556"/>
      <c r="AW20" s="556"/>
      <c r="AX20" s="556"/>
      <c r="AY20" s="556"/>
      <c r="AZ20" s="556"/>
      <c r="BA20" s="556"/>
      <c r="BB20" s="556"/>
      <c r="BC20" s="556"/>
      <c r="BD20" s="556"/>
      <c r="BE20" s="556"/>
      <c r="BF20" s="556"/>
      <c r="BG20" s="556"/>
      <c r="BH20" s="556"/>
      <c r="BI20" s="556"/>
      <c r="BJ20" s="556"/>
      <c r="BK20" s="556"/>
      <c r="BL20" s="556"/>
      <c r="BM20" s="556"/>
      <c r="BN20" s="556"/>
      <c r="BO20" s="556"/>
      <c r="BP20" s="556"/>
      <c r="BQ20" s="556"/>
      <c r="BR20" s="556"/>
      <c r="BS20" s="556"/>
      <c r="BT20" s="557"/>
      <c r="BU20" s="556"/>
      <c r="BV20" s="556"/>
      <c r="BW20" s="557"/>
      <c r="BX20" s="556"/>
    </row>
    <row r="21" spans="2:76" ht="14.4" x14ac:dyDescent="0.3">
      <c r="B21" s="555"/>
      <c r="C21" s="556"/>
      <c r="D21" s="556"/>
      <c r="E21" s="556"/>
      <c r="F21" s="556"/>
      <c r="G21" s="556"/>
      <c r="H21" s="556"/>
      <c r="I21" s="556"/>
      <c r="J21" s="556"/>
      <c r="K21" s="556"/>
      <c r="L21" s="556"/>
      <c r="M21" s="556"/>
      <c r="N21" s="556"/>
      <c r="O21" s="556"/>
      <c r="P21" s="556"/>
      <c r="Q21" s="556"/>
      <c r="R21" s="556"/>
      <c r="S21" s="556"/>
      <c r="T21" s="556"/>
      <c r="U21" s="556"/>
      <c r="V21" s="556"/>
      <c r="W21" s="556"/>
      <c r="X21" s="556"/>
      <c r="Y21" s="556"/>
      <c r="Z21" s="556"/>
      <c r="AA21" s="556"/>
      <c r="AB21" s="556"/>
      <c r="AC21" s="556"/>
      <c r="AD21" s="556"/>
      <c r="AE21" s="556"/>
      <c r="AF21" s="556"/>
      <c r="AG21" s="556"/>
      <c r="AH21" s="556"/>
      <c r="AI21" s="556"/>
      <c r="AJ21" s="556"/>
      <c r="AK21" s="556"/>
      <c r="AL21" s="556"/>
      <c r="AM21" s="556"/>
      <c r="AN21" s="556"/>
      <c r="AO21" s="556"/>
      <c r="AP21" s="556"/>
      <c r="AQ21" s="556"/>
      <c r="AR21" s="556"/>
      <c r="AS21" s="556"/>
      <c r="AT21" s="556"/>
      <c r="AU21" s="556"/>
      <c r="AV21" s="556"/>
      <c r="AW21" s="556"/>
      <c r="AX21" s="556"/>
      <c r="AY21" s="556"/>
      <c r="AZ21" s="556"/>
      <c r="BA21" s="556"/>
      <c r="BB21" s="556"/>
      <c r="BC21" s="556"/>
      <c r="BD21" s="556"/>
      <c r="BE21" s="556"/>
      <c r="BF21" s="556"/>
      <c r="BG21" s="556"/>
      <c r="BH21" s="556"/>
      <c r="BI21" s="556"/>
      <c r="BJ21" s="556"/>
      <c r="BK21" s="556"/>
      <c r="BL21" s="556"/>
      <c r="BM21" s="556"/>
      <c r="BN21" s="556"/>
      <c r="BO21" s="556"/>
      <c r="BP21" s="556"/>
      <c r="BQ21" s="556"/>
      <c r="BR21" s="556"/>
      <c r="BS21" s="556"/>
      <c r="BT21" s="557"/>
      <c r="BU21" s="556"/>
      <c r="BV21" s="556"/>
      <c r="BW21" s="557"/>
      <c r="BX21" s="556"/>
    </row>
    <row r="22" spans="2:76" ht="14.4" x14ac:dyDescent="0.3">
      <c r="B22" s="555"/>
      <c r="C22" s="556"/>
      <c r="D22" s="556"/>
      <c r="E22" s="556"/>
      <c r="F22" s="556"/>
      <c r="G22" s="556"/>
      <c r="H22" s="556"/>
      <c r="I22" s="556"/>
      <c r="J22" s="556"/>
      <c r="K22" s="556"/>
      <c r="L22" s="556"/>
      <c r="M22" s="556"/>
      <c r="N22" s="556"/>
      <c r="O22" s="556"/>
      <c r="P22" s="556"/>
      <c r="Q22" s="556"/>
      <c r="R22" s="556"/>
      <c r="S22" s="556"/>
      <c r="T22" s="556"/>
      <c r="U22" s="556"/>
      <c r="V22" s="556"/>
      <c r="W22" s="556"/>
      <c r="X22" s="556"/>
      <c r="Y22" s="556"/>
      <c r="Z22" s="556"/>
      <c r="AA22" s="556"/>
      <c r="AB22" s="556"/>
      <c r="AC22" s="556"/>
      <c r="AD22" s="556"/>
      <c r="AE22" s="556"/>
      <c r="AF22" s="556"/>
      <c r="AG22" s="556"/>
      <c r="AH22" s="556"/>
      <c r="AI22" s="556"/>
      <c r="AJ22" s="556"/>
      <c r="AK22" s="556"/>
      <c r="AL22" s="556"/>
      <c r="AM22" s="556"/>
      <c r="AN22" s="556"/>
      <c r="AO22" s="556"/>
      <c r="AP22" s="556"/>
      <c r="AQ22" s="556"/>
      <c r="AR22" s="556"/>
      <c r="AS22" s="556"/>
      <c r="AT22" s="556"/>
      <c r="AU22" s="556"/>
      <c r="AV22" s="556"/>
      <c r="AW22" s="556"/>
      <c r="AX22" s="556"/>
      <c r="AY22" s="556"/>
      <c r="AZ22" s="556"/>
      <c r="BA22" s="556"/>
      <c r="BB22" s="556"/>
      <c r="BC22" s="556"/>
      <c r="BD22" s="556"/>
      <c r="BE22" s="556"/>
      <c r="BF22" s="556"/>
      <c r="BG22" s="556"/>
      <c r="BH22" s="556"/>
      <c r="BI22" s="556"/>
      <c r="BJ22" s="556"/>
      <c r="BK22" s="556"/>
      <c r="BL22" s="556"/>
      <c r="BM22" s="556"/>
      <c r="BN22" s="556"/>
      <c r="BO22" s="556"/>
      <c r="BP22" s="556"/>
      <c r="BQ22" s="556"/>
      <c r="BR22" s="556"/>
      <c r="BS22" s="556"/>
      <c r="BT22" s="557"/>
      <c r="BU22" s="556"/>
      <c r="BV22" s="556"/>
      <c r="BW22" s="557"/>
      <c r="BX22" s="556"/>
    </row>
    <row r="23" spans="2:76" ht="14.4" x14ac:dyDescent="0.3">
      <c r="B23" s="555"/>
      <c r="C23" s="556"/>
      <c r="D23" s="556"/>
      <c r="E23" s="556"/>
      <c r="F23" s="556"/>
      <c r="G23" s="556"/>
      <c r="H23" s="556"/>
      <c r="I23" s="556"/>
      <c r="J23" s="556"/>
      <c r="K23" s="556"/>
      <c r="L23" s="556"/>
      <c r="M23" s="556"/>
      <c r="N23" s="556"/>
      <c r="O23" s="556"/>
      <c r="P23" s="556"/>
      <c r="Q23" s="556"/>
      <c r="R23" s="556"/>
      <c r="S23" s="556"/>
      <c r="T23" s="556"/>
      <c r="U23" s="556"/>
      <c r="V23" s="556"/>
      <c r="W23" s="556"/>
      <c r="X23" s="556"/>
      <c r="Y23" s="556"/>
      <c r="Z23" s="556"/>
      <c r="AA23" s="556"/>
      <c r="AB23" s="556"/>
      <c r="AC23" s="556"/>
      <c r="AD23" s="556"/>
      <c r="AE23" s="556"/>
      <c r="AF23" s="556"/>
      <c r="AG23" s="556"/>
      <c r="AH23" s="556"/>
      <c r="AI23" s="556"/>
      <c r="AJ23" s="556"/>
      <c r="AK23" s="556"/>
      <c r="AL23" s="556"/>
      <c r="AM23" s="556"/>
      <c r="AN23" s="556"/>
      <c r="AO23" s="556"/>
      <c r="AP23" s="556"/>
      <c r="AQ23" s="556"/>
      <c r="AR23" s="556"/>
      <c r="AS23" s="556"/>
      <c r="AT23" s="556"/>
      <c r="AU23" s="556"/>
      <c r="AV23" s="556"/>
      <c r="AW23" s="556"/>
      <c r="AX23" s="556"/>
      <c r="AY23" s="556"/>
      <c r="AZ23" s="556"/>
      <c r="BA23" s="556"/>
      <c r="BB23" s="556"/>
      <c r="BC23" s="556"/>
      <c r="BD23" s="556"/>
      <c r="BE23" s="556"/>
      <c r="BF23" s="556"/>
      <c r="BG23" s="556"/>
      <c r="BH23" s="556"/>
      <c r="BI23" s="556"/>
      <c r="BJ23" s="556"/>
      <c r="BK23" s="556"/>
      <c r="BL23" s="556"/>
      <c r="BM23" s="556"/>
      <c r="BN23" s="556"/>
      <c r="BO23" s="556"/>
      <c r="BP23" s="556"/>
      <c r="BQ23" s="556"/>
      <c r="BR23" s="556"/>
      <c r="BS23" s="556"/>
      <c r="BT23" s="557"/>
      <c r="BU23" s="556"/>
      <c r="BV23" s="556"/>
      <c r="BW23" s="557"/>
      <c r="BX23" s="556"/>
    </row>
    <row r="24" spans="2:76" ht="14.4" x14ac:dyDescent="0.3">
      <c r="B24" s="555"/>
      <c r="C24" s="556"/>
      <c r="D24" s="556"/>
      <c r="E24" s="556"/>
      <c r="F24" s="556"/>
      <c r="G24" s="556"/>
      <c r="H24" s="556"/>
      <c r="I24" s="556"/>
      <c r="J24" s="556"/>
      <c r="K24" s="556"/>
      <c r="L24" s="556"/>
      <c r="M24" s="556"/>
      <c r="N24" s="556"/>
      <c r="O24" s="556"/>
      <c r="P24" s="556"/>
      <c r="Q24" s="556"/>
      <c r="R24" s="556"/>
      <c r="S24" s="556"/>
      <c r="T24" s="556"/>
      <c r="U24" s="556"/>
      <c r="V24" s="556"/>
      <c r="W24" s="556"/>
      <c r="X24" s="556"/>
      <c r="Y24" s="556"/>
      <c r="Z24" s="556"/>
      <c r="AA24" s="556"/>
      <c r="AB24" s="556"/>
      <c r="AC24" s="556"/>
      <c r="AD24" s="556"/>
      <c r="AE24" s="556"/>
      <c r="AF24" s="556"/>
      <c r="AG24" s="556"/>
      <c r="AH24" s="556"/>
      <c r="AI24" s="556"/>
      <c r="AJ24" s="556"/>
      <c r="AK24" s="556"/>
      <c r="AL24" s="556"/>
      <c r="AM24" s="556"/>
      <c r="AN24" s="556"/>
      <c r="AO24" s="556"/>
      <c r="AP24" s="556"/>
      <c r="AQ24" s="556"/>
      <c r="AR24" s="556"/>
      <c r="AS24" s="556"/>
      <c r="AT24" s="556"/>
      <c r="AU24" s="556"/>
      <c r="AV24" s="556"/>
      <c r="AW24" s="556"/>
      <c r="AX24" s="556"/>
      <c r="AY24" s="556"/>
      <c r="AZ24" s="556"/>
      <c r="BA24" s="556"/>
      <c r="BB24" s="556"/>
      <c r="BC24" s="556"/>
      <c r="BD24" s="556"/>
      <c r="BE24" s="556"/>
      <c r="BF24" s="556"/>
      <c r="BG24" s="556"/>
      <c r="BH24" s="556"/>
      <c r="BI24" s="556"/>
      <c r="BJ24" s="556"/>
      <c r="BK24" s="556"/>
      <c r="BL24" s="556"/>
      <c r="BM24" s="556"/>
      <c r="BN24" s="556"/>
      <c r="BO24" s="556"/>
      <c r="BP24" s="556"/>
      <c r="BQ24" s="556"/>
      <c r="BR24" s="556"/>
      <c r="BS24" s="556"/>
      <c r="BT24" s="557"/>
      <c r="BU24" s="556"/>
      <c r="BV24" s="556"/>
      <c r="BW24" s="557"/>
      <c r="BX24" s="556"/>
    </row>
    <row r="25" spans="2:76" ht="14.4" x14ac:dyDescent="0.3">
      <c r="B25" s="555"/>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c r="AC25" s="556"/>
      <c r="AD25" s="556"/>
      <c r="AE25" s="556"/>
      <c r="AF25" s="556"/>
      <c r="AG25" s="556"/>
      <c r="AH25" s="556"/>
      <c r="AI25" s="556"/>
      <c r="AJ25" s="556"/>
      <c r="AK25" s="556"/>
      <c r="AL25" s="556"/>
      <c r="AM25" s="556"/>
      <c r="AN25" s="556"/>
      <c r="AO25" s="556"/>
      <c r="AP25" s="556"/>
      <c r="AQ25" s="556"/>
      <c r="AR25" s="556"/>
      <c r="AS25" s="556"/>
      <c r="AT25" s="556"/>
      <c r="AU25" s="556"/>
      <c r="AV25" s="556"/>
      <c r="AW25" s="556"/>
      <c r="AX25" s="556"/>
      <c r="AY25" s="556"/>
      <c r="AZ25" s="556"/>
      <c r="BA25" s="556"/>
      <c r="BB25" s="556"/>
      <c r="BC25" s="556"/>
      <c r="BD25" s="556"/>
      <c r="BE25" s="556"/>
      <c r="BF25" s="556"/>
      <c r="BG25" s="556"/>
      <c r="BH25" s="556"/>
      <c r="BI25" s="556"/>
      <c r="BJ25" s="556"/>
      <c r="BK25" s="556"/>
      <c r="BL25" s="556"/>
      <c r="BM25" s="556"/>
      <c r="BN25" s="556"/>
      <c r="BO25" s="556"/>
      <c r="BP25" s="556"/>
      <c r="BQ25" s="556"/>
      <c r="BR25" s="556"/>
      <c r="BS25" s="556"/>
      <c r="BT25" s="557"/>
      <c r="BU25" s="556"/>
      <c r="BV25" s="556"/>
      <c r="BW25" s="557"/>
      <c r="BX25" s="556"/>
    </row>
    <row r="26" spans="2:76" ht="14.4" x14ac:dyDescent="0.3">
      <c r="B26" s="555"/>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c r="AC26" s="556"/>
      <c r="AD26" s="556"/>
      <c r="AE26" s="556"/>
      <c r="AF26" s="556"/>
      <c r="AG26" s="556"/>
      <c r="AH26" s="556"/>
      <c r="AI26" s="556"/>
      <c r="AJ26" s="556"/>
      <c r="AK26" s="556"/>
      <c r="AL26" s="556"/>
      <c r="AM26" s="556"/>
      <c r="AN26" s="556"/>
      <c r="AO26" s="556"/>
      <c r="AP26" s="556"/>
      <c r="AQ26" s="556"/>
      <c r="AR26" s="556"/>
      <c r="AS26" s="556"/>
      <c r="AT26" s="556"/>
      <c r="AU26" s="556"/>
      <c r="AV26" s="556"/>
      <c r="AW26" s="556"/>
      <c r="AX26" s="556"/>
      <c r="AY26" s="556"/>
      <c r="AZ26" s="556"/>
      <c r="BA26" s="556"/>
      <c r="BB26" s="556"/>
      <c r="BC26" s="556"/>
      <c r="BD26" s="556"/>
      <c r="BE26" s="556"/>
      <c r="BF26" s="556"/>
      <c r="BG26" s="556"/>
      <c r="BH26" s="556"/>
      <c r="BI26" s="556"/>
      <c r="BJ26" s="556"/>
      <c r="BK26" s="556"/>
      <c r="BL26" s="556"/>
      <c r="BM26" s="556"/>
      <c r="BN26" s="556"/>
      <c r="BO26" s="556"/>
      <c r="BP26" s="556"/>
      <c r="BQ26" s="556"/>
      <c r="BR26" s="556"/>
      <c r="BS26" s="556"/>
      <c r="BT26" s="557"/>
      <c r="BU26" s="556"/>
      <c r="BV26" s="556"/>
      <c r="BW26" s="557"/>
      <c r="BX26" s="556"/>
    </row>
    <row r="27" spans="2:76" ht="14.4" x14ac:dyDescent="0.3">
      <c r="B27" s="555"/>
      <c r="C27" s="556"/>
      <c r="D27" s="556"/>
      <c r="E27" s="556"/>
      <c r="F27" s="556"/>
      <c r="G27" s="556"/>
      <c r="H27" s="556"/>
      <c r="I27" s="556"/>
      <c r="J27" s="556"/>
      <c r="K27" s="556"/>
      <c r="L27" s="556"/>
      <c r="M27" s="556"/>
      <c r="N27" s="556"/>
      <c r="O27" s="556"/>
      <c r="P27" s="556"/>
      <c r="Q27" s="556"/>
      <c r="R27" s="556"/>
      <c r="S27" s="556"/>
      <c r="T27" s="556"/>
      <c r="U27" s="556"/>
      <c r="V27" s="556"/>
      <c r="W27" s="556"/>
      <c r="X27" s="556"/>
      <c r="Y27" s="556"/>
      <c r="Z27" s="556"/>
      <c r="AA27" s="556"/>
      <c r="AB27" s="556"/>
      <c r="AC27" s="556"/>
      <c r="AD27" s="556"/>
      <c r="AE27" s="556"/>
      <c r="AF27" s="556"/>
      <c r="AG27" s="556"/>
      <c r="AH27" s="556"/>
      <c r="AI27" s="556"/>
      <c r="AJ27" s="556"/>
      <c r="AK27" s="556"/>
      <c r="AL27" s="556"/>
      <c r="AM27" s="556"/>
      <c r="AN27" s="556"/>
      <c r="AO27" s="556"/>
      <c r="AP27" s="556"/>
      <c r="AQ27" s="556"/>
      <c r="AR27" s="556"/>
      <c r="AS27" s="556"/>
      <c r="AT27" s="556"/>
      <c r="AU27" s="556"/>
      <c r="AV27" s="556"/>
      <c r="AW27" s="556"/>
      <c r="AX27" s="556"/>
      <c r="AY27" s="556"/>
      <c r="AZ27" s="556"/>
      <c r="BA27" s="556"/>
      <c r="BB27" s="556"/>
      <c r="BC27" s="556"/>
      <c r="BD27" s="556"/>
      <c r="BE27" s="556"/>
      <c r="BF27" s="556"/>
      <c r="BG27" s="556"/>
      <c r="BH27" s="556"/>
      <c r="BI27" s="556"/>
      <c r="BJ27" s="556"/>
      <c r="BK27" s="556"/>
      <c r="BL27" s="556"/>
      <c r="BM27" s="556"/>
      <c r="BN27" s="556"/>
      <c r="BO27" s="556"/>
      <c r="BP27" s="556"/>
      <c r="BQ27" s="556"/>
      <c r="BR27" s="556"/>
      <c r="BS27" s="556"/>
      <c r="BT27" s="557"/>
      <c r="BU27" s="556"/>
      <c r="BV27" s="556"/>
      <c r="BW27" s="557"/>
      <c r="BX27" s="556"/>
    </row>
    <row r="28" spans="2:76" ht="14.4" x14ac:dyDescent="0.3">
      <c r="B28" s="555"/>
      <c r="C28" s="556"/>
      <c r="D28" s="556"/>
      <c r="E28" s="556"/>
      <c r="F28" s="556"/>
      <c r="G28" s="556"/>
      <c r="H28" s="556"/>
      <c r="I28" s="556"/>
      <c r="J28" s="556"/>
      <c r="K28" s="556"/>
      <c r="L28" s="556"/>
      <c r="M28" s="556"/>
      <c r="N28" s="556"/>
      <c r="O28" s="556"/>
      <c r="P28" s="556"/>
      <c r="Q28" s="556"/>
      <c r="R28" s="556"/>
      <c r="S28" s="556"/>
      <c r="T28" s="556"/>
      <c r="U28" s="556"/>
      <c r="V28" s="556"/>
      <c r="W28" s="556"/>
      <c r="X28" s="556"/>
      <c r="Y28" s="556"/>
      <c r="Z28" s="556"/>
      <c r="AA28" s="556"/>
      <c r="AB28" s="556"/>
      <c r="AC28" s="556"/>
      <c r="AD28" s="556"/>
      <c r="AE28" s="556"/>
      <c r="AF28" s="556"/>
      <c r="AG28" s="556"/>
      <c r="AH28" s="556"/>
      <c r="AI28" s="556"/>
      <c r="AJ28" s="556"/>
      <c r="AK28" s="556"/>
      <c r="AL28" s="556"/>
      <c r="AM28" s="556"/>
      <c r="AN28" s="556"/>
      <c r="AO28" s="556"/>
      <c r="AP28" s="556"/>
      <c r="AQ28" s="556"/>
      <c r="AR28" s="556"/>
      <c r="AS28" s="556"/>
      <c r="AT28" s="556"/>
      <c r="AU28" s="556"/>
      <c r="AV28" s="556"/>
      <c r="AW28" s="556"/>
      <c r="AX28" s="556"/>
      <c r="AY28" s="556"/>
      <c r="AZ28" s="556"/>
      <c r="BA28" s="556"/>
      <c r="BB28" s="556"/>
      <c r="BC28" s="556"/>
      <c r="BD28" s="556"/>
      <c r="BE28" s="556"/>
      <c r="BF28" s="556"/>
      <c r="BG28" s="556"/>
      <c r="BH28" s="556"/>
      <c r="BI28" s="556"/>
      <c r="BJ28" s="556"/>
      <c r="BK28" s="556"/>
      <c r="BL28" s="556"/>
      <c r="BM28" s="556"/>
      <c r="BN28" s="556"/>
      <c r="BO28" s="556"/>
      <c r="BP28" s="556"/>
      <c r="BQ28" s="556"/>
      <c r="BR28" s="556"/>
      <c r="BS28" s="556"/>
      <c r="BT28" s="557"/>
      <c r="BU28" s="556"/>
      <c r="BV28" s="556"/>
      <c r="BW28" s="557"/>
      <c r="BX28" s="556"/>
    </row>
    <row r="29" spans="2:76" ht="14.4" x14ac:dyDescent="0.3">
      <c r="B29" s="555"/>
      <c r="C29" s="556"/>
      <c r="D29" s="556"/>
      <c r="E29" s="556"/>
      <c r="F29" s="556"/>
      <c r="G29" s="556"/>
      <c r="H29" s="556"/>
      <c r="I29" s="556"/>
      <c r="J29" s="556"/>
      <c r="K29" s="556"/>
      <c r="L29" s="556"/>
      <c r="M29" s="556"/>
      <c r="N29" s="556"/>
      <c r="O29" s="556"/>
      <c r="P29" s="556"/>
      <c r="Q29" s="556"/>
      <c r="R29" s="556"/>
      <c r="S29" s="556"/>
      <c r="T29" s="556"/>
      <c r="U29" s="556"/>
      <c r="V29" s="556"/>
      <c r="W29" s="556"/>
      <c r="X29" s="556"/>
      <c r="Y29" s="556"/>
      <c r="Z29" s="556"/>
      <c r="AA29" s="556"/>
      <c r="AB29" s="556"/>
      <c r="AC29" s="556"/>
      <c r="AD29" s="556"/>
      <c r="AE29" s="556"/>
      <c r="AF29" s="556"/>
      <c r="AG29" s="556"/>
      <c r="AH29" s="556"/>
      <c r="AI29" s="556"/>
      <c r="AJ29" s="556"/>
      <c r="AK29" s="556"/>
      <c r="AL29" s="556"/>
      <c r="AM29" s="556"/>
      <c r="AN29" s="556"/>
      <c r="AO29" s="556"/>
      <c r="AP29" s="556"/>
      <c r="AQ29" s="556"/>
      <c r="AR29" s="556"/>
      <c r="AS29" s="556"/>
      <c r="AT29" s="556"/>
      <c r="AU29" s="556"/>
      <c r="AV29" s="556"/>
      <c r="AW29" s="556"/>
      <c r="AX29" s="556"/>
      <c r="AY29" s="556"/>
      <c r="AZ29" s="556"/>
      <c r="BA29" s="556"/>
      <c r="BB29" s="556"/>
      <c r="BC29" s="556"/>
      <c r="BD29" s="556"/>
      <c r="BE29" s="556"/>
      <c r="BF29" s="556"/>
      <c r="BG29" s="556"/>
      <c r="BH29" s="556"/>
      <c r="BI29" s="556"/>
      <c r="BJ29" s="556"/>
      <c r="BK29" s="556"/>
      <c r="BL29" s="556"/>
      <c r="BM29" s="556"/>
      <c r="BN29" s="556"/>
      <c r="BO29" s="556"/>
      <c r="BP29" s="556"/>
      <c r="BQ29" s="556"/>
      <c r="BR29" s="556"/>
      <c r="BS29" s="556"/>
      <c r="BT29" s="557"/>
      <c r="BU29" s="556"/>
      <c r="BV29" s="556"/>
      <c r="BW29" s="557"/>
      <c r="BX29" s="556"/>
    </row>
    <row r="30" spans="2:76" ht="14.4" x14ac:dyDescent="0.3">
      <c r="B30" s="555"/>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c r="AE30" s="556"/>
      <c r="AF30" s="556"/>
      <c r="AG30" s="556"/>
      <c r="AH30" s="556"/>
      <c r="AI30" s="556"/>
      <c r="AJ30" s="556"/>
      <c r="AK30" s="556"/>
      <c r="AL30" s="556"/>
      <c r="AM30" s="556"/>
      <c r="AN30" s="556"/>
      <c r="AO30" s="556"/>
      <c r="AP30" s="556"/>
      <c r="AQ30" s="556"/>
      <c r="AR30" s="556"/>
      <c r="AS30" s="556"/>
      <c r="AT30" s="556"/>
      <c r="AU30" s="556"/>
      <c r="AV30" s="556"/>
      <c r="AW30" s="556"/>
      <c r="AX30" s="556"/>
      <c r="AY30" s="556"/>
      <c r="AZ30" s="556"/>
      <c r="BA30" s="556"/>
      <c r="BB30" s="556"/>
      <c r="BC30" s="556"/>
      <c r="BD30" s="556"/>
      <c r="BE30" s="556"/>
      <c r="BF30" s="556"/>
      <c r="BG30" s="556"/>
      <c r="BH30" s="556"/>
      <c r="BI30" s="556"/>
      <c r="BJ30" s="556"/>
      <c r="BK30" s="556"/>
      <c r="BL30" s="556"/>
      <c r="BM30" s="556"/>
      <c r="BN30" s="556"/>
      <c r="BO30" s="556"/>
      <c r="BP30" s="556"/>
      <c r="BQ30" s="556"/>
      <c r="BR30" s="556"/>
      <c r="BS30" s="556"/>
      <c r="BT30" s="557"/>
      <c r="BU30" s="556"/>
      <c r="BV30" s="556"/>
      <c r="BW30" s="557"/>
      <c r="BX30" s="556"/>
    </row>
    <row r="31" spans="2:76" ht="51.75" customHeight="1" x14ac:dyDescent="0.3">
      <c r="B31" s="555"/>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c r="AE31" s="556"/>
      <c r="AF31" s="556"/>
      <c r="AG31" s="556"/>
      <c r="AH31" s="556"/>
      <c r="AI31" s="556"/>
      <c r="AJ31" s="556"/>
      <c r="AK31" s="556"/>
      <c r="AL31" s="556"/>
      <c r="AM31" s="556"/>
      <c r="AN31" s="556"/>
      <c r="AO31" s="556"/>
      <c r="AP31" s="556"/>
      <c r="AQ31" s="556"/>
      <c r="AR31" s="556"/>
      <c r="AS31" s="556"/>
      <c r="AT31" s="556"/>
      <c r="AU31" s="556"/>
      <c r="AV31" s="556"/>
      <c r="AW31" s="556"/>
      <c r="AX31" s="556"/>
      <c r="AY31" s="556"/>
      <c r="AZ31" s="556"/>
      <c r="BA31" s="556"/>
      <c r="BB31" s="556"/>
      <c r="BC31" s="556"/>
      <c r="BD31" s="556"/>
      <c r="BE31" s="556"/>
      <c r="BF31" s="556"/>
      <c r="BG31" s="556"/>
      <c r="BH31" s="556"/>
      <c r="BI31" s="556"/>
      <c r="BJ31" s="556"/>
      <c r="BK31" s="556"/>
      <c r="BL31" s="556"/>
      <c r="BM31" s="556"/>
      <c r="BN31" s="556"/>
      <c r="BO31" s="556"/>
      <c r="BP31" s="556"/>
      <c r="BQ31" s="556"/>
      <c r="BR31" s="556"/>
      <c r="BS31" s="556"/>
      <c r="BT31" s="557"/>
      <c r="BU31" s="556"/>
      <c r="BV31" s="556"/>
      <c r="BW31" s="557"/>
      <c r="BX31" s="556"/>
    </row>
    <row r="32" spans="2:76" ht="51.75" customHeight="1" x14ac:dyDescent="0.3">
      <c r="B32" s="555"/>
      <c r="C32" s="556"/>
      <c r="D32" s="556"/>
      <c r="E32" s="556"/>
      <c r="F32" s="556"/>
      <c r="G32" s="556"/>
      <c r="H32" s="556"/>
      <c r="I32" s="556"/>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6"/>
      <c r="AN32" s="556"/>
      <c r="AO32" s="556"/>
      <c r="AP32" s="556"/>
      <c r="AQ32" s="556"/>
      <c r="AR32" s="556"/>
      <c r="AS32" s="556"/>
      <c r="AT32" s="556"/>
      <c r="AU32" s="556"/>
      <c r="AV32" s="556"/>
      <c r="AW32" s="556"/>
      <c r="AX32" s="556"/>
      <c r="AY32" s="556"/>
      <c r="AZ32" s="556"/>
      <c r="BA32" s="556"/>
      <c r="BB32" s="556"/>
      <c r="BC32" s="556"/>
      <c r="BD32" s="556"/>
      <c r="BE32" s="556"/>
      <c r="BF32" s="556"/>
      <c r="BG32" s="556"/>
      <c r="BH32" s="556"/>
      <c r="BI32" s="556"/>
      <c r="BJ32" s="556"/>
      <c r="BK32" s="556"/>
      <c r="BL32" s="556"/>
      <c r="BM32" s="556"/>
      <c r="BN32" s="556"/>
      <c r="BO32" s="556"/>
      <c r="BP32" s="556"/>
      <c r="BQ32" s="556"/>
      <c r="BR32" s="556"/>
      <c r="BS32" s="556"/>
      <c r="BT32" s="557"/>
      <c r="BU32" s="556"/>
      <c r="BV32" s="556"/>
      <c r="BW32" s="557"/>
      <c r="BX32" s="556"/>
    </row>
  </sheetData>
  <autoFilter ref="B1:BX3">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hiddenButton="1" showButton="0"/>
    <filterColumn colId="54" hiddenButton="1" showButton="0"/>
    <filterColumn colId="55" hiddenButton="1" showButton="0"/>
    <filterColumn colId="56" hiddenButton="1" showButton="0"/>
    <filterColumn colId="57" hiddenButton="1" showButton="0"/>
    <filterColumn colId="58" hiddenButton="1" showButton="0"/>
    <filterColumn colId="59" showButton="0"/>
    <filterColumn colId="60" showButton="0"/>
    <filterColumn colId="61" showButton="0"/>
    <filterColumn colId="62" showButton="0"/>
    <filterColumn colId="63" showButton="0"/>
    <filterColumn colId="64" showButton="0"/>
    <filterColumn colId="65" showButton="0"/>
    <filterColumn colId="66" showButton="0"/>
    <filterColumn colId="67" showButton="0"/>
    <filterColumn colId="68" showButton="0"/>
    <filterColumn colId="69" showButton="0"/>
  </autoFilter>
  <mergeCells count="29">
    <mergeCell ref="BU2:BW2"/>
    <mergeCell ref="B1:BT1"/>
    <mergeCell ref="B2:B3"/>
    <mergeCell ref="C2:C3"/>
    <mergeCell ref="D2:D3"/>
    <mergeCell ref="E2:E3"/>
    <mergeCell ref="F2:F3"/>
    <mergeCell ref="G2:I2"/>
    <mergeCell ref="J2:L2"/>
    <mergeCell ref="S2:U2"/>
    <mergeCell ref="V2:X2"/>
    <mergeCell ref="Y2:AA2"/>
    <mergeCell ref="AB2:AD2"/>
    <mergeCell ref="AE2:AG2"/>
    <mergeCell ref="AH2:AJ2"/>
    <mergeCell ref="BR2:BT2"/>
    <mergeCell ref="AW2:AY2"/>
    <mergeCell ref="M2:O2"/>
    <mergeCell ref="P2:R2"/>
    <mergeCell ref="BO2:BQ2"/>
    <mergeCell ref="AQ2:AS2"/>
    <mergeCell ref="AN2:AP2"/>
    <mergeCell ref="AZ2:BB2"/>
    <mergeCell ref="AK2:AM2"/>
    <mergeCell ref="AT2:AV2"/>
    <mergeCell ref="BI2:BK2"/>
    <mergeCell ref="BL2:BN2"/>
    <mergeCell ref="BC2:BE2"/>
    <mergeCell ref="BF2:BH2"/>
  </mergeCells>
  <pageMargins left="0.7" right="0.7" top="0.75" bottom="0.75" header="0.3" footer="0.3"/>
  <pageSetup orientation="portrait" verticalDpi="0" r:id="rId1"/>
  <drawing r:id="rId2"/>
  <legacyDrawing r:id="rId3"/>
  <tableParts count="1">
    <tablePart r:id="rId4"/>
  </tableParts>
  <extLst>
    <ext xmlns:x14="http://schemas.microsoft.com/office/spreadsheetml/2009/9/main" uri="{CCE6A557-97BC-4b89-ADB6-D9C93CAAB3DF}">
      <x14:dataValidations xmlns:xm="http://schemas.microsoft.com/office/excel/2006/main" count="4">
        <x14:dataValidation type="list" allowBlank="1" showInputMessage="1" showErrorMessage="1">
          <x14:formula1>
            <xm:f>data!$B$2:$B$3</xm:f>
          </x14:formula1>
          <xm:sqref>E1:E1048576</xm:sqref>
        </x14:dataValidation>
        <x14:dataValidation type="list" allowBlank="1" showInputMessage="1" showErrorMessage="1">
          <x14:formula1>
            <xm:f>data!$D$2:$D$22</xm:f>
          </x14:formula1>
          <xm:sqref>F1:F1048576</xm:sqref>
        </x14:dataValidation>
        <x14:dataValidation type="list" allowBlank="1" showInputMessage="1" showErrorMessage="1">
          <x14:formula1>
            <xm:f>data!$A$2:$A$21</xm:f>
          </x14:formula1>
          <xm:sqref>C1 C4:C1048576</xm:sqref>
        </x14:dataValidation>
        <x14:dataValidation type="list" allowBlank="1" showInputMessage="1" showErrorMessage="1">
          <x14:formula1>
            <xm:f>data!$A$2:$A$16</xm:f>
          </x14:formula1>
          <xm:sqref>D1:D1048576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6" tint="0.59999389629810485"/>
    <pageSetUpPr fitToPage="1"/>
  </sheetPr>
  <dimension ref="B1:DT611"/>
  <sheetViews>
    <sheetView showGridLines="0" showZeros="0" view="pageLayout" topLeftCell="A5" zoomScaleNormal="100" workbookViewId="0">
      <selection activeCell="D609" sqref="D609"/>
    </sheetView>
  </sheetViews>
  <sheetFormatPr defaultColWidth="8.88671875" defaultRowHeight="14.4" x14ac:dyDescent="0.3"/>
  <cols>
    <col min="1" max="1" width="1.33203125" style="524" customWidth="1"/>
    <col min="2" max="2" width="18.6640625" style="549" customWidth="1"/>
    <col min="3" max="3" width="14.109375" style="549" customWidth="1"/>
    <col min="4" max="4" width="11.5546875" style="545" customWidth="1"/>
    <col min="5" max="5" width="15.6640625" style="545" customWidth="1"/>
    <col min="6" max="6" width="13" style="545" customWidth="1"/>
    <col min="7" max="7" width="17.33203125" style="545" bestFit="1" customWidth="1"/>
    <col min="8" max="8" width="38.88671875" style="545" bestFit="1" customWidth="1"/>
    <col min="9" max="9" width="13.109375" style="524" bestFit="1" customWidth="1"/>
    <col min="10" max="11" width="11" style="524" customWidth="1"/>
    <col min="12" max="12" width="11" style="523" customWidth="1"/>
    <col min="13" max="13" width="6.6640625" style="523" customWidth="1"/>
    <col min="14" max="14" width="6.33203125" style="523" customWidth="1"/>
    <col min="15" max="26" width="11" style="523" customWidth="1"/>
    <col min="27" max="27" width="22.6640625" style="523" customWidth="1"/>
    <col min="28" max="44" width="22.6640625" style="523" hidden="1" customWidth="1"/>
    <col min="45" max="48" width="22.6640625" style="523" customWidth="1"/>
    <col min="49" max="49" width="27.88671875" style="524" customWidth="1"/>
    <col min="50" max="50" width="67.33203125" style="524" bestFit="1" customWidth="1"/>
    <col min="51" max="122" width="8.88671875" style="181"/>
    <col min="123" max="16384" width="8.88671875" style="524"/>
  </cols>
  <sheetData>
    <row r="1" spans="2:123" ht="7.95" customHeight="1" x14ac:dyDescent="0.3"/>
    <row r="2" spans="2:123" ht="33" customHeight="1" x14ac:dyDescent="0.3">
      <c r="B2" s="915" t="s">
        <v>414</v>
      </c>
      <c r="C2" s="915"/>
      <c r="D2" s="915"/>
      <c r="E2" s="915"/>
      <c r="F2" s="915"/>
      <c r="G2" s="915"/>
      <c r="H2" s="915"/>
      <c r="I2" s="915"/>
      <c r="J2" s="915"/>
      <c r="K2" s="915"/>
      <c r="L2" s="915"/>
      <c r="M2" s="915"/>
      <c r="N2" s="915"/>
      <c r="O2" s="915"/>
      <c r="P2" s="915" t="s">
        <v>541</v>
      </c>
      <c r="Q2" s="915"/>
      <c r="R2" s="915"/>
      <c r="S2" s="915"/>
      <c r="T2" s="915"/>
      <c r="U2" s="915"/>
      <c r="V2" s="915" t="s">
        <v>1219</v>
      </c>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550"/>
    </row>
    <row r="3" spans="2:123" ht="18" customHeight="1" x14ac:dyDescent="0.3">
      <c r="B3" s="916">
        <f>Definition!B23</f>
        <v>43585</v>
      </c>
      <c r="C3" s="916"/>
      <c r="D3" s="916"/>
      <c r="E3" s="916"/>
      <c r="F3" s="916"/>
      <c r="G3" s="916"/>
      <c r="H3" s="916"/>
      <c r="I3" s="916"/>
      <c r="J3" s="916"/>
      <c r="K3" s="916"/>
      <c r="L3" s="916"/>
      <c r="M3" s="915"/>
      <c r="N3" s="915"/>
      <c r="O3" s="915"/>
      <c r="P3" s="915"/>
      <c r="Q3" s="915"/>
      <c r="R3" s="915"/>
      <c r="S3" s="915"/>
      <c r="T3" s="915"/>
      <c r="U3" s="915"/>
      <c r="V3" s="915"/>
      <c r="W3" s="915"/>
      <c r="X3" s="915"/>
      <c r="Y3" s="915"/>
      <c r="Z3" s="915"/>
      <c r="AA3" s="915"/>
      <c r="AB3" s="915"/>
      <c r="AC3" s="915"/>
      <c r="AD3" s="915"/>
      <c r="AE3" s="915"/>
      <c r="AF3" s="915"/>
      <c r="AG3" s="915"/>
      <c r="AH3" s="915"/>
      <c r="AI3" s="915"/>
      <c r="AJ3" s="915"/>
      <c r="AK3" s="915"/>
      <c r="AL3" s="915"/>
      <c r="AM3" s="915"/>
      <c r="AN3" s="915"/>
      <c r="AO3" s="915"/>
      <c r="AP3" s="915"/>
      <c r="AQ3" s="915"/>
      <c r="AR3" s="915"/>
      <c r="AS3" s="915"/>
      <c r="AT3" s="915"/>
      <c r="AU3" s="915"/>
      <c r="AV3" s="915"/>
      <c r="AW3" s="915"/>
      <c r="AX3" s="550"/>
    </row>
    <row r="4" spans="2:123" ht="18" hidden="1" customHeight="1" x14ac:dyDescent="0.3">
      <c r="B4" s="914"/>
      <c r="C4" s="914"/>
      <c r="D4" s="914"/>
      <c r="E4" s="914"/>
      <c r="F4" s="525"/>
      <c r="G4" s="525"/>
      <c r="H4" s="525"/>
      <c r="I4" s="526"/>
      <c r="J4" s="526"/>
      <c r="K4" s="526"/>
      <c r="L4" s="527"/>
      <c r="M4" s="527"/>
      <c r="O4" s="527"/>
      <c r="P4" s="527"/>
      <c r="Q4" s="527"/>
      <c r="R4" s="527"/>
      <c r="S4" s="527"/>
      <c r="T4" s="527"/>
      <c r="U4" s="527"/>
      <c r="V4" s="527"/>
      <c r="W4" s="527"/>
      <c r="X4" s="527"/>
      <c r="Y4" s="527"/>
      <c r="Z4" s="527"/>
      <c r="AA4" s="527"/>
      <c r="AB4" s="527"/>
      <c r="AC4" s="527"/>
      <c r="AD4" s="527"/>
      <c r="AE4" s="528"/>
      <c r="AF4" s="527"/>
      <c r="AG4" s="527"/>
    </row>
    <row r="5" spans="2:123" s="529" customFormat="1" ht="69.75" customHeight="1" x14ac:dyDescent="0.3">
      <c r="B5" s="620" t="s">
        <v>408</v>
      </c>
      <c r="C5" s="551" t="s">
        <v>1606</v>
      </c>
      <c r="D5" s="552" t="s">
        <v>1295</v>
      </c>
      <c r="E5" s="552" t="s">
        <v>409</v>
      </c>
      <c r="F5" s="552" t="s">
        <v>392</v>
      </c>
      <c r="G5" s="552" t="s">
        <v>0</v>
      </c>
      <c r="H5" s="552" t="s">
        <v>1515</v>
      </c>
      <c r="I5" s="551" t="s">
        <v>1371</v>
      </c>
      <c r="J5" s="551" t="s">
        <v>421</v>
      </c>
      <c r="K5" s="551" t="s">
        <v>1562</v>
      </c>
      <c r="L5" s="551" t="s">
        <v>400</v>
      </c>
      <c r="M5" s="551" t="s">
        <v>422</v>
      </c>
      <c r="N5" s="551" t="s">
        <v>536</v>
      </c>
      <c r="O5" s="551" t="s">
        <v>423</v>
      </c>
      <c r="P5" s="551" t="s">
        <v>415</v>
      </c>
      <c r="Q5" s="551" t="s">
        <v>416</v>
      </c>
      <c r="R5" s="551" t="s">
        <v>1014</v>
      </c>
      <c r="S5" s="551" t="s">
        <v>525</v>
      </c>
      <c r="T5" s="551" t="s">
        <v>526</v>
      </c>
      <c r="U5" s="551" t="s">
        <v>848</v>
      </c>
      <c r="V5" s="551" t="s">
        <v>852</v>
      </c>
      <c r="W5" s="551" t="s">
        <v>856</v>
      </c>
      <c r="X5" s="551" t="s">
        <v>945</v>
      </c>
      <c r="Y5" s="551" t="s">
        <v>1071</v>
      </c>
      <c r="Z5" s="551" t="s">
        <v>1388</v>
      </c>
      <c r="AA5" s="551" t="s">
        <v>1083</v>
      </c>
      <c r="AB5" s="551" t="s">
        <v>1084</v>
      </c>
      <c r="AC5" s="551" t="s">
        <v>963</v>
      </c>
      <c r="AD5" s="551" t="s">
        <v>964</v>
      </c>
      <c r="AE5" s="551" t="s">
        <v>965</v>
      </c>
      <c r="AF5" s="551" t="s">
        <v>966</v>
      </c>
      <c r="AG5" s="551" t="s">
        <v>968</v>
      </c>
      <c r="AH5" s="551" t="s">
        <v>967</v>
      </c>
      <c r="AI5" s="551" t="s">
        <v>1015</v>
      </c>
      <c r="AJ5" s="551" t="s">
        <v>969</v>
      </c>
      <c r="AK5" s="551" t="s">
        <v>970</v>
      </c>
      <c r="AL5" s="551" t="s">
        <v>971</v>
      </c>
      <c r="AM5" s="551" t="s">
        <v>972</v>
      </c>
      <c r="AN5" s="551" t="s">
        <v>973</v>
      </c>
      <c r="AO5" s="551" t="s">
        <v>974</v>
      </c>
      <c r="AP5" s="551" t="s">
        <v>977</v>
      </c>
      <c r="AQ5" s="551" t="s">
        <v>1072</v>
      </c>
      <c r="AR5" s="551" t="s">
        <v>1165</v>
      </c>
      <c r="AS5" s="551" t="s">
        <v>1957</v>
      </c>
      <c r="AT5" s="551" t="s">
        <v>2089</v>
      </c>
      <c r="AU5" s="551" t="s">
        <v>2090</v>
      </c>
      <c r="AV5" s="551" t="s">
        <v>2091</v>
      </c>
      <c r="AW5" s="551" t="s">
        <v>1166</v>
      </c>
      <c r="AX5" s="551" t="s">
        <v>511</v>
      </c>
      <c r="AY5" s="551" t="s">
        <v>456</v>
      </c>
      <c r="AZ5" s="533"/>
      <c r="BA5" s="533"/>
      <c r="BB5" s="533"/>
      <c r="BC5" s="533"/>
      <c r="BD5" s="533"/>
      <c r="BE5" s="533"/>
      <c r="BF5" s="533"/>
      <c r="BG5" s="533"/>
      <c r="BH5" s="533"/>
      <c r="BI5" s="533"/>
      <c r="BJ5" s="533"/>
      <c r="BK5" s="533"/>
      <c r="BL5" s="533"/>
      <c r="BM5" s="533"/>
      <c r="BN5" s="533"/>
      <c r="BO5" s="533"/>
      <c r="BP5" s="533"/>
      <c r="BQ5" s="533"/>
      <c r="BR5" s="533"/>
      <c r="BS5" s="533"/>
      <c r="BT5" s="533"/>
      <c r="BU5" s="533"/>
      <c r="BV5" s="533"/>
      <c r="BW5" s="533"/>
      <c r="BX5" s="533"/>
      <c r="BY5" s="533"/>
      <c r="BZ5" s="533"/>
      <c r="CA5" s="533"/>
      <c r="CB5" s="533"/>
      <c r="CC5" s="533"/>
      <c r="CD5" s="533"/>
      <c r="CE5" s="533"/>
      <c r="CF5" s="533"/>
      <c r="CG5" s="533"/>
      <c r="CH5" s="533"/>
      <c r="CI5" s="533"/>
      <c r="CJ5" s="533"/>
      <c r="CK5" s="533"/>
      <c r="CL5" s="533"/>
      <c r="CM5" s="533"/>
      <c r="CN5" s="533"/>
      <c r="CO5" s="533"/>
      <c r="CP5" s="533"/>
      <c r="CQ5" s="533"/>
      <c r="CR5" s="533"/>
      <c r="CS5" s="533"/>
      <c r="CT5" s="533"/>
      <c r="CU5" s="533"/>
      <c r="CV5" s="533"/>
      <c r="CW5" s="533"/>
      <c r="CX5" s="533"/>
      <c r="CY5" s="533"/>
      <c r="CZ5" s="533"/>
      <c r="DA5" s="533"/>
      <c r="DB5" s="533"/>
      <c r="DC5" s="533"/>
      <c r="DD5" s="533"/>
      <c r="DE5" s="533"/>
      <c r="DF5" s="533"/>
      <c r="DG5" s="533"/>
      <c r="DH5" s="533"/>
      <c r="DI5" s="533"/>
      <c r="DJ5" s="533"/>
      <c r="DK5" s="533"/>
      <c r="DL5" s="533"/>
      <c r="DM5" s="533"/>
      <c r="DN5" s="533"/>
      <c r="DO5" s="533"/>
      <c r="DP5" s="533"/>
      <c r="DQ5" s="533"/>
      <c r="DR5" s="533"/>
      <c r="DS5" s="533"/>
    </row>
    <row r="6" spans="2:123" s="529" customFormat="1" ht="18.75" hidden="1" customHeight="1" x14ac:dyDescent="0.3">
      <c r="B6" s="530">
        <v>42737</v>
      </c>
      <c r="C6" s="530" t="str">
        <f>MONTH(Table_NFI[[#This Row],[Distribution Date]]) &amp; "/" &amp; YEAR(Table_NFI[[#This Row],[Distribution Date]])</f>
        <v>1/2017</v>
      </c>
      <c r="D6" s="196" t="s">
        <v>420</v>
      </c>
      <c r="E6" s="196" t="s">
        <v>424</v>
      </c>
      <c r="F6" s="196" t="s">
        <v>378</v>
      </c>
      <c r="G6" s="195" t="s">
        <v>309</v>
      </c>
      <c r="H6" s="196" t="s">
        <v>323</v>
      </c>
      <c r="I6" s="181"/>
      <c r="J6" s="531"/>
      <c r="K6" s="531"/>
      <c r="L6" s="531"/>
      <c r="M6" s="531"/>
      <c r="N6" s="531"/>
      <c r="O6" s="531"/>
      <c r="P6" s="531"/>
      <c r="Q6" s="531"/>
      <c r="R6" s="531"/>
      <c r="S6" s="531"/>
      <c r="T6" s="531"/>
      <c r="U6" s="531"/>
      <c r="V6" s="531"/>
      <c r="W6" s="531"/>
      <c r="X6" s="531"/>
      <c r="Y6" s="531"/>
      <c r="Z6" s="531"/>
      <c r="AA6" s="531"/>
      <c r="AB6" s="531">
        <v>17</v>
      </c>
      <c r="AC6" s="532" t="e">
        <f>IF(NFI_Expiration=1,IF(#REF!&lt;VLOOKUP(L$5,NFI,5,0),1,0)*Table_NFI[[#This Row],[NFI Core Kit]],Table_NFI[NFI Core Kit])</f>
        <v>#REF!</v>
      </c>
      <c r="AD6" s="532" t="e">
        <f>IF(NFI_Expiration=1,IF(#REF!&lt;VLOOKUP(M$5,NFI,5,0),1,0)*Table_NFI[[#This Row],[Sanitary Kit]],Table_NFI[Sanitary Kit])</f>
        <v>#REF!</v>
      </c>
      <c r="AE6" s="532" t="e">
        <f>IF(NFI_Expiration=1,IF(#REF!&lt;VLOOKUP(N$5,NFI,5,0),1,0)*Table_NFI[[#This Row],[Mosquito net]],Table_NFI[Mosquito net])</f>
        <v>#REF!</v>
      </c>
      <c r="AF6" s="532"/>
      <c r="AG6" s="532"/>
      <c r="AH6" s="532"/>
      <c r="AI6" s="532"/>
      <c r="AJ6" s="532"/>
      <c r="AK6" s="532"/>
      <c r="AL6" s="532"/>
      <c r="AM6" s="532"/>
      <c r="AN6" s="532"/>
      <c r="AO6" s="532"/>
      <c r="AP6" s="532">
        <f>IF(Table_NFI[[#This Row],[Winter Clothes Adult]]+Table_NFI[[#This Row],[Winter Clothes Children]]+Table_NFI[[#This Row],[Winter Items Other]]+Table_NFI[[#This Row],[Winter Blanket]]&gt;0,1,0)</f>
        <v>0</v>
      </c>
      <c r="AQ6" s="532"/>
      <c r="AR6" s="532"/>
      <c r="AS6" s="532"/>
      <c r="AT6" s="532"/>
      <c r="AU6" s="532"/>
      <c r="AV6" s="532"/>
      <c r="AW6" s="532"/>
      <c r="AX6" s="203" t="str">
        <f>IFERROR(VLOOKUP(Table_NFI[[#This Row],[Location]],CL,2,0),"")</f>
        <v>MMR001CMP040</v>
      </c>
      <c r="AY6" s="181" t="s">
        <v>1235</v>
      </c>
      <c r="AZ6" s="533"/>
      <c r="BA6" s="533"/>
      <c r="BB6" s="533"/>
      <c r="BC6" s="533"/>
      <c r="BD6" s="533"/>
      <c r="BE6" s="533"/>
      <c r="BF6" s="533"/>
      <c r="BG6" s="533"/>
      <c r="BH6" s="533"/>
      <c r="BI6" s="533"/>
      <c r="BJ6" s="533"/>
      <c r="BK6" s="533"/>
      <c r="BL6" s="533"/>
      <c r="BM6" s="533"/>
      <c r="BN6" s="533"/>
      <c r="BO6" s="533"/>
      <c r="BP6" s="533"/>
      <c r="BQ6" s="533"/>
      <c r="BR6" s="533"/>
      <c r="BS6" s="533"/>
      <c r="BT6" s="533"/>
      <c r="BU6" s="533"/>
      <c r="BV6" s="533"/>
      <c r="BW6" s="533"/>
      <c r="BX6" s="533"/>
      <c r="BY6" s="533"/>
      <c r="BZ6" s="533"/>
      <c r="CA6" s="533"/>
      <c r="CB6" s="533"/>
      <c r="CC6" s="533"/>
      <c r="CD6" s="533"/>
      <c r="CE6" s="533"/>
      <c r="CF6" s="533"/>
      <c r="CG6" s="533"/>
      <c r="CH6" s="533"/>
      <c r="CI6" s="533"/>
      <c r="CJ6" s="533"/>
      <c r="CK6" s="533"/>
      <c r="CL6" s="533"/>
      <c r="CM6" s="533"/>
      <c r="CN6" s="533"/>
      <c r="CO6" s="533"/>
      <c r="CP6" s="533"/>
      <c r="CQ6" s="533"/>
      <c r="CR6" s="533"/>
      <c r="CS6" s="533"/>
      <c r="CT6" s="533"/>
      <c r="CU6" s="533"/>
      <c r="CV6" s="533"/>
      <c r="CW6" s="533"/>
      <c r="CX6" s="533"/>
      <c r="CY6" s="533"/>
      <c r="CZ6" s="533"/>
      <c r="DA6" s="533"/>
      <c r="DB6" s="533"/>
      <c r="DC6" s="533"/>
      <c r="DD6" s="533"/>
      <c r="DE6" s="533"/>
      <c r="DF6" s="533"/>
      <c r="DG6" s="533"/>
      <c r="DH6" s="533"/>
      <c r="DI6" s="533"/>
      <c r="DJ6" s="533"/>
      <c r="DK6" s="533"/>
      <c r="DL6" s="533"/>
      <c r="DM6" s="533"/>
      <c r="DN6" s="533"/>
      <c r="DO6" s="533"/>
      <c r="DP6" s="533"/>
      <c r="DQ6" s="533"/>
      <c r="DR6" s="533"/>
      <c r="DS6" s="533"/>
    </row>
    <row r="7" spans="2:123" s="529" customFormat="1" ht="18.75" hidden="1" customHeight="1" x14ac:dyDescent="0.3">
      <c r="B7" s="530">
        <v>42745</v>
      </c>
      <c r="C7" s="530" t="str">
        <f>MONTH(Table_NFI[[#This Row],[Distribution Date]]) &amp; "/" &amp; YEAR(Table_NFI[[#This Row],[Distribution Date]])</f>
        <v>1/2017</v>
      </c>
      <c r="D7" s="196" t="s">
        <v>420</v>
      </c>
      <c r="E7" s="196" t="s">
        <v>1087</v>
      </c>
      <c r="F7" s="196" t="s">
        <v>378</v>
      </c>
      <c r="G7" s="195" t="s">
        <v>237</v>
      </c>
      <c r="H7" s="196" t="s">
        <v>254</v>
      </c>
      <c r="I7" s="181"/>
      <c r="J7" s="531"/>
      <c r="K7" s="531"/>
      <c r="L7" s="531">
        <v>1</v>
      </c>
      <c r="M7" s="531">
        <v>1</v>
      </c>
      <c r="N7" s="531">
        <v>4</v>
      </c>
      <c r="O7" s="531">
        <v>1</v>
      </c>
      <c r="P7" s="531">
        <v>4</v>
      </c>
      <c r="Q7" s="531">
        <v>1</v>
      </c>
      <c r="R7" s="531"/>
      <c r="S7" s="531">
        <v>1</v>
      </c>
      <c r="T7" s="531">
        <v>4</v>
      </c>
      <c r="U7" s="531"/>
      <c r="V7" s="531"/>
      <c r="W7" s="531"/>
      <c r="X7" s="531"/>
      <c r="Y7" s="531">
        <v>1</v>
      </c>
      <c r="Z7" s="531"/>
      <c r="AA7" s="531"/>
      <c r="AB7" s="531"/>
      <c r="AC7" s="532"/>
      <c r="AD7" s="532"/>
      <c r="AE7" s="532"/>
      <c r="AF7" s="532"/>
      <c r="AG7" s="532"/>
      <c r="AH7" s="532"/>
      <c r="AI7" s="532"/>
      <c r="AJ7" s="532"/>
      <c r="AK7" s="532"/>
      <c r="AL7" s="532"/>
      <c r="AM7" s="532"/>
      <c r="AN7" s="532"/>
      <c r="AO7" s="532"/>
      <c r="AP7" s="532"/>
      <c r="AQ7" s="532"/>
      <c r="AR7" s="532"/>
      <c r="AS7" s="532"/>
      <c r="AT7" s="532"/>
      <c r="AU7" s="532"/>
      <c r="AV7" s="532"/>
      <c r="AW7" s="532"/>
      <c r="AX7" s="203" t="str">
        <f>IFERROR(VLOOKUP(Table_NFI[[#This Row],[Location]],CL,2,0),"")</f>
        <v>MMR001CMP019</v>
      </c>
      <c r="AY7" s="181" t="s">
        <v>1235</v>
      </c>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c r="CC7" s="533"/>
      <c r="CD7" s="533"/>
      <c r="CE7" s="533"/>
      <c r="CF7" s="533"/>
      <c r="CG7" s="533"/>
      <c r="CH7" s="533"/>
      <c r="CI7" s="533"/>
      <c r="CJ7" s="533"/>
      <c r="CK7" s="533"/>
      <c r="CL7" s="533"/>
      <c r="CM7" s="533"/>
      <c r="CN7" s="533"/>
      <c r="CO7" s="533"/>
      <c r="CP7" s="533"/>
      <c r="CQ7" s="533"/>
      <c r="CR7" s="533"/>
      <c r="CS7" s="533"/>
      <c r="CT7" s="533"/>
      <c r="CU7" s="533"/>
      <c r="CV7" s="533"/>
      <c r="CW7" s="533"/>
      <c r="CX7" s="533"/>
      <c r="CY7" s="533"/>
      <c r="CZ7" s="533"/>
      <c r="DA7" s="533"/>
      <c r="DB7" s="533"/>
      <c r="DC7" s="533"/>
      <c r="DD7" s="533"/>
      <c r="DE7" s="533"/>
      <c r="DF7" s="533"/>
      <c r="DG7" s="533"/>
      <c r="DH7" s="533"/>
      <c r="DI7" s="533"/>
      <c r="DJ7" s="533"/>
      <c r="DK7" s="533"/>
      <c r="DL7" s="533"/>
      <c r="DM7" s="533"/>
      <c r="DN7" s="533"/>
      <c r="DO7" s="533"/>
      <c r="DP7" s="533"/>
      <c r="DQ7" s="533"/>
      <c r="DR7" s="533"/>
      <c r="DS7" s="533"/>
    </row>
    <row r="8" spans="2:123" s="529" customFormat="1" ht="18.75" hidden="1" customHeight="1" x14ac:dyDescent="0.3">
      <c r="B8" s="530">
        <v>42745</v>
      </c>
      <c r="C8" s="530" t="str">
        <f>MONTH(Table_NFI[[#This Row],[Distribution Date]]) &amp; "/" &amp; YEAR(Table_NFI[[#This Row],[Distribution Date]])</f>
        <v>1/2017</v>
      </c>
      <c r="D8" s="196" t="s">
        <v>420</v>
      </c>
      <c r="E8" s="196" t="s">
        <v>1087</v>
      </c>
      <c r="F8" s="196" t="s">
        <v>378</v>
      </c>
      <c r="G8" s="195" t="s">
        <v>309</v>
      </c>
      <c r="H8" s="196" t="s">
        <v>329</v>
      </c>
      <c r="I8" s="181"/>
      <c r="J8" s="531"/>
      <c r="K8" s="531"/>
      <c r="L8" s="531">
        <v>6</v>
      </c>
      <c r="M8" s="531">
        <v>6</v>
      </c>
      <c r="N8" s="531">
        <v>10</v>
      </c>
      <c r="O8" s="531">
        <v>6</v>
      </c>
      <c r="P8" s="531">
        <v>18</v>
      </c>
      <c r="Q8" s="531">
        <v>6</v>
      </c>
      <c r="R8" s="531"/>
      <c r="S8" s="531">
        <v>6</v>
      </c>
      <c r="T8" s="531">
        <v>17</v>
      </c>
      <c r="U8" s="531"/>
      <c r="V8" s="531"/>
      <c r="W8" s="531"/>
      <c r="X8" s="531"/>
      <c r="Y8" s="531">
        <v>6</v>
      </c>
      <c r="Z8" s="531"/>
      <c r="AA8" s="531"/>
      <c r="AB8" s="531"/>
      <c r="AC8" s="532"/>
      <c r="AD8" s="532"/>
      <c r="AE8" s="532"/>
      <c r="AF8" s="532"/>
      <c r="AG8" s="532"/>
      <c r="AH8" s="532"/>
      <c r="AI8" s="532"/>
      <c r="AJ8" s="532"/>
      <c r="AK8" s="532"/>
      <c r="AL8" s="532"/>
      <c r="AM8" s="532"/>
      <c r="AN8" s="532"/>
      <c r="AO8" s="532"/>
      <c r="AP8" s="532"/>
      <c r="AQ8" s="532"/>
      <c r="AR8" s="532"/>
      <c r="AS8" s="532"/>
      <c r="AT8" s="532"/>
      <c r="AU8" s="532"/>
      <c r="AV8" s="532"/>
      <c r="AW8" s="532"/>
      <c r="AX8" s="203" t="str">
        <f>IFERROR(VLOOKUP(Table_NFI[[#This Row],[Location]],CL,2,0),"")</f>
        <v>MMR001CMP029</v>
      </c>
      <c r="AY8" s="181" t="s">
        <v>1235</v>
      </c>
      <c r="AZ8" s="533"/>
      <c r="BA8" s="533"/>
      <c r="BB8" s="533"/>
      <c r="BC8" s="533"/>
      <c r="BD8" s="533"/>
      <c r="BE8" s="533"/>
      <c r="BF8" s="533"/>
      <c r="BG8" s="533"/>
      <c r="BH8" s="533"/>
      <c r="BI8" s="533"/>
      <c r="BJ8" s="533"/>
      <c r="BK8" s="533"/>
      <c r="BL8" s="533"/>
      <c r="BM8" s="533"/>
      <c r="BN8" s="533"/>
      <c r="BO8" s="533"/>
      <c r="BP8" s="533"/>
      <c r="BQ8" s="533"/>
      <c r="BR8" s="533"/>
      <c r="BS8" s="533"/>
      <c r="BT8" s="533"/>
      <c r="BU8" s="533"/>
      <c r="BV8" s="533"/>
      <c r="BW8" s="533"/>
      <c r="BX8" s="533"/>
      <c r="BY8" s="533"/>
      <c r="BZ8" s="533"/>
      <c r="CA8" s="533"/>
      <c r="CB8" s="533"/>
      <c r="CC8" s="533"/>
      <c r="CD8" s="533"/>
      <c r="CE8" s="533"/>
      <c r="CF8" s="533"/>
      <c r="CG8" s="533"/>
      <c r="CH8" s="533"/>
      <c r="CI8" s="533"/>
      <c r="CJ8" s="533"/>
      <c r="CK8" s="533"/>
      <c r="CL8" s="533"/>
      <c r="CM8" s="533"/>
      <c r="CN8" s="533"/>
      <c r="CO8" s="533"/>
      <c r="CP8" s="533"/>
      <c r="CQ8" s="533"/>
      <c r="CR8" s="533"/>
      <c r="CS8" s="533"/>
      <c r="CT8" s="533"/>
      <c r="CU8" s="533"/>
      <c r="CV8" s="533"/>
      <c r="CW8" s="533"/>
      <c r="CX8" s="533"/>
      <c r="CY8" s="533"/>
      <c r="CZ8" s="533"/>
      <c r="DA8" s="533"/>
      <c r="DB8" s="533"/>
      <c r="DC8" s="533"/>
      <c r="DD8" s="533"/>
      <c r="DE8" s="533"/>
      <c r="DF8" s="533"/>
      <c r="DG8" s="533"/>
      <c r="DH8" s="533"/>
      <c r="DI8" s="533"/>
      <c r="DJ8" s="533"/>
      <c r="DK8" s="533"/>
      <c r="DL8" s="533"/>
      <c r="DM8" s="533"/>
      <c r="DN8" s="533"/>
      <c r="DO8" s="533"/>
      <c r="DP8" s="533"/>
      <c r="DQ8" s="533"/>
      <c r="DR8" s="533"/>
      <c r="DS8" s="533"/>
    </row>
    <row r="9" spans="2:123" s="529" customFormat="1" ht="18.75" hidden="1" customHeight="1" x14ac:dyDescent="0.3">
      <c r="B9" s="530">
        <v>42750</v>
      </c>
      <c r="C9" s="530" t="str">
        <f>MONTH(Table_NFI[[#This Row],[Distribution Date]]) &amp; "/" &amp; YEAR(Table_NFI[[#This Row],[Distribution Date]])</f>
        <v>1/2017</v>
      </c>
      <c r="D9" s="196" t="s">
        <v>420</v>
      </c>
      <c r="E9" s="196" t="s">
        <v>424</v>
      </c>
      <c r="F9" s="196" t="s">
        <v>378</v>
      </c>
      <c r="G9" s="196" t="s">
        <v>151</v>
      </c>
      <c r="H9" s="196" t="s">
        <v>811</v>
      </c>
      <c r="I9" s="181"/>
      <c r="J9" s="531"/>
      <c r="K9" s="531"/>
      <c r="L9" s="531">
        <v>15</v>
      </c>
      <c r="M9" s="531">
        <v>15</v>
      </c>
      <c r="N9" s="531">
        <v>15</v>
      </c>
      <c r="O9" s="531">
        <v>15</v>
      </c>
      <c r="P9" s="531">
        <v>15</v>
      </c>
      <c r="Q9" s="531">
        <v>15</v>
      </c>
      <c r="R9" s="531"/>
      <c r="S9" s="531">
        <v>15</v>
      </c>
      <c r="T9" s="531">
        <v>30</v>
      </c>
      <c r="U9" s="531"/>
      <c r="V9" s="531"/>
      <c r="W9" s="531"/>
      <c r="X9" s="531"/>
      <c r="Y9" s="531">
        <v>15</v>
      </c>
      <c r="Z9" s="531"/>
      <c r="AA9" s="531"/>
      <c r="AB9" s="531">
        <v>15</v>
      </c>
      <c r="AC9" s="532" t="e">
        <f>IF(NFI_Expiration=1,IF(#REF!&lt;VLOOKUP(L$5,NFI,5,0),1,0)*Table_NFI[[#This Row],[NFI Core Kit]],Table_NFI[NFI Core Kit])</f>
        <v>#REF!</v>
      </c>
      <c r="AD9" s="532" t="e">
        <f>IF(NFI_Expiration=1,IF(#REF!&lt;VLOOKUP(M$5,NFI,5,0),1,0)*Table_NFI[[#This Row],[Sanitary Kit]],Table_NFI[Sanitary Kit])</f>
        <v>#REF!</v>
      </c>
      <c r="AE9" s="532" t="e">
        <f>IF(NFI_Expiration=1,IF(#REF!&lt;VLOOKUP(N$5,NFI,5,0),1,0)*Table_NFI[[#This Row],[Mosquito net]],Table_NFI[Mosquito net])</f>
        <v>#REF!</v>
      </c>
      <c r="AF9" s="532"/>
      <c r="AG9" s="532"/>
      <c r="AH9" s="532"/>
      <c r="AI9" s="532"/>
      <c r="AJ9" s="532"/>
      <c r="AK9" s="532"/>
      <c r="AL9" s="532"/>
      <c r="AM9" s="532"/>
      <c r="AN9" s="532"/>
      <c r="AO9" s="532"/>
      <c r="AP9" s="532">
        <f>IF(Table_NFI[[#This Row],[Winter Clothes Adult]]+Table_NFI[[#This Row],[Winter Clothes Children]]+Table_NFI[[#This Row],[Winter Items Other]]+Table_NFI[[#This Row],[Winter Blanket]]&gt;0,1,0)</f>
        <v>0</v>
      </c>
      <c r="AQ9" s="532"/>
      <c r="AR9" s="532"/>
      <c r="AS9" s="532"/>
      <c r="AT9" s="532"/>
      <c r="AU9" s="532"/>
      <c r="AV9" s="532"/>
      <c r="AW9" s="532"/>
      <c r="AX9" s="203" t="str">
        <f>IFERROR(VLOOKUP(Table_NFI[[#This Row],[Location]],CL,2,0),"")</f>
        <v>MMR001CMP218</v>
      </c>
      <c r="AY9" s="181" t="s">
        <v>1235</v>
      </c>
      <c r="AZ9" s="533"/>
      <c r="BA9" s="533"/>
      <c r="BB9" s="533"/>
      <c r="BC9" s="533"/>
      <c r="BD9" s="533"/>
      <c r="BE9" s="533"/>
      <c r="BF9" s="533"/>
      <c r="BG9" s="533"/>
      <c r="BH9" s="533"/>
      <c r="BI9" s="533"/>
      <c r="BJ9" s="533"/>
      <c r="BK9" s="533"/>
      <c r="BL9" s="533"/>
      <c r="BM9" s="533"/>
      <c r="BN9" s="533"/>
      <c r="BO9" s="533"/>
      <c r="BP9" s="533"/>
      <c r="BQ9" s="533"/>
      <c r="BR9" s="533"/>
      <c r="BS9" s="533"/>
      <c r="BT9" s="533"/>
      <c r="BU9" s="533"/>
      <c r="BV9" s="533"/>
      <c r="BW9" s="533"/>
      <c r="BX9" s="533"/>
      <c r="BY9" s="533"/>
      <c r="BZ9" s="533"/>
      <c r="CA9" s="533"/>
      <c r="CB9" s="533"/>
      <c r="CC9" s="533"/>
      <c r="CD9" s="533"/>
      <c r="CE9" s="533"/>
      <c r="CF9" s="533"/>
      <c r="CG9" s="533"/>
      <c r="CH9" s="533"/>
      <c r="CI9" s="533"/>
      <c r="CJ9" s="533"/>
      <c r="CK9" s="533"/>
      <c r="CL9" s="533"/>
      <c r="CM9" s="533"/>
      <c r="CN9" s="533"/>
      <c r="CO9" s="533"/>
      <c r="CP9" s="533"/>
      <c r="CQ9" s="533"/>
      <c r="CR9" s="533"/>
      <c r="CS9" s="533"/>
      <c r="CT9" s="533"/>
      <c r="CU9" s="533"/>
      <c r="CV9" s="533"/>
      <c r="CW9" s="533"/>
      <c r="CX9" s="533"/>
      <c r="CY9" s="533"/>
      <c r="CZ9" s="533"/>
      <c r="DA9" s="533"/>
      <c r="DB9" s="533"/>
      <c r="DC9" s="533"/>
      <c r="DD9" s="533"/>
      <c r="DE9" s="533"/>
      <c r="DF9" s="533"/>
      <c r="DG9" s="533"/>
      <c r="DH9" s="533"/>
      <c r="DI9" s="533"/>
      <c r="DJ9" s="533"/>
      <c r="DK9" s="533"/>
      <c r="DL9" s="533"/>
      <c r="DM9" s="533"/>
      <c r="DN9" s="533"/>
      <c r="DO9" s="533"/>
      <c r="DP9" s="533"/>
      <c r="DQ9" s="533"/>
      <c r="DR9" s="533"/>
      <c r="DS9" s="533"/>
    </row>
    <row r="10" spans="2:123" s="529" customFormat="1" ht="18.75" hidden="1" customHeight="1" x14ac:dyDescent="0.3">
      <c r="B10" s="530">
        <v>42750</v>
      </c>
      <c r="C10" s="530" t="str">
        <f>MONTH(Table_NFI[[#This Row],[Distribution Date]]) &amp; "/" &amp; YEAR(Table_NFI[[#This Row],[Distribution Date]])</f>
        <v>1/2017</v>
      </c>
      <c r="D10" s="195" t="s">
        <v>1375</v>
      </c>
      <c r="E10" s="195" t="s">
        <v>1375</v>
      </c>
      <c r="F10" s="534" t="s">
        <v>378</v>
      </c>
      <c r="G10" s="196" t="s">
        <v>151</v>
      </c>
      <c r="H10" s="196" t="s">
        <v>811</v>
      </c>
      <c r="I10" s="181"/>
      <c r="J10" s="531">
        <v>15</v>
      </c>
      <c r="K10" s="531"/>
      <c r="L10" s="531"/>
      <c r="M10" s="531">
        <v>135</v>
      </c>
      <c r="N10" s="531"/>
      <c r="O10" s="531"/>
      <c r="P10" s="531"/>
      <c r="Q10" s="531"/>
      <c r="R10" s="531"/>
      <c r="S10" s="531">
        <v>15</v>
      </c>
      <c r="T10" s="531"/>
      <c r="U10" s="531"/>
      <c r="V10" s="531"/>
      <c r="W10" s="531"/>
      <c r="X10" s="531"/>
      <c r="Y10" s="531">
        <v>15</v>
      </c>
      <c r="Z10" s="531"/>
      <c r="AA10" s="531"/>
      <c r="AB10" s="531"/>
      <c r="AC10" s="532" t="e">
        <f>IF(NFI_Expiration=1,IF(#REF!&lt;VLOOKUP(L$5,NFI,5,0),1,0)*Table_NFI[[#This Row],[NFI Core Kit]],Table_NFI[NFI Core Kit])</f>
        <v>#REF!</v>
      </c>
      <c r="AD10" s="532" t="e">
        <f>IF(NFI_Expiration=1,IF(#REF!&lt;VLOOKUP(M$5,NFI,5,0),1,0)*Table_NFI[[#This Row],[Sanitary Kit]],Table_NFI[Sanitary Kit])</f>
        <v>#REF!</v>
      </c>
      <c r="AE10" s="532" t="e">
        <f>IF(NFI_Expiration=1,IF(#REF!&lt;VLOOKUP(N$5,NFI,5,0),1,0)*Table_NFI[[#This Row],[Mosquito net]],Table_NFI[Mosquito net])</f>
        <v>#REF!</v>
      </c>
      <c r="AF10" s="532"/>
      <c r="AG10" s="532"/>
      <c r="AH10" s="532"/>
      <c r="AI10" s="532"/>
      <c r="AJ10" s="532"/>
      <c r="AK10" s="532"/>
      <c r="AL10" s="532"/>
      <c r="AM10" s="532"/>
      <c r="AN10" s="532"/>
      <c r="AO10" s="532"/>
      <c r="AP10" s="532">
        <f>IF(Table_NFI[[#This Row],[Winter Clothes Adult]]+Table_NFI[[#This Row],[Winter Clothes Children]]+Table_NFI[[#This Row],[Winter Items Other]]+Table_NFI[[#This Row],[Winter Blanket]]&gt;0,1,0)</f>
        <v>0</v>
      </c>
      <c r="AQ10" s="532"/>
      <c r="AR10" s="532"/>
      <c r="AS10" s="532"/>
      <c r="AT10" s="532"/>
      <c r="AU10" s="532"/>
      <c r="AV10" s="532"/>
      <c r="AW10" s="532"/>
      <c r="AX10" s="203" t="str">
        <f>IFERROR(VLOOKUP(Table_NFI[[#This Row],[Location]],CL,2,0),"")</f>
        <v>MMR001CMP218</v>
      </c>
      <c r="AY10" s="197" t="s">
        <v>1253</v>
      </c>
      <c r="AZ10" s="533"/>
      <c r="BA10" s="533"/>
      <c r="BB10" s="533"/>
      <c r="BC10" s="533"/>
      <c r="BD10" s="533"/>
      <c r="BE10" s="533"/>
      <c r="BF10" s="533"/>
      <c r="BG10" s="533"/>
      <c r="BH10" s="533"/>
      <c r="BI10" s="533"/>
      <c r="BJ10" s="533"/>
      <c r="BK10" s="533"/>
      <c r="BL10" s="533"/>
      <c r="BM10" s="533"/>
      <c r="BN10" s="533"/>
      <c r="BO10" s="533"/>
      <c r="BP10" s="533"/>
      <c r="BQ10" s="533"/>
      <c r="BR10" s="533"/>
      <c r="BS10" s="533"/>
      <c r="BT10" s="533"/>
      <c r="BU10" s="533"/>
      <c r="BV10" s="533"/>
      <c r="BW10" s="533"/>
      <c r="BX10" s="533"/>
      <c r="BY10" s="533"/>
      <c r="BZ10" s="533"/>
      <c r="CA10" s="533"/>
      <c r="CB10" s="533"/>
      <c r="CC10" s="533"/>
      <c r="CD10" s="533"/>
      <c r="CE10" s="533"/>
      <c r="CF10" s="533"/>
      <c r="CG10" s="533"/>
      <c r="CH10" s="533"/>
      <c r="CI10" s="533"/>
      <c r="CJ10" s="533"/>
      <c r="CK10" s="533"/>
      <c r="CL10" s="533"/>
      <c r="CM10" s="533"/>
      <c r="CN10" s="533"/>
      <c r="CO10" s="533"/>
      <c r="CP10" s="533"/>
      <c r="CQ10" s="533"/>
      <c r="CR10" s="533"/>
      <c r="CS10" s="533"/>
      <c r="CT10" s="533"/>
      <c r="CU10" s="533"/>
      <c r="CV10" s="533"/>
      <c r="CW10" s="533"/>
      <c r="CX10" s="533"/>
      <c r="CY10" s="533"/>
      <c r="CZ10" s="533"/>
      <c r="DA10" s="533"/>
      <c r="DB10" s="533"/>
      <c r="DC10" s="533"/>
      <c r="DD10" s="533"/>
      <c r="DE10" s="533"/>
      <c r="DF10" s="533"/>
      <c r="DG10" s="533"/>
      <c r="DH10" s="533"/>
      <c r="DI10" s="533"/>
      <c r="DJ10" s="533"/>
      <c r="DK10" s="533"/>
      <c r="DL10" s="533"/>
      <c r="DM10" s="533"/>
      <c r="DN10" s="533"/>
      <c r="DO10" s="533"/>
      <c r="DP10" s="533"/>
      <c r="DQ10" s="533"/>
      <c r="DR10" s="533"/>
      <c r="DS10" s="533"/>
    </row>
    <row r="11" spans="2:123" s="529" customFormat="1" ht="18.75" hidden="1" customHeight="1" x14ac:dyDescent="0.3">
      <c r="B11" s="530">
        <v>42753</v>
      </c>
      <c r="C11" s="530" t="str">
        <f>MONTH(Table_NFI[[#This Row],[Distribution Date]]) &amp; "/" &amp; YEAR(Table_NFI[[#This Row],[Distribution Date]])</f>
        <v>1/2017</v>
      </c>
      <c r="D11" s="195" t="s">
        <v>1375</v>
      </c>
      <c r="E11" s="195" t="s">
        <v>1375</v>
      </c>
      <c r="F11" s="534" t="s">
        <v>378</v>
      </c>
      <c r="G11" s="195" t="s">
        <v>185</v>
      </c>
      <c r="H11" s="195" t="s">
        <v>194</v>
      </c>
      <c r="I11" s="195"/>
      <c r="J11" s="531">
        <v>73</v>
      </c>
      <c r="K11" s="531"/>
      <c r="L11" s="531">
        <v>73</v>
      </c>
      <c r="M11" s="531">
        <v>657</v>
      </c>
      <c r="N11" s="531">
        <v>146</v>
      </c>
      <c r="O11" s="531"/>
      <c r="P11" s="531">
        <v>146</v>
      </c>
      <c r="Q11" s="531"/>
      <c r="R11" s="531"/>
      <c r="S11" s="531">
        <v>73</v>
      </c>
      <c r="T11" s="531">
        <v>146</v>
      </c>
      <c r="U11" s="531"/>
      <c r="V11" s="531"/>
      <c r="W11" s="531"/>
      <c r="X11" s="531"/>
      <c r="Y11" s="531">
        <v>73</v>
      </c>
      <c r="Z11" s="531"/>
      <c r="AA11" s="531"/>
      <c r="AB11" s="531"/>
      <c r="AC11" s="532" t="e">
        <f>IF(NFI_Expiration=1,IF(#REF!&lt;VLOOKUP(L$5,NFI,5,0),1,0)*Table_NFI[[#This Row],[NFI Core Kit]],Table_NFI[NFI Core Kit])</f>
        <v>#REF!</v>
      </c>
      <c r="AD11" s="532" t="e">
        <f>IF(NFI_Expiration=1,IF(#REF!&lt;VLOOKUP(M$5,NFI,5,0),1,0)*Table_NFI[[#This Row],[Sanitary Kit]],Table_NFI[Sanitary Kit])</f>
        <v>#REF!</v>
      </c>
      <c r="AE11" s="532" t="e">
        <f>IF(NFI_Expiration=1,IF(#REF!&lt;VLOOKUP(N$5,NFI,5,0),1,0)*Table_NFI[[#This Row],[Mosquito net]],Table_NFI[Mosquito net])</f>
        <v>#REF!</v>
      </c>
      <c r="AF11" s="532"/>
      <c r="AG11" s="532"/>
      <c r="AH11" s="532"/>
      <c r="AI11" s="532"/>
      <c r="AJ11" s="532"/>
      <c r="AK11" s="532"/>
      <c r="AL11" s="532"/>
      <c r="AM11" s="532"/>
      <c r="AN11" s="532"/>
      <c r="AO11" s="532"/>
      <c r="AP11" s="532">
        <f>IF(Table_NFI[[#This Row],[Winter Clothes Adult]]+Table_NFI[[#This Row],[Winter Clothes Children]]+Table_NFI[[#This Row],[Winter Items Other]]+Table_NFI[[#This Row],[Winter Blanket]]&gt;0,1,0)</f>
        <v>0</v>
      </c>
      <c r="AQ11" s="532"/>
      <c r="AR11" s="532"/>
      <c r="AS11" s="532"/>
      <c r="AT11" s="532"/>
      <c r="AU11" s="532"/>
      <c r="AV11" s="532"/>
      <c r="AW11" s="532"/>
      <c r="AX11" s="203" t="str">
        <f>IFERROR(VLOOKUP(Table_NFI[[#This Row],[Location]],CL,2,0),"")</f>
        <v>MMR001CMP122</v>
      </c>
      <c r="AY11" s="197" t="s">
        <v>1253</v>
      </c>
      <c r="AZ11" s="533"/>
      <c r="BA11" s="533"/>
      <c r="BB11" s="533"/>
      <c r="BC11" s="533"/>
      <c r="BD11" s="533"/>
      <c r="BE11" s="533"/>
      <c r="BF11" s="533"/>
      <c r="BG11" s="533"/>
      <c r="BH11" s="533"/>
      <c r="BI11" s="533"/>
      <c r="BJ11" s="533"/>
      <c r="BK11" s="533"/>
      <c r="BL11" s="533"/>
      <c r="BM11" s="533"/>
      <c r="BN11" s="533"/>
      <c r="BO11" s="533"/>
      <c r="BP11" s="533"/>
      <c r="BQ11" s="533"/>
      <c r="BR11" s="533"/>
      <c r="BS11" s="533"/>
      <c r="BT11" s="533"/>
      <c r="BU11" s="533"/>
      <c r="BV11" s="533"/>
      <c r="BW11" s="533"/>
      <c r="BX11" s="533"/>
      <c r="BY11" s="533"/>
      <c r="BZ11" s="533"/>
      <c r="CA11" s="533"/>
      <c r="CB11" s="533"/>
      <c r="CC11" s="533"/>
      <c r="CD11" s="533"/>
      <c r="CE11" s="533"/>
      <c r="CF11" s="533"/>
      <c r="CG11" s="533"/>
      <c r="CH11" s="533"/>
      <c r="CI11" s="533"/>
      <c r="CJ11" s="533"/>
      <c r="CK11" s="533"/>
      <c r="CL11" s="533"/>
      <c r="CM11" s="533"/>
      <c r="CN11" s="533"/>
      <c r="CO11" s="533"/>
      <c r="CP11" s="533"/>
      <c r="CQ11" s="533"/>
      <c r="CR11" s="533"/>
      <c r="CS11" s="533"/>
      <c r="CT11" s="533"/>
      <c r="CU11" s="533"/>
      <c r="CV11" s="533"/>
      <c r="CW11" s="533"/>
      <c r="CX11" s="533"/>
      <c r="CY11" s="533"/>
      <c r="CZ11" s="533"/>
      <c r="DA11" s="533"/>
      <c r="DB11" s="533"/>
      <c r="DC11" s="533"/>
      <c r="DD11" s="533"/>
      <c r="DE11" s="533"/>
      <c r="DF11" s="533"/>
      <c r="DG11" s="533"/>
      <c r="DH11" s="533"/>
      <c r="DI11" s="533"/>
      <c r="DJ11" s="533"/>
      <c r="DK11" s="533"/>
      <c r="DL11" s="533"/>
      <c r="DM11" s="533"/>
      <c r="DN11" s="533"/>
      <c r="DO11" s="533"/>
      <c r="DP11" s="533"/>
      <c r="DQ11" s="533"/>
      <c r="DR11" s="533"/>
      <c r="DS11" s="533"/>
    </row>
    <row r="12" spans="2:123" s="529" customFormat="1" ht="18.75" hidden="1" customHeight="1" x14ac:dyDescent="0.3">
      <c r="B12" s="530">
        <v>42753</v>
      </c>
      <c r="C12" s="530" t="str">
        <f>MONTH(Table_NFI[[#This Row],[Distribution Date]]) &amp; "/" &amp; YEAR(Table_NFI[[#This Row],[Distribution Date]])</f>
        <v>1/2017</v>
      </c>
      <c r="D12" s="195" t="s">
        <v>1375</v>
      </c>
      <c r="E12" s="195" t="s">
        <v>1375</v>
      </c>
      <c r="F12" s="196" t="s">
        <v>378</v>
      </c>
      <c r="G12" s="196" t="s">
        <v>309</v>
      </c>
      <c r="H12" s="195" t="s">
        <v>351</v>
      </c>
      <c r="I12" s="195"/>
      <c r="J12" s="531">
        <v>10</v>
      </c>
      <c r="K12" s="531"/>
      <c r="L12" s="531">
        <v>10</v>
      </c>
      <c r="M12" s="531">
        <v>90</v>
      </c>
      <c r="N12" s="531">
        <v>20</v>
      </c>
      <c r="O12" s="531"/>
      <c r="P12" s="531">
        <v>20</v>
      </c>
      <c r="Q12" s="531"/>
      <c r="R12" s="531"/>
      <c r="S12" s="531">
        <v>10</v>
      </c>
      <c r="T12" s="531">
        <v>20</v>
      </c>
      <c r="U12" s="531"/>
      <c r="V12" s="531"/>
      <c r="W12" s="531"/>
      <c r="X12" s="531"/>
      <c r="Y12" s="531">
        <v>10</v>
      </c>
      <c r="Z12" s="531"/>
      <c r="AA12" s="531"/>
      <c r="AB12" s="531"/>
      <c r="AC12" s="532" t="e">
        <f>IF(NFI_Expiration=1,IF(#REF!&lt;VLOOKUP(L$5,NFI,5,0),1,0)*Table_NFI[[#This Row],[NFI Core Kit]],Table_NFI[NFI Core Kit])</f>
        <v>#REF!</v>
      </c>
      <c r="AD12" s="532" t="e">
        <f>IF(NFI_Expiration=1,IF(#REF!&lt;VLOOKUP(M$5,NFI,5,0),1,0)*Table_NFI[[#This Row],[Sanitary Kit]],Table_NFI[Sanitary Kit])</f>
        <v>#REF!</v>
      </c>
      <c r="AE12" s="532" t="e">
        <f>IF(NFI_Expiration=1,IF(#REF!&lt;VLOOKUP(N$5,NFI,5,0),1,0)*Table_NFI[[#This Row],[Mosquito net]],Table_NFI[Mosquito net])</f>
        <v>#REF!</v>
      </c>
      <c r="AF12" s="532"/>
      <c r="AG12" s="532"/>
      <c r="AH12" s="532"/>
      <c r="AI12" s="532"/>
      <c r="AJ12" s="532"/>
      <c r="AK12" s="532"/>
      <c r="AL12" s="532"/>
      <c r="AM12" s="532"/>
      <c r="AN12" s="532"/>
      <c r="AO12" s="532"/>
      <c r="AP12" s="532">
        <f>IF(Table_NFI[[#This Row],[Winter Clothes Adult]]+Table_NFI[[#This Row],[Winter Clothes Children]]+Table_NFI[[#This Row],[Winter Items Other]]+Table_NFI[[#This Row],[Winter Blanket]]&gt;0,1,0)</f>
        <v>0</v>
      </c>
      <c r="AQ12" s="532"/>
      <c r="AR12" s="532"/>
      <c r="AS12" s="532"/>
      <c r="AT12" s="532"/>
      <c r="AU12" s="532"/>
      <c r="AV12" s="532"/>
      <c r="AW12" s="532"/>
      <c r="AX12" s="203" t="str">
        <f>IFERROR(VLOOKUP(Table_NFI[[#This Row],[Location]],CL,2,0),"")</f>
        <v>MMR001CMP116</v>
      </c>
      <c r="AY12" s="197" t="s">
        <v>1253</v>
      </c>
      <c r="AZ12" s="533"/>
      <c r="BA12" s="533"/>
      <c r="BB12" s="533"/>
      <c r="BC12" s="533"/>
      <c r="BD12" s="533"/>
      <c r="BE12" s="533"/>
      <c r="BF12" s="533"/>
      <c r="BG12" s="533"/>
      <c r="BH12" s="533"/>
      <c r="BI12" s="533"/>
      <c r="BJ12" s="533"/>
      <c r="BK12" s="533"/>
      <c r="BL12" s="533"/>
      <c r="BM12" s="533"/>
      <c r="BN12" s="533"/>
      <c r="BO12" s="533"/>
      <c r="BP12" s="533"/>
      <c r="BQ12" s="533"/>
      <c r="BR12" s="533"/>
      <c r="BS12" s="533"/>
      <c r="BT12" s="533"/>
      <c r="BU12" s="533"/>
      <c r="BV12" s="533"/>
      <c r="BW12" s="533"/>
      <c r="BX12" s="533"/>
      <c r="BY12" s="533"/>
      <c r="BZ12" s="533"/>
      <c r="CA12" s="533"/>
      <c r="CB12" s="533"/>
      <c r="CC12" s="533"/>
      <c r="CD12" s="533"/>
      <c r="CE12" s="533"/>
      <c r="CF12" s="533"/>
      <c r="CG12" s="533"/>
      <c r="CH12" s="533"/>
      <c r="CI12" s="533"/>
      <c r="CJ12" s="533"/>
      <c r="CK12" s="533"/>
      <c r="CL12" s="533"/>
      <c r="CM12" s="533"/>
      <c r="CN12" s="533"/>
      <c r="CO12" s="533"/>
      <c r="CP12" s="533"/>
      <c r="CQ12" s="533"/>
      <c r="CR12" s="533"/>
      <c r="CS12" s="533"/>
      <c r="CT12" s="533"/>
      <c r="CU12" s="533"/>
      <c r="CV12" s="533"/>
      <c r="CW12" s="533"/>
      <c r="CX12" s="533"/>
      <c r="CY12" s="533"/>
      <c r="CZ12" s="533"/>
      <c r="DA12" s="533"/>
      <c r="DB12" s="533"/>
      <c r="DC12" s="533"/>
      <c r="DD12" s="533"/>
      <c r="DE12" s="533"/>
      <c r="DF12" s="533"/>
      <c r="DG12" s="533"/>
      <c r="DH12" s="533"/>
      <c r="DI12" s="533"/>
      <c r="DJ12" s="533"/>
      <c r="DK12" s="533"/>
      <c r="DL12" s="533"/>
      <c r="DM12" s="533"/>
      <c r="DN12" s="533"/>
      <c r="DO12" s="533"/>
      <c r="DP12" s="533"/>
      <c r="DQ12" s="533"/>
      <c r="DR12" s="533"/>
      <c r="DS12" s="533"/>
    </row>
    <row r="13" spans="2:123" s="529" customFormat="1" ht="18.75" hidden="1" customHeight="1" x14ac:dyDescent="0.3">
      <c r="B13" s="530">
        <v>42754</v>
      </c>
      <c r="C13" s="530" t="str">
        <f>MONTH(Table_NFI[[#This Row],[Distribution Date]]) &amp; "/" &amp; YEAR(Table_NFI[[#This Row],[Distribution Date]])</f>
        <v>1/2017</v>
      </c>
      <c r="D13" s="196" t="s">
        <v>420</v>
      </c>
      <c r="E13" s="196" t="s">
        <v>1087</v>
      </c>
      <c r="F13" s="196" t="s">
        <v>378</v>
      </c>
      <c r="G13" s="196" t="s">
        <v>309</v>
      </c>
      <c r="H13" s="196" t="s">
        <v>329</v>
      </c>
      <c r="I13" s="181"/>
      <c r="J13" s="531"/>
      <c r="K13" s="531"/>
      <c r="L13" s="531">
        <v>9</v>
      </c>
      <c r="M13" s="531">
        <v>9</v>
      </c>
      <c r="N13" s="531">
        <v>35</v>
      </c>
      <c r="O13" s="531">
        <v>9</v>
      </c>
      <c r="P13" s="531">
        <v>35</v>
      </c>
      <c r="Q13" s="531">
        <v>9</v>
      </c>
      <c r="R13" s="531"/>
      <c r="S13" s="531">
        <v>9</v>
      </c>
      <c r="T13" s="531">
        <v>35</v>
      </c>
      <c r="U13" s="531"/>
      <c r="V13" s="531"/>
      <c r="W13" s="531"/>
      <c r="X13" s="531"/>
      <c r="Y13" s="531">
        <v>9</v>
      </c>
      <c r="Z13" s="531"/>
      <c r="AA13" s="531"/>
      <c r="AB13" s="531">
        <v>9</v>
      </c>
      <c r="AC13" s="532" t="e">
        <f>IF(NFI_Expiration=1,IF(#REF!&lt;VLOOKUP(L$5,NFI,5,0),1,0)*Table_NFI[[#This Row],[NFI Core Kit]],Table_NFI[NFI Core Kit])</f>
        <v>#REF!</v>
      </c>
      <c r="AD13" s="532" t="e">
        <f>IF(NFI_Expiration=1,IF(#REF!&lt;VLOOKUP(M$5,NFI,5,0),1,0)*Table_NFI[[#This Row],[Sanitary Kit]],Table_NFI[Sanitary Kit])</f>
        <v>#REF!</v>
      </c>
      <c r="AE13" s="532" t="e">
        <f>IF(NFI_Expiration=1,IF(#REF!&lt;VLOOKUP(N$5,NFI,5,0),1,0)*Table_NFI[[#This Row],[Mosquito net]],Table_NFI[Mosquito net])</f>
        <v>#REF!</v>
      </c>
      <c r="AF13" s="532"/>
      <c r="AG13" s="532"/>
      <c r="AH13" s="532"/>
      <c r="AI13" s="532"/>
      <c r="AJ13" s="532"/>
      <c r="AK13" s="532"/>
      <c r="AL13" s="532"/>
      <c r="AM13" s="532"/>
      <c r="AN13" s="532"/>
      <c r="AO13" s="532"/>
      <c r="AP13" s="532">
        <f>IF(Table_NFI[[#This Row],[Winter Clothes Adult]]+Table_NFI[[#This Row],[Winter Clothes Children]]+Table_NFI[[#This Row],[Winter Items Other]]+Table_NFI[[#This Row],[Winter Blanket]]&gt;0,1,0)</f>
        <v>0</v>
      </c>
      <c r="AQ13" s="532"/>
      <c r="AR13" s="532"/>
      <c r="AS13" s="532"/>
      <c r="AT13" s="532"/>
      <c r="AU13" s="532"/>
      <c r="AV13" s="532"/>
      <c r="AW13" s="532"/>
      <c r="AX13" s="203" t="str">
        <f>IFERROR(VLOOKUP(Table_NFI[[#This Row],[Location]],CL,2,0),"")</f>
        <v>MMR001CMP029</v>
      </c>
      <c r="AY13" s="181" t="s">
        <v>1235</v>
      </c>
      <c r="AZ13" s="533"/>
      <c r="BA13" s="533"/>
      <c r="BB13" s="533"/>
      <c r="BC13" s="533"/>
      <c r="BD13" s="533"/>
      <c r="BE13" s="533"/>
      <c r="BF13" s="533"/>
      <c r="BG13" s="533"/>
      <c r="BH13" s="533"/>
      <c r="BI13" s="533"/>
      <c r="BJ13" s="533"/>
      <c r="BK13" s="533"/>
      <c r="BL13" s="533"/>
      <c r="BM13" s="533"/>
      <c r="BN13" s="533"/>
      <c r="BO13" s="533"/>
      <c r="BP13" s="533"/>
      <c r="BQ13" s="533"/>
      <c r="BR13" s="533"/>
      <c r="BS13" s="533"/>
      <c r="BT13" s="533"/>
      <c r="BU13" s="533"/>
      <c r="BV13" s="533"/>
      <c r="BW13" s="533"/>
      <c r="BX13" s="533"/>
      <c r="BY13" s="533"/>
      <c r="BZ13" s="533"/>
      <c r="CA13" s="533"/>
      <c r="CB13" s="533"/>
      <c r="CC13" s="533"/>
      <c r="CD13" s="533"/>
      <c r="CE13" s="533"/>
      <c r="CF13" s="533"/>
      <c r="CG13" s="533"/>
      <c r="CH13" s="533"/>
      <c r="CI13" s="533"/>
      <c r="CJ13" s="533"/>
      <c r="CK13" s="533"/>
      <c r="CL13" s="533"/>
      <c r="CM13" s="533"/>
      <c r="CN13" s="533"/>
      <c r="CO13" s="533"/>
      <c r="CP13" s="533"/>
      <c r="CQ13" s="533"/>
      <c r="CR13" s="533"/>
      <c r="CS13" s="533"/>
      <c r="CT13" s="533"/>
      <c r="CU13" s="533"/>
      <c r="CV13" s="533"/>
      <c r="CW13" s="533"/>
      <c r="CX13" s="533"/>
      <c r="CY13" s="533"/>
      <c r="CZ13" s="533"/>
      <c r="DA13" s="533"/>
      <c r="DB13" s="533"/>
      <c r="DC13" s="533"/>
      <c r="DD13" s="533"/>
      <c r="DE13" s="533"/>
      <c r="DF13" s="533"/>
      <c r="DG13" s="533"/>
      <c r="DH13" s="533"/>
      <c r="DI13" s="533"/>
      <c r="DJ13" s="533"/>
      <c r="DK13" s="533"/>
      <c r="DL13" s="533"/>
      <c r="DM13" s="533"/>
      <c r="DN13" s="533"/>
      <c r="DO13" s="533"/>
      <c r="DP13" s="533"/>
      <c r="DQ13" s="533"/>
      <c r="DR13" s="533"/>
      <c r="DS13" s="533"/>
    </row>
    <row r="14" spans="2:123" s="529" customFormat="1" ht="18.75" hidden="1" customHeight="1" x14ac:dyDescent="0.3">
      <c r="B14" s="530">
        <v>42755</v>
      </c>
      <c r="C14" s="530" t="str">
        <f>MONTH(Table_NFI[[#This Row],[Distribution Date]]) &amp; "/" &amp; YEAR(Table_NFI[[#This Row],[Distribution Date]])</f>
        <v>1/2017</v>
      </c>
      <c r="D14" s="196" t="s">
        <v>420</v>
      </c>
      <c r="E14" s="196" t="s">
        <v>462</v>
      </c>
      <c r="F14" s="196" t="s">
        <v>378</v>
      </c>
      <c r="G14" s="196" t="s">
        <v>309</v>
      </c>
      <c r="H14" s="196" t="s">
        <v>327</v>
      </c>
      <c r="I14" s="181"/>
      <c r="J14" s="531"/>
      <c r="K14" s="531"/>
      <c r="L14" s="531">
        <v>5</v>
      </c>
      <c r="M14" s="531">
        <v>5</v>
      </c>
      <c r="N14" s="531">
        <v>21</v>
      </c>
      <c r="O14" s="531">
        <v>5</v>
      </c>
      <c r="P14" s="531">
        <v>21</v>
      </c>
      <c r="Q14" s="531">
        <v>5</v>
      </c>
      <c r="R14" s="531"/>
      <c r="S14" s="531">
        <v>5</v>
      </c>
      <c r="T14" s="531">
        <v>21</v>
      </c>
      <c r="U14" s="531"/>
      <c r="V14" s="531"/>
      <c r="W14" s="531"/>
      <c r="X14" s="531"/>
      <c r="Y14" s="531">
        <v>5</v>
      </c>
      <c r="Z14" s="531"/>
      <c r="AA14" s="531"/>
      <c r="AB14" s="531"/>
      <c r="AC14" s="532" t="e">
        <f>IF(NFI_Expiration=1,IF(#REF!&lt;VLOOKUP(L$5,NFI,5,0),1,0)*Table_NFI[[#This Row],[NFI Core Kit]],Table_NFI[NFI Core Kit])</f>
        <v>#REF!</v>
      </c>
      <c r="AD14" s="532" t="e">
        <f>IF(NFI_Expiration=1,IF(#REF!&lt;VLOOKUP(M$5,NFI,5,0),1,0)*Table_NFI[[#This Row],[Sanitary Kit]],Table_NFI[Sanitary Kit])</f>
        <v>#REF!</v>
      </c>
      <c r="AE14" s="532" t="e">
        <f>IF(NFI_Expiration=1,IF(#REF!&lt;VLOOKUP(N$5,NFI,5,0),1,0)*Table_NFI[[#This Row],[Mosquito net]],Table_NFI[Mosquito net])</f>
        <v>#REF!</v>
      </c>
      <c r="AF14" s="532"/>
      <c r="AG14" s="532"/>
      <c r="AH14" s="532"/>
      <c r="AI14" s="532"/>
      <c r="AJ14" s="532"/>
      <c r="AK14" s="532"/>
      <c r="AL14" s="532"/>
      <c r="AM14" s="532"/>
      <c r="AN14" s="532"/>
      <c r="AO14" s="532"/>
      <c r="AP14" s="532">
        <f>IF(Table_NFI[[#This Row],[Winter Clothes Adult]]+Table_NFI[[#This Row],[Winter Clothes Children]]+Table_NFI[[#This Row],[Winter Items Other]]+Table_NFI[[#This Row],[Winter Blanket]]&gt;0,1,0)</f>
        <v>0</v>
      </c>
      <c r="AQ14" s="532"/>
      <c r="AR14" s="532"/>
      <c r="AS14" s="532"/>
      <c r="AT14" s="532"/>
      <c r="AU14" s="532"/>
      <c r="AV14" s="532"/>
      <c r="AW14" s="532"/>
      <c r="AX14" s="203" t="str">
        <f>IFERROR(VLOOKUP(Table_NFI[[#This Row],[Location]],CL,2,0),"")</f>
        <v>MMR001CMP031</v>
      </c>
      <c r="AY14" s="181" t="s">
        <v>1235</v>
      </c>
      <c r="AZ14" s="533"/>
      <c r="BA14" s="533"/>
      <c r="BB14" s="533"/>
      <c r="BC14" s="533"/>
      <c r="BD14" s="533"/>
      <c r="BE14" s="533"/>
      <c r="BF14" s="533"/>
      <c r="BG14" s="533"/>
      <c r="BH14" s="533"/>
      <c r="BI14" s="533"/>
      <c r="BJ14" s="533"/>
      <c r="BK14" s="533"/>
      <c r="BL14" s="533"/>
      <c r="BM14" s="533"/>
      <c r="BN14" s="533"/>
      <c r="BO14" s="533"/>
      <c r="BP14" s="533"/>
      <c r="BQ14" s="533"/>
      <c r="BR14" s="533"/>
      <c r="BS14" s="533"/>
      <c r="BT14" s="533"/>
      <c r="BU14" s="533"/>
      <c r="BV14" s="533"/>
      <c r="BW14" s="533"/>
      <c r="BX14" s="533"/>
      <c r="BY14" s="533"/>
      <c r="BZ14" s="533"/>
      <c r="CA14" s="533"/>
      <c r="CB14" s="533"/>
      <c r="CC14" s="533"/>
      <c r="CD14" s="533"/>
      <c r="CE14" s="533"/>
      <c r="CF14" s="533"/>
      <c r="CG14" s="533"/>
      <c r="CH14" s="533"/>
      <c r="CI14" s="533"/>
      <c r="CJ14" s="533"/>
      <c r="CK14" s="533"/>
      <c r="CL14" s="533"/>
      <c r="CM14" s="533"/>
      <c r="CN14" s="533"/>
      <c r="CO14" s="533"/>
      <c r="CP14" s="533"/>
      <c r="CQ14" s="533"/>
      <c r="CR14" s="533"/>
      <c r="CS14" s="533"/>
      <c r="CT14" s="533"/>
      <c r="CU14" s="533"/>
      <c r="CV14" s="533"/>
      <c r="CW14" s="533"/>
      <c r="CX14" s="533"/>
      <c r="CY14" s="533"/>
      <c r="CZ14" s="533"/>
      <c r="DA14" s="533"/>
      <c r="DB14" s="533"/>
      <c r="DC14" s="533"/>
      <c r="DD14" s="533"/>
      <c r="DE14" s="533"/>
      <c r="DF14" s="533"/>
      <c r="DG14" s="533"/>
      <c r="DH14" s="533"/>
      <c r="DI14" s="533"/>
      <c r="DJ14" s="533"/>
      <c r="DK14" s="533"/>
      <c r="DL14" s="533"/>
      <c r="DM14" s="533"/>
      <c r="DN14" s="533"/>
      <c r="DO14" s="533"/>
      <c r="DP14" s="533"/>
      <c r="DQ14" s="533"/>
      <c r="DR14" s="533"/>
      <c r="DS14" s="533"/>
    </row>
    <row r="15" spans="2:123" s="529" customFormat="1" ht="18.75" hidden="1" customHeight="1" x14ac:dyDescent="0.3">
      <c r="B15" s="530">
        <v>42755</v>
      </c>
      <c r="C15" s="530" t="str">
        <f>MONTH(Table_NFI[[#This Row],[Distribution Date]]) &amp; "/" &amp; YEAR(Table_NFI[[#This Row],[Distribution Date]])</f>
        <v>1/2017</v>
      </c>
      <c r="D15" s="196" t="s">
        <v>420</v>
      </c>
      <c r="E15" s="196" t="s">
        <v>462</v>
      </c>
      <c r="F15" s="196" t="s">
        <v>378</v>
      </c>
      <c r="G15" s="196" t="s">
        <v>309</v>
      </c>
      <c r="H15" s="196" t="s">
        <v>349</v>
      </c>
      <c r="I15" s="181"/>
      <c r="J15" s="531"/>
      <c r="K15" s="531"/>
      <c r="L15" s="531">
        <v>6</v>
      </c>
      <c r="M15" s="531">
        <v>6</v>
      </c>
      <c r="N15" s="531">
        <v>13</v>
      </c>
      <c r="O15" s="531">
        <v>6</v>
      </c>
      <c r="P15" s="531">
        <v>13</v>
      </c>
      <c r="Q15" s="531">
        <v>6</v>
      </c>
      <c r="R15" s="531"/>
      <c r="S15" s="531">
        <v>6</v>
      </c>
      <c r="T15" s="531">
        <v>13</v>
      </c>
      <c r="U15" s="531"/>
      <c r="V15" s="531"/>
      <c r="W15" s="531"/>
      <c r="X15" s="531"/>
      <c r="Y15" s="531">
        <v>6</v>
      </c>
      <c r="Z15" s="531"/>
      <c r="AA15" s="531"/>
      <c r="AB15" s="531"/>
      <c r="AC15" s="532" t="e">
        <f>IF(NFI_Expiration=1,IF(#REF!&lt;VLOOKUP(L$5,NFI,5,0),1,0)*Table_NFI[[#This Row],[NFI Core Kit]],Table_NFI[NFI Core Kit])</f>
        <v>#REF!</v>
      </c>
      <c r="AD15" s="532" t="e">
        <f>IF(NFI_Expiration=1,IF(#REF!&lt;VLOOKUP(M$5,NFI,5,0),1,0)*Table_NFI[[#This Row],[Sanitary Kit]],Table_NFI[Sanitary Kit])</f>
        <v>#REF!</v>
      </c>
      <c r="AE15" s="532" t="e">
        <f>IF(NFI_Expiration=1,IF(#REF!&lt;VLOOKUP(N$5,NFI,5,0),1,0)*Table_NFI[[#This Row],[Mosquito net]],Table_NFI[Mosquito net])</f>
        <v>#REF!</v>
      </c>
      <c r="AF15" s="532"/>
      <c r="AG15" s="532"/>
      <c r="AH15" s="532"/>
      <c r="AI15" s="532"/>
      <c r="AJ15" s="532"/>
      <c r="AK15" s="532"/>
      <c r="AL15" s="532"/>
      <c r="AM15" s="532"/>
      <c r="AN15" s="532"/>
      <c r="AO15" s="532"/>
      <c r="AP15" s="532">
        <f>IF(Table_NFI[[#This Row],[Winter Clothes Adult]]+Table_NFI[[#This Row],[Winter Clothes Children]]+Table_NFI[[#This Row],[Winter Items Other]]+Table_NFI[[#This Row],[Winter Blanket]]&gt;0,1,0)</f>
        <v>0</v>
      </c>
      <c r="AQ15" s="532"/>
      <c r="AR15" s="532"/>
      <c r="AS15" s="532"/>
      <c r="AT15" s="532"/>
      <c r="AU15" s="532"/>
      <c r="AV15" s="532"/>
      <c r="AW15" s="532"/>
      <c r="AX15" s="203" t="str">
        <f>IFERROR(VLOOKUP(Table_NFI[[#This Row],[Location]],CL,2,0),"")</f>
        <v>MMR001CMP026</v>
      </c>
      <c r="AY15" s="181" t="s">
        <v>1235</v>
      </c>
      <c r="AZ15" s="533"/>
      <c r="BA15" s="533"/>
      <c r="BB15" s="533"/>
      <c r="BC15" s="533"/>
      <c r="BD15" s="533"/>
      <c r="BE15" s="533"/>
      <c r="BF15" s="533"/>
      <c r="BG15" s="533"/>
      <c r="BH15" s="533"/>
      <c r="BI15" s="533"/>
      <c r="BJ15" s="533"/>
      <c r="BK15" s="533"/>
      <c r="BL15" s="533"/>
      <c r="BM15" s="533"/>
      <c r="BN15" s="533"/>
      <c r="BO15" s="533"/>
      <c r="BP15" s="533"/>
      <c r="BQ15" s="533"/>
      <c r="BR15" s="533"/>
      <c r="BS15" s="533"/>
      <c r="BT15" s="533"/>
      <c r="BU15" s="533"/>
      <c r="BV15" s="533"/>
      <c r="BW15" s="533"/>
      <c r="BX15" s="533"/>
      <c r="BY15" s="533"/>
      <c r="BZ15" s="533"/>
      <c r="CA15" s="533"/>
      <c r="CB15" s="533"/>
      <c r="CC15" s="533"/>
      <c r="CD15" s="533"/>
      <c r="CE15" s="533"/>
      <c r="CF15" s="533"/>
      <c r="CG15" s="533"/>
      <c r="CH15" s="533"/>
      <c r="CI15" s="533"/>
      <c r="CJ15" s="533"/>
      <c r="CK15" s="533"/>
      <c r="CL15" s="533"/>
      <c r="CM15" s="533"/>
      <c r="CN15" s="533"/>
      <c r="CO15" s="533"/>
      <c r="CP15" s="533"/>
      <c r="CQ15" s="533"/>
      <c r="CR15" s="533"/>
      <c r="CS15" s="533"/>
      <c r="CT15" s="533"/>
      <c r="CU15" s="533"/>
      <c r="CV15" s="533"/>
      <c r="CW15" s="533"/>
      <c r="CX15" s="533"/>
      <c r="CY15" s="533"/>
      <c r="CZ15" s="533"/>
      <c r="DA15" s="533"/>
      <c r="DB15" s="533"/>
      <c r="DC15" s="533"/>
      <c r="DD15" s="533"/>
      <c r="DE15" s="533"/>
      <c r="DF15" s="533"/>
      <c r="DG15" s="533"/>
      <c r="DH15" s="533"/>
      <c r="DI15" s="533"/>
      <c r="DJ15" s="533"/>
      <c r="DK15" s="533"/>
      <c r="DL15" s="533"/>
      <c r="DM15" s="533"/>
      <c r="DN15" s="533"/>
      <c r="DO15" s="533"/>
      <c r="DP15" s="533"/>
      <c r="DQ15" s="533"/>
      <c r="DR15" s="533"/>
      <c r="DS15" s="533"/>
    </row>
    <row r="16" spans="2:123" s="529" customFormat="1" ht="18.75" hidden="1" customHeight="1" x14ac:dyDescent="0.3">
      <c r="B16" s="530">
        <v>42755</v>
      </c>
      <c r="C16" s="530" t="str">
        <f>MONTH(Table_NFI[[#This Row],[Distribution Date]]) &amp; "/" &amp; YEAR(Table_NFI[[#This Row],[Distribution Date]])</f>
        <v>1/2017</v>
      </c>
      <c r="D16" s="196" t="s">
        <v>420</v>
      </c>
      <c r="E16" s="196" t="s">
        <v>462</v>
      </c>
      <c r="F16" s="196" t="s">
        <v>378</v>
      </c>
      <c r="G16" s="196" t="s">
        <v>309</v>
      </c>
      <c r="H16" s="196" t="s">
        <v>317</v>
      </c>
      <c r="I16" s="181"/>
      <c r="J16" s="531"/>
      <c r="K16" s="531"/>
      <c r="L16" s="531">
        <v>9</v>
      </c>
      <c r="M16" s="531">
        <v>9</v>
      </c>
      <c r="N16" s="531">
        <v>19</v>
      </c>
      <c r="O16" s="531">
        <v>9</v>
      </c>
      <c r="P16" s="531">
        <v>19</v>
      </c>
      <c r="Q16" s="531">
        <v>9</v>
      </c>
      <c r="R16" s="531"/>
      <c r="S16" s="531">
        <v>9</v>
      </c>
      <c r="T16" s="531">
        <v>19</v>
      </c>
      <c r="U16" s="531"/>
      <c r="V16" s="531"/>
      <c r="W16" s="531"/>
      <c r="X16" s="531"/>
      <c r="Y16" s="531">
        <v>9</v>
      </c>
      <c r="Z16" s="531"/>
      <c r="AA16" s="531"/>
      <c r="AB16" s="531">
        <v>10</v>
      </c>
      <c r="AC16" s="532" t="e">
        <f>IF(NFI_Expiration=1,IF(#REF!&lt;VLOOKUP(L$5,NFI,5,0),1,0)*Table_NFI[[#This Row],[NFI Core Kit]],Table_NFI[NFI Core Kit])</f>
        <v>#REF!</v>
      </c>
      <c r="AD16" s="532" t="e">
        <f>IF(NFI_Expiration=1,IF(#REF!&lt;VLOOKUP(M$5,NFI,5,0),1,0)*Table_NFI[[#This Row],[Sanitary Kit]],Table_NFI[Sanitary Kit])</f>
        <v>#REF!</v>
      </c>
      <c r="AE16" s="532" t="e">
        <f>IF(NFI_Expiration=1,IF(#REF!&lt;VLOOKUP(N$5,NFI,5,0),1,0)*Table_NFI[[#This Row],[Mosquito net]],Table_NFI[Mosquito net])</f>
        <v>#REF!</v>
      </c>
      <c r="AF16" s="532"/>
      <c r="AG16" s="532"/>
      <c r="AH16" s="532"/>
      <c r="AI16" s="532"/>
      <c r="AJ16" s="532"/>
      <c r="AK16" s="532"/>
      <c r="AL16" s="532"/>
      <c r="AM16" s="532"/>
      <c r="AN16" s="532"/>
      <c r="AO16" s="532"/>
      <c r="AP16" s="532">
        <f>IF(Table_NFI[[#This Row],[Winter Clothes Adult]]+Table_NFI[[#This Row],[Winter Clothes Children]]+Table_NFI[[#This Row],[Winter Items Other]]+Table_NFI[[#This Row],[Winter Blanket]]&gt;0,1,0)</f>
        <v>0</v>
      </c>
      <c r="AQ16" s="532"/>
      <c r="AR16" s="532"/>
      <c r="AS16" s="532"/>
      <c r="AT16" s="532"/>
      <c r="AU16" s="532"/>
      <c r="AV16" s="532"/>
      <c r="AW16" s="532"/>
      <c r="AX16" s="203" t="str">
        <f>IFERROR(VLOOKUP(Table_NFI[[#This Row],[Location]],CL,2,0),"")</f>
        <v>MMR001CMP032</v>
      </c>
      <c r="AY16" s="181" t="s">
        <v>1235</v>
      </c>
      <c r="AZ16" s="533"/>
      <c r="BA16" s="533"/>
      <c r="BB16" s="533"/>
      <c r="BC16" s="533"/>
      <c r="BD16" s="533"/>
      <c r="BE16" s="533"/>
      <c r="BF16" s="533"/>
      <c r="BG16" s="533"/>
      <c r="BH16" s="533"/>
      <c r="BI16" s="533"/>
      <c r="BJ16" s="533"/>
      <c r="BK16" s="533"/>
      <c r="BL16" s="533"/>
      <c r="BM16" s="533"/>
      <c r="BN16" s="533"/>
      <c r="BO16" s="533"/>
      <c r="BP16" s="533"/>
      <c r="BQ16" s="533"/>
      <c r="BR16" s="533"/>
      <c r="BS16" s="533"/>
      <c r="BT16" s="533"/>
      <c r="BU16" s="533"/>
      <c r="BV16" s="533"/>
      <c r="BW16" s="533"/>
      <c r="BX16" s="533"/>
      <c r="BY16" s="533"/>
      <c r="BZ16" s="533"/>
      <c r="CA16" s="533"/>
      <c r="CB16" s="533"/>
      <c r="CC16" s="533"/>
      <c r="CD16" s="533"/>
      <c r="CE16" s="533"/>
      <c r="CF16" s="533"/>
      <c r="CG16" s="533"/>
      <c r="CH16" s="533"/>
      <c r="CI16" s="533"/>
      <c r="CJ16" s="533"/>
      <c r="CK16" s="533"/>
      <c r="CL16" s="533"/>
      <c r="CM16" s="533"/>
      <c r="CN16" s="533"/>
      <c r="CO16" s="533"/>
      <c r="CP16" s="533"/>
      <c r="CQ16" s="533"/>
      <c r="CR16" s="533"/>
      <c r="CS16" s="533"/>
      <c r="CT16" s="533"/>
      <c r="CU16" s="533"/>
      <c r="CV16" s="533"/>
      <c r="CW16" s="533"/>
      <c r="CX16" s="533"/>
      <c r="CY16" s="533"/>
      <c r="CZ16" s="533"/>
      <c r="DA16" s="533"/>
      <c r="DB16" s="533"/>
      <c r="DC16" s="533"/>
      <c r="DD16" s="533"/>
      <c r="DE16" s="533"/>
      <c r="DF16" s="533"/>
      <c r="DG16" s="533"/>
      <c r="DH16" s="533"/>
      <c r="DI16" s="533"/>
      <c r="DJ16" s="533"/>
      <c r="DK16" s="533"/>
      <c r="DL16" s="533"/>
      <c r="DM16" s="533"/>
      <c r="DN16" s="533"/>
      <c r="DO16" s="533"/>
      <c r="DP16" s="533"/>
      <c r="DQ16" s="533"/>
      <c r="DR16" s="533"/>
      <c r="DS16" s="533"/>
    </row>
    <row r="17" spans="2:123" s="529" customFormat="1" ht="18.75" hidden="1" customHeight="1" x14ac:dyDescent="0.3">
      <c r="B17" s="530">
        <v>42755</v>
      </c>
      <c r="C17" s="530" t="str">
        <f>MONTH(Table_NFI[[#This Row],[Distribution Date]]) &amp; "/" &amp; YEAR(Table_NFI[[#This Row],[Distribution Date]])</f>
        <v>1/2017</v>
      </c>
      <c r="D17" s="196" t="s">
        <v>420</v>
      </c>
      <c r="E17" s="196" t="s">
        <v>462</v>
      </c>
      <c r="F17" s="196" t="s">
        <v>378</v>
      </c>
      <c r="G17" s="196" t="s">
        <v>309</v>
      </c>
      <c r="H17" s="196" t="s">
        <v>315</v>
      </c>
      <c r="I17" s="181"/>
      <c r="J17" s="531"/>
      <c r="K17" s="531"/>
      <c r="L17" s="531">
        <v>6</v>
      </c>
      <c r="M17" s="531">
        <v>6</v>
      </c>
      <c r="N17" s="531">
        <v>17</v>
      </c>
      <c r="O17" s="531">
        <v>6</v>
      </c>
      <c r="P17" s="531">
        <v>17</v>
      </c>
      <c r="Q17" s="531">
        <v>6</v>
      </c>
      <c r="R17" s="531"/>
      <c r="S17" s="531">
        <v>6</v>
      </c>
      <c r="T17" s="531">
        <v>17</v>
      </c>
      <c r="U17" s="531"/>
      <c r="V17" s="531"/>
      <c r="W17" s="531"/>
      <c r="X17" s="531"/>
      <c r="Y17" s="531">
        <v>6</v>
      </c>
      <c r="Z17" s="531"/>
      <c r="AA17" s="531"/>
      <c r="AB17" s="531"/>
      <c r="AC17" s="532" t="e">
        <f>IF(NFI_Expiration=1,IF(#REF!&lt;VLOOKUP(L$5,NFI,5,0),1,0)*Table_NFI[[#This Row],[NFI Core Kit]],Table_NFI[NFI Core Kit])</f>
        <v>#REF!</v>
      </c>
      <c r="AD17" s="532" t="e">
        <f>IF(NFI_Expiration=1,IF(#REF!&lt;VLOOKUP(M$5,NFI,5,0),1,0)*Table_NFI[[#This Row],[Sanitary Kit]],Table_NFI[Sanitary Kit])</f>
        <v>#REF!</v>
      </c>
      <c r="AE17" s="532" t="e">
        <f>IF(NFI_Expiration=1,IF(#REF!&lt;VLOOKUP(N$5,NFI,5,0),1,0)*Table_NFI[[#This Row],[Mosquito net]],Table_NFI[Mosquito net])</f>
        <v>#REF!</v>
      </c>
      <c r="AF17" s="532"/>
      <c r="AG17" s="532"/>
      <c r="AH17" s="532"/>
      <c r="AI17" s="532"/>
      <c r="AJ17" s="532"/>
      <c r="AK17" s="532"/>
      <c r="AL17" s="532"/>
      <c r="AM17" s="532"/>
      <c r="AN17" s="532"/>
      <c r="AO17" s="532"/>
      <c r="AP17" s="532">
        <f>IF(Table_NFI[[#This Row],[Winter Clothes Adult]]+Table_NFI[[#This Row],[Winter Clothes Children]]+Table_NFI[[#This Row],[Winter Items Other]]+Table_NFI[[#This Row],[Winter Blanket]]&gt;0,1,0)</f>
        <v>0</v>
      </c>
      <c r="AQ17" s="532"/>
      <c r="AR17" s="532"/>
      <c r="AS17" s="532"/>
      <c r="AT17" s="532"/>
      <c r="AU17" s="532"/>
      <c r="AV17" s="532"/>
      <c r="AW17" s="532"/>
      <c r="AX17" s="203" t="str">
        <f>IFERROR(VLOOKUP(Table_NFI[[#This Row],[Location]],CL,2,0),"")</f>
        <v>MMR001CMP038</v>
      </c>
      <c r="AY17" s="181" t="s">
        <v>1235</v>
      </c>
      <c r="AZ17" s="533"/>
      <c r="BA17" s="533"/>
      <c r="BB17" s="533"/>
      <c r="BC17" s="533"/>
      <c r="BD17" s="533"/>
      <c r="BE17" s="533"/>
      <c r="BF17" s="533"/>
      <c r="BG17" s="533"/>
      <c r="BH17" s="533"/>
      <c r="BI17" s="533"/>
      <c r="BJ17" s="533"/>
      <c r="BK17" s="533"/>
      <c r="BL17" s="533"/>
      <c r="BM17" s="533"/>
      <c r="BN17" s="533"/>
      <c r="BO17" s="533"/>
      <c r="BP17" s="533"/>
      <c r="BQ17" s="533"/>
      <c r="BR17" s="533"/>
      <c r="BS17" s="533"/>
      <c r="BT17" s="533"/>
      <c r="BU17" s="533"/>
      <c r="BV17" s="533"/>
      <c r="BW17" s="533"/>
      <c r="BX17" s="533"/>
      <c r="BY17" s="533"/>
      <c r="BZ17" s="533"/>
      <c r="CA17" s="533"/>
      <c r="CB17" s="533"/>
      <c r="CC17" s="533"/>
      <c r="CD17" s="533"/>
      <c r="CE17" s="533"/>
      <c r="CF17" s="533"/>
      <c r="CG17" s="533"/>
      <c r="CH17" s="533"/>
      <c r="CI17" s="533"/>
      <c r="CJ17" s="533"/>
      <c r="CK17" s="533"/>
      <c r="CL17" s="533"/>
      <c r="CM17" s="533"/>
      <c r="CN17" s="533"/>
      <c r="CO17" s="533"/>
      <c r="CP17" s="533"/>
      <c r="CQ17" s="533"/>
      <c r="CR17" s="533"/>
      <c r="CS17" s="533"/>
      <c r="CT17" s="533"/>
      <c r="CU17" s="533"/>
      <c r="CV17" s="533"/>
      <c r="CW17" s="533"/>
      <c r="CX17" s="533"/>
      <c r="CY17" s="533"/>
      <c r="CZ17" s="533"/>
      <c r="DA17" s="533"/>
      <c r="DB17" s="533"/>
      <c r="DC17" s="533"/>
      <c r="DD17" s="533"/>
      <c r="DE17" s="533"/>
      <c r="DF17" s="533"/>
      <c r="DG17" s="533"/>
      <c r="DH17" s="533"/>
      <c r="DI17" s="533"/>
      <c r="DJ17" s="533"/>
      <c r="DK17" s="533"/>
      <c r="DL17" s="533"/>
      <c r="DM17" s="533"/>
      <c r="DN17" s="533"/>
      <c r="DO17" s="533"/>
      <c r="DP17" s="533"/>
      <c r="DQ17" s="533"/>
      <c r="DR17" s="533"/>
      <c r="DS17" s="533"/>
    </row>
    <row r="18" spans="2:123" s="529" customFormat="1" ht="18.75" hidden="1" customHeight="1" x14ac:dyDescent="0.3">
      <c r="B18" s="530">
        <v>42755</v>
      </c>
      <c r="C18" s="530" t="str">
        <f>MONTH(Table_NFI[[#This Row],[Distribution Date]]) &amp; "/" &amp; YEAR(Table_NFI[[#This Row],[Distribution Date]])</f>
        <v>1/2017</v>
      </c>
      <c r="D18" s="196" t="s">
        <v>420</v>
      </c>
      <c r="E18" s="196" t="s">
        <v>462</v>
      </c>
      <c r="F18" s="196" t="s">
        <v>378</v>
      </c>
      <c r="G18" s="196" t="s">
        <v>309</v>
      </c>
      <c r="H18" s="196" t="s">
        <v>347</v>
      </c>
      <c r="I18" s="181"/>
      <c r="J18" s="531"/>
      <c r="K18" s="531"/>
      <c r="L18" s="531">
        <v>1</v>
      </c>
      <c r="M18" s="531">
        <v>1</v>
      </c>
      <c r="N18" s="531">
        <v>4</v>
      </c>
      <c r="O18" s="531">
        <v>1</v>
      </c>
      <c r="P18" s="531">
        <v>4</v>
      </c>
      <c r="Q18" s="531">
        <v>1</v>
      </c>
      <c r="R18" s="531"/>
      <c r="S18" s="531">
        <v>1</v>
      </c>
      <c r="T18" s="531">
        <v>4</v>
      </c>
      <c r="U18" s="531"/>
      <c r="V18" s="531"/>
      <c r="W18" s="531"/>
      <c r="X18" s="531"/>
      <c r="Y18" s="531">
        <v>1</v>
      </c>
      <c r="Z18" s="531"/>
      <c r="AA18" s="531"/>
      <c r="AB18" s="531"/>
      <c r="AC18" s="532" t="e">
        <f>IF(NFI_Expiration=1,IF(#REF!&lt;VLOOKUP(L$5,NFI,5,0),1,0)*Table_NFI[[#This Row],[NFI Core Kit]],Table_NFI[NFI Core Kit])</f>
        <v>#REF!</v>
      </c>
      <c r="AD18" s="532" t="e">
        <f>IF(NFI_Expiration=1,IF(#REF!&lt;VLOOKUP(M$5,NFI,5,0),1,0)*Table_NFI[[#This Row],[Sanitary Kit]],Table_NFI[Sanitary Kit])</f>
        <v>#REF!</v>
      </c>
      <c r="AE18" s="532" t="e">
        <f>IF(NFI_Expiration=1,IF(#REF!&lt;VLOOKUP(N$5,NFI,5,0),1,0)*Table_NFI[[#This Row],[Mosquito net]],Table_NFI[Mosquito net])</f>
        <v>#REF!</v>
      </c>
      <c r="AF18" s="532"/>
      <c r="AG18" s="532"/>
      <c r="AH18" s="532"/>
      <c r="AI18" s="532"/>
      <c r="AJ18" s="532"/>
      <c r="AK18" s="532"/>
      <c r="AL18" s="532"/>
      <c r="AM18" s="532"/>
      <c r="AN18" s="532"/>
      <c r="AO18" s="532"/>
      <c r="AP18" s="532">
        <f>IF(Table_NFI[[#This Row],[Winter Clothes Adult]]+Table_NFI[[#This Row],[Winter Clothes Children]]+Table_NFI[[#This Row],[Winter Items Other]]+Table_NFI[[#This Row],[Winter Blanket]]&gt;0,1,0)</f>
        <v>0</v>
      </c>
      <c r="AQ18" s="532"/>
      <c r="AR18" s="532"/>
      <c r="AS18" s="532"/>
      <c r="AT18" s="532"/>
      <c r="AU18" s="532"/>
      <c r="AV18" s="532"/>
      <c r="AW18" s="532"/>
      <c r="AX18" s="203" t="str">
        <f>IFERROR(VLOOKUP(Table_NFI[[#This Row],[Location]],CL,2,0),"")</f>
        <v>MMR001CMP037</v>
      </c>
      <c r="AY18" s="181" t="s">
        <v>1235</v>
      </c>
      <c r="AZ18" s="533"/>
      <c r="BA18" s="533"/>
      <c r="BB18" s="533"/>
      <c r="BC18" s="533"/>
      <c r="BD18" s="533"/>
      <c r="BE18" s="533"/>
      <c r="BF18" s="533"/>
      <c r="BG18" s="533"/>
      <c r="BH18" s="533"/>
      <c r="BI18" s="533"/>
      <c r="BJ18" s="533"/>
      <c r="BK18" s="533"/>
      <c r="BL18" s="533"/>
      <c r="BM18" s="533"/>
      <c r="BN18" s="533"/>
      <c r="BO18" s="533"/>
      <c r="BP18" s="533"/>
      <c r="BQ18" s="533"/>
      <c r="BR18" s="533"/>
      <c r="BS18" s="533"/>
      <c r="BT18" s="533"/>
      <c r="BU18" s="533"/>
      <c r="BV18" s="533"/>
      <c r="BW18" s="533"/>
      <c r="BX18" s="533"/>
      <c r="BY18" s="533"/>
      <c r="BZ18" s="533"/>
      <c r="CA18" s="533"/>
      <c r="CB18" s="533"/>
      <c r="CC18" s="533"/>
      <c r="CD18" s="533"/>
      <c r="CE18" s="533"/>
      <c r="CF18" s="533"/>
      <c r="CG18" s="533"/>
      <c r="CH18" s="533"/>
      <c r="CI18" s="533"/>
      <c r="CJ18" s="533"/>
      <c r="CK18" s="533"/>
      <c r="CL18" s="533"/>
      <c r="CM18" s="533"/>
      <c r="CN18" s="533"/>
      <c r="CO18" s="533"/>
      <c r="CP18" s="533"/>
      <c r="CQ18" s="533"/>
      <c r="CR18" s="533"/>
      <c r="CS18" s="533"/>
      <c r="CT18" s="533"/>
      <c r="CU18" s="533"/>
      <c r="CV18" s="533"/>
      <c r="CW18" s="533"/>
      <c r="CX18" s="533"/>
      <c r="CY18" s="533"/>
      <c r="CZ18" s="533"/>
      <c r="DA18" s="533"/>
      <c r="DB18" s="533"/>
      <c r="DC18" s="533"/>
      <c r="DD18" s="533"/>
      <c r="DE18" s="533"/>
      <c r="DF18" s="533"/>
      <c r="DG18" s="533"/>
      <c r="DH18" s="533"/>
      <c r="DI18" s="533"/>
      <c r="DJ18" s="533"/>
      <c r="DK18" s="533"/>
      <c r="DL18" s="533"/>
      <c r="DM18" s="533"/>
      <c r="DN18" s="533"/>
      <c r="DO18" s="533"/>
      <c r="DP18" s="533"/>
      <c r="DQ18" s="533"/>
      <c r="DR18" s="533"/>
      <c r="DS18" s="533"/>
    </row>
    <row r="19" spans="2:123" s="529" customFormat="1" ht="18.75" hidden="1" customHeight="1" x14ac:dyDescent="0.3">
      <c r="B19" s="530">
        <v>42755</v>
      </c>
      <c r="C19" s="530" t="str">
        <f>MONTH(Table_NFI[[#This Row],[Distribution Date]]) &amp; "/" &amp; YEAR(Table_NFI[[#This Row],[Distribution Date]])</f>
        <v>1/2017</v>
      </c>
      <c r="D19" s="196" t="s">
        <v>420</v>
      </c>
      <c r="E19" s="196" t="s">
        <v>424</v>
      </c>
      <c r="F19" s="196" t="s">
        <v>378</v>
      </c>
      <c r="G19" s="196" t="s">
        <v>151</v>
      </c>
      <c r="H19" s="196" t="s">
        <v>802</v>
      </c>
      <c r="I19" s="181"/>
      <c r="J19" s="531"/>
      <c r="K19" s="531"/>
      <c r="L19" s="531">
        <v>11</v>
      </c>
      <c r="M19" s="531">
        <v>11</v>
      </c>
      <c r="N19" s="531">
        <v>32</v>
      </c>
      <c r="O19" s="531">
        <v>11</v>
      </c>
      <c r="P19" s="531">
        <v>32</v>
      </c>
      <c r="Q19" s="531">
        <v>11</v>
      </c>
      <c r="R19" s="531"/>
      <c r="S19" s="531">
        <v>11</v>
      </c>
      <c r="T19" s="531">
        <v>52</v>
      </c>
      <c r="U19" s="531"/>
      <c r="V19" s="531"/>
      <c r="W19" s="531"/>
      <c r="X19" s="531"/>
      <c r="Y19" s="531">
        <v>11</v>
      </c>
      <c r="Z19" s="531"/>
      <c r="AA19" s="531"/>
      <c r="AB19" s="531">
        <v>11</v>
      </c>
      <c r="AC19" s="532" t="e">
        <f>IF(NFI_Expiration=1,IF(#REF!&lt;VLOOKUP(L$5,NFI,5,0),1,0)*Table_NFI[[#This Row],[NFI Core Kit]],Table_NFI[NFI Core Kit])</f>
        <v>#REF!</v>
      </c>
      <c r="AD19" s="532" t="e">
        <f>IF(NFI_Expiration=1,IF(#REF!&lt;VLOOKUP(M$5,NFI,5,0),1,0)*Table_NFI[[#This Row],[Sanitary Kit]],Table_NFI[Sanitary Kit])</f>
        <v>#REF!</v>
      </c>
      <c r="AE19" s="532" t="e">
        <f>IF(NFI_Expiration=1,IF(#REF!&lt;VLOOKUP(N$5,NFI,5,0),1,0)*Table_NFI[[#This Row],[Mosquito net]],Table_NFI[Mosquito net])</f>
        <v>#REF!</v>
      </c>
      <c r="AF19" s="532"/>
      <c r="AG19" s="532"/>
      <c r="AH19" s="532"/>
      <c r="AI19" s="532"/>
      <c r="AJ19" s="532"/>
      <c r="AK19" s="532"/>
      <c r="AL19" s="532"/>
      <c r="AM19" s="532"/>
      <c r="AN19" s="532"/>
      <c r="AO19" s="532"/>
      <c r="AP19" s="532">
        <f>IF(Table_NFI[[#This Row],[Winter Clothes Adult]]+Table_NFI[[#This Row],[Winter Clothes Children]]+Table_NFI[[#This Row],[Winter Items Other]]+Table_NFI[[#This Row],[Winter Blanket]]&gt;0,1,0)</f>
        <v>0</v>
      </c>
      <c r="AQ19" s="532"/>
      <c r="AR19" s="532"/>
      <c r="AS19" s="532"/>
      <c r="AT19" s="532"/>
      <c r="AU19" s="532"/>
      <c r="AV19" s="532"/>
      <c r="AW19" s="532"/>
      <c r="AX19" s="203" t="str">
        <f>IFERROR(VLOOKUP(Table_NFI[[#This Row],[Location]],CL,2,0),"")</f>
        <v>MMR001CMP212</v>
      </c>
      <c r="AY19" s="181" t="s">
        <v>1235</v>
      </c>
      <c r="AZ19" s="533"/>
      <c r="BA19" s="533"/>
      <c r="BB19" s="533"/>
      <c r="BC19" s="533"/>
      <c r="BD19" s="533"/>
      <c r="BE19" s="533"/>
      <c r="BF19" s="533"/>
      <c r="BG19" s="533"/>
      <c r="BH19" s="533"/>
      <c r="BI19" s="533"/>
      <c r="BJ19" s="533"/>
      <c r="BK19" s="533"/>
      <c r="BL19" s="533"/>
      <c r="BM19" s="533"/>
      <c r="BN19" s="533"/>
      <c r="BO19" s="533"/>
      <c r="BP19" s="533"/>
      <c r="BQ19" s="533"/>
      <c r="BR19" s="533"/>
      <c r="BS19" s="533"/>
      <c r="BT19" s="533"/>
      <c r="BU19" s="533"/>
      <c r="BV19" s="533"/>
      <c r="BW19" s="533"/>
      <c r="BX19" s="533"/>
      <c r="BY19" s="533"/>
      <c r="BZ19" s="533"/>
      <c r="CA19" s="533"/>
      <c r="CB19" s="533"/>
      <c r="CC19" s="533"/>
      <c r="CD19" s="533"/>
      <c r="CE19" s="533"/>
      <c r="CF19" s="533"/>
      <c r="CG19" s="533"/>
      <c r="CH19" s="533"/>
      <c r="CI19" s="533"/>
      <c r="CJ19" s="533"/>
      <c r="CK19" s="533"/>
      <c r="CL19" s="533"/>
      <c r="CM19" s="533"/>
      <c r="CN19" s="533"/>
      <c r="CO19" s="533"/>
      <c r="CP19" s="533"/>
      <c r="CQ19" s="533"/>
      <c r="CR19" s="533"/>
      <c r="CS19" s="533"/>
      <c r="CT19" s="533"/>
      <c r="CU19" s="533"/>
      <c r="CV19" s="533"/>
      <c r="CW19" s="533"/>
      <c r="CX19" s="533"/>
      <c r="CY19" s="533"/>
      <c r="CZ19" s="533"/>
      <c r="DA19" s="533"/>
      <c r="DB19" s="533"/>
      <c r="DC19" s="533"/>
      <c r="DD19" s="533"/>
      <c r="DE19" s="533"/>
      <c r="DF19" s="533"/>
      <c r="DG19" s="533"/>
      <c r="DH19" s="533"/>
      <c r="DI19" s="533"/>
      <c r="DJ19" s="533"/>
      <c r="DK19" s="533"/>
      <c r="DL19" s="533"/>
      <c r="DM19" s="533"/>
      <c r="DN19" s="533"/>
      <c r="DO19" s="533"/>
      <c r="DP19" s="533"/>
      <c r="DQ19" s="533"/>
      <c r="DR19" s="533"/>
      <c r="DS19" s="533"/>
    </row>
    <row r="20" spans="2:123" s="529" customFormat="1" ht="18.75" hidden="1" customHeight="1" x14ac:dyDescent="0.3">
      <c r="B20" s="530">
        <v>42758</v>
      </c>
      <c r="C20" s="530" t="str">
        <f>MONTH(Table_NFI[[#This Row],[Distribution Date]]) &amp; "/" &amp; YEAR(Table_NFI[[#This Row],[Distribution Date]])</f>
        <v>1/2017</v>
      </c>
      <c r="D20" s="195" t="s">
        <v>1375</v>
      </c>
      <c r="E20" s="195" t="s">
        <v>1375</v>
      </c>
      <c r="F20" s="196" t="s">
        <v>378</v>
      </c>
      <c r="G20" s="196" t="s">
        <v>309</v>
      </c>
      <c r="H20" s="196" t="s">
        <v>196</v>
      </c>
      <c r="I20" s="181"/>
      <c r="J20" s="531">
        <v>38</v>
      </c>
      <c r="K20" s="531"/>
      <c r="L20" s="531">
        <v>38</v>
      </c>
      <c r="M20" s="531">
        <v>342</v>
      </c>
      <c r="N20" s="531">
        <v>76</v>
      </c>
      <c r="O20" s="531"/>
      <c r="P20" s="531">
        <v>76</v>
      </c>
      <c r="Q20" s="531"/>
      <c r="R20" s="531"/>
      <c r="S20" s="531">
        <v>38</v>
      </c>
      <c r="T20" s="531">
        <v>76</v>
      </c>
      <c r="U20" s="531"/>
      <c r="V20" s="531"/>
      <c r="W20" s="531"/>
      <c r="X20" s="531"/>
      <c r="Y20" s="531">
        <v>38</v>
      </c>
      <c r="Z20" s="531"/>
      <c r="AA20" s="531"/>
      <c r="AB20" s="531"/>
      <c r="AC20" s="532"/>
      <c r="AD20" s="532"/>
      <c r="AE20" s="532"/>
      <c r="AF20" s="532"/>
      <c r="AG20" s="532"/>
      <c r="AH20" s="532"/>
      <c r="AI20" s="532"/>
      <c r="AJ20" s="532"/>
      <c r="AK20" s="532"/>
      <c r="AL20" s="532"/>
      <c r="AM20" s="532"/>
      <c r="AN20" s="532"/>
      <c r="AO20" s="532"/>
      <c r="AP20" s="532">
        <f>IF(Table_NFI[[#This Row],[Winter Clothes Adult]]+Table_NFI[[#This Row],[Winter Clothes Children]]+Table_NFI[[#This Row],[Winter Items Other]]+Table_NFI[[#This Row],[Winter Blanket]]&gt;0,1,0)</f>
        <v>0</v>
      </c>
      <c r="AQ20" s="532"/>
      <c r="AR20" s="532"/>
      <c r="AS20" s="532"/>
      <c r="AT20" s="532"/>
      <c r="AU20" s="532"/>
      <c r="AV20" s="532"/>
      <c r="AW20" s="532"/>
      <c r="AX20" s="203" t="str">
        <f>IFERROR(VLOOKUP(Table_NFI[[#This Row],[Location]],CL,2,0),"")</f>
        <v>MMR001CMP121</v>
      </c>
      <c r="AY20" s="197" t="s">
        <v>1253</v>
      </c>
      <c r="AZ20" s="533"/>
      <c r="BA20" s="533"/>
      <c r="BB20" s="533"/>
      <c r="BC20" s="533"/>
      <c r="BD20" s="533"/>
      <c r="BE20" s="533"/>
      <c r="BF20" s="533"/>
      <c r="BG20" s="533"/>
      <c r="BH20" s="533"/>
      <c r="BI20" s="533"/>
      <c r="BJ20" s="533"/>
      <c r="BK20" s="533"/>
      <c r="BL20" s="533"/>
      <c r="BM20" s="533"/>
      <c r="BN20" s="533"/>
      <c r="BO20" s="533"/>
      <c r="BP20" s="533"/>
      <c r="BQ20" s="533"/>
      <c r="BR20" s="533"/>
      <c r="BS20" s="533"/>
      <c r="BT20" s="533"/>
      <c r="BU20" s="533"/>
      <c r="BV20" s="533"/>
      <c r="BW20" s="533"/>
      <c r="BX20" s="533"/>
      <c r="BY20" s="533"/>
      <c r="BZ20" s="533"/>
      <c r="CA20" s="533"/>
      <c r="CB20" s="533"/>
      <c r="CC20" s="533"/>
      <c r="CD20" s="533"/>
      <c r="CE20" s="533"/>
      <c r="CF20" s="533"/>
      <c r="CG20" s="533"/>
      <c r="CH20" s="533"/>
      <c r="CI20" s="533"/>
      <c r="CJ20" s="533"/>
      <c r="CK20" s="533"/>
      <c r="CL20" s="533"/>
      <c r="CM20" s="533"/>
      <c r="CN20" s="533"/>
      <c r="CO20" s="533"/>
      <c r="CP20" s="533"/>
      <c r="CQ20" s="533"/>
      <c r="CR20" s="533"/>
      <c r="CS20" s="533"/>
      <c r="CT20" s="533"/>
      <c r="CU20" s="533"/>
      <c r="CV20" s="533"/>
      <c r="CW20" s="533"/>
      <c r="CX20" s="533"/>
      <c r="CY20" s="533"/>
      <c r="CZ20" s="533"/>
      <c r="DA20" s="533"/>
      <c r="DB20" s="533"/>
      <c r="DC20" s="533"/>
      <c r="DD20" s="533"/>
      <c r="DE20" s="533"/>
      <c r="DF20" s="533"/>
      <c r="DG20" s="533"/>
      <c r="DH20" s="533"/>
      <c r="DI20" s="533"/>
      <c r="DJ20" s="533"/>
      <c r="DK20" s="533"/>
      <c r="DL20" s="533"/>
      <c r="DM20" s="533"/>
      <c r="DN20" s="533"/>
      <c r="DO20" s="533"/>
      <c r="DP20" s="533"/>
      <c r="DQ20" s="533"/>
      <c r="DR20" s="533"/>
      <c r="DS20" s="533"/>
    </row>
    <row r="21" spans="2:123" s="529" customFormat="1" ht="18.75" hidden="1" customHeight="1" x14ac:dyDescent="0.3">
      <c r="B21" s="530">
        <v>42758</v>
      </c>
      <c r="C21" s="530" t="str">
        <f>MONTH(Table_NFI[[#This Row],[Distribution Date]]) &amp; "/" &amp; YEAR(Table_NFI[[#This Row],[Distribution Date]])</f>
        <v>1/2017</v>
      </c>
      <c r="D21" s="196" t="s">
        <v>420</v>
      </c>
      <c r="E21" s="534" t="s">
        <v>1570</v>
      </c>
      <c r="F21" s="196" t="s">
        <v>378</v>
      </c>
      <c r="G21" s="196" t="s">
        <v>151</v>
      </c>
      <c r="H21" s="196" t="s">
        <v>801</v>
      </c>
      <c r="I21" s="181"/>
      <c r="J21" s="531"/>
      <c r="K21" s="531"/>
      <c r="L21" s="531">
        <v>24</v>
      </c>
      <c r="M21" s="531">
        <v>25</v>
      </c>
      <c r="N21" s="531">
        <v>45</v>
      </c>
      <c r="O21" s="531">
        <v>25</v>
      </c>
      <c r="P21" s="531">
        <v>45</v>
      </c>
      <c r="Q21" s="531">
        <v>25</v>
      </c>
      <c r="R21" s="531"/>
      <c r="S21" s="531">
        <v>25</v>
      </c>
      <c r="T21" s="531">
        <v>83</v>
      </c>
      <c r="U21" s="531"/>
      <c r="V21" s="531"/>
      <c r="W21" s="531"/>
      <c r="X21" s="531"/>
      <c r="Y21" s="531">
        <v>25</v>
      </c>
      <c r="Z21" s="531"/>
      <c r="AA21" s="531"/>
      <c r="AB21" s="531"/>
      <c r="AC21" s="532"/>
      <c r="AD21" s="532"/>
      <c r="AE21" s="532"/>
      <c r="AF21" s="532"/>
      <c r="AG21" s="532"/>
      <c r="AH21" s="532"/>
      <c r="AI21" s="532"/>
      <c r="AJ21" s="532"/>
      <c r="AK21" s="532"/>
      <c r="AL21" s="532"/>
      <c r="AM21" s="532"/>
      <c r="AN21" s="532"/>
      <c r="AO21" s="532"/>
      <c r="AP21" s="532">
        <f>IF(Table_NFI[[#This Row],[Winter Clothes Adult]]+Table_NFI[[#This Row],[Winter Clothes Children]]+Table_NFI[[#This Row],[Winter Items Other]]+Table_NFI[[#This Row],[Winter Blanket]]&gt;0,1,0)</f>
        <v>0</v>
      </c>
      <c r="AQ21" s="532"/>
      <c r="AR21" s="532"/>
      <c r="AS21" s="532"/>
      <c r="AT21" s="532"/>
      <c r="AU21" s="532"/>
      <c r="AV21" s="532"/>
      <c r="AW21" s="532"/>
      <c r="AX21" s="203" t="str">
        <f>IFERROR(VLOOKUP(Table_NFI[[#This Row],[Location]],CL,2,0),"")</f>
        <v>MMR001CMP213</v>
      </c>
      <c r="AY21" s="181" t="s">
        <v>1232</v>
      </c>
      <c r="AZ21" s="533"/>
      <c r="BA21" s="533"/>
      <c r="BB21" s="533"/>
      <c r="BC21" s="533"/>
      <c r="BD21" s="533"/>
      <c r="BE21" s="533"/>
      <c r="BF21" s="533"/>
      <c r="BG21" s="533"/>
      <c r="BH21" s="533"/>
      <c r="BI21" s="533"/>
      <c r="BJ21" s="533"/>
      <c r="BK21" s="533"/>
      <c r="BL21" s="533"/>
      <c r="BM21" s="533"/>
      <c r="BN21" s="533"/>
      <c r="BO21" s="533"/>
      <c r="BP21" s="533"/>
      <c r="BQ21" s="533"/>
      <c r="BR21" s="533"/>
      <c r="BS21" s="533"/>
      <c r="BT21" s="533"/>
      <c r="BU21" s="533"/>
      <c r="BV21" s="533"/>
      <c r="BW21" s="533"/>
      <c r="BX21" s="533"/>
      <c r="BY21" s="533"/>
      <c r="BZ21" s="533"/>
      <c r="CA21" s="533"/>
      <c r="CB21" s="533"/>
      <c r="CC21" s="533"/>
      <c r="CD21" s="533"/>
      <c r="CE21" s="533"/>
      <c r="CF21" s="533"/>
      <c r="CG21" s="533"/>
      <c r="CH21" s="533"/>
      <c r="CI21" s="533"/>
      <c r="CJ21" s="533"/>
      <c r="CK21" s="533"/>
      <c r="CL21" s="533"/>
      <c r="CM21" s="533"/>
      <c r="CN21" s="533"/>
      <c r="CO21" s="533"/>
      <c r="CP21" s="533"/>
      <c r="CQ21" s="533"/>
      <c r="CR21" s="533"/>
      <c r="CS21" s="533"/>
      <c r="CT21" s="533"/>
      <c r="CU21" s="533"/>
      <c r="CV21" s="533"/>
      <c r="CW21" s="533"/>
      <c r="CX21" s="533"/>
      <c r="CY21" s="533"/>
      <c r="CZ21" s="533"/>
      <c r="DA21" s="533"/>
      <c r="DB21" s="533"/>
      <c r="DC21" s="533"/>
      <c r="DD21" s="533"/>
      <c r="DE21" s="533"/>
      <c r="DF21" s="533"/>
      <c r="DG21" s="533"/>
      <c r="DH21" s="533"/>
      <c r="DI21" s="533"/>
      <c r="DJ21" s="533"/>
      <c r="DK21" s="533"/>
      <c r="DL21" s="533"/>
      <c r="DM21" s="533"/>
      <c r="DN21" s="533"/>
      <c r="DO21" s="533"/>
      <c r="DP21" s="533"/>
      <c r="DQ21" s="533"/>
      <c r="DR21" s="533"/>
      <c r="DS21" s="533"/>
    </row>
    <row r="22" spans="2:123" s="529" customFormat="1" ht="18.75" hidden="1" customHeight="1" x14ac:dyDescent="0.3">
      <c r="B22" s="530">
        <v>42758</v>
      </c>
      <c r="C22" s="530" t="str">
        <f>MONTH(Table_NFI[[#This Row],[Distribution Date]]) &amp; "/" &amp; YEAR(Table_NFI[[#This Row],[Distribution Date]])</f>
        <v>1/2017</v>
      </c>
      <c r="D22" s="196" t="s">
        <v>420</v>
      </c>
      <c r="E22" s="534" t="s">
        <v>1570</v>
      </c>
      <c r="F22" s="196" t="s">
        <v>378</v>
      </c>
      <c r="G22" s="196" t="s">
        <v>151</v>
      </c>
      <c r="H22" s="196" t="s">
        <v>801</v>
      </c>
      <c r="I22" s="181"/>
      <c r="J22" s="531"/>
      <c r="K22" s="531"/>
      <c r="L22" s="531">
        <v>24</v>
      </c>
      <c r="M22" s="531">
        <v>25</v>
      </c>
      <c r="N22" s="531">
        <v>45</v>
      </c>
      <c r="O22" s="531">
        <v>25</v>
      </c>
      <c r="P22" s="531">
        <v>45</v>
      </c>
      <c r="Q22" s="531">
        <v>25</v>
      </c>
      <c r="R22" s="531"/>
      <c r="S22" s="531">
        <v>25</v>
      </c>
      <c r="T22" s="531">
        <v>83</v>
      </c>
      <c r="U22" s="531"/>
      <c r="V22" s="531"/>
      <c r="W22" s="531"/>
      <c r="X22" s="531"/>
      <c r="Y22" s="531"/>
      <c r="Z22" s="531"/>
      <c r="AA22" s="531"/>
      <c r="AB22" s="531"/>
      <c r="AC22" s="532"/>
      <c r="AD22" s="532"/>
      <c r="AE22" s="532"/>
      <c r="AF22" s="532"/>
      <c r="AG22" s="532"/>
      <c r="AH22" s="532"/>
      <c r="AI22" s="532"/>
      <c r="AJ22" s="532"/>
      <c r="AK22" s="532"/>
      <c r="AL22" s="532"/>
      <c r="AM22" s="532"/>
      <c r="AN22" s="532"/>
      <c r="AO22" s="532"/>
      <c r="AP22" s="532">
        <f>IF(Table_NFI[[#This Row],[Winter Clothes Adult]]+Table_NFI[[#This Row],[Winter Clothes Children]]+Table_NFI[[#This Row],[Winter Items Other]]+Table_NFI[[#This Row],[Winter Blanket]]&gt;0,1,0)</f>
        <v>0</v>
      </c>
      <c r="AQ22" s="532"/>
      <c r="AR22" s="532"/>
      <c r="AS22" s="532"/>
      <c r="AT22" s="532"/>
      <c r="AU22" s="532"/>
      <c r="AV22" s="532"/>
      <c r="AW22" s="532"/>
      <c r="AX22" s="203" t="str">
        <f>IFERROR(VLOOKUP(Table_NFI[[#This Row],[Location]],CL,2,0),"")</f>
        <v>MMR001CMP213</v>
      </c>
      <c r="AY22" s="181" t="s">
        <v>1232</v>
      </c>
      <c r="AZ22" s="533"/>
      <c r="BA22" s="533"/>
      <c r="BB22" s="533"/>
      <c r="BC22" s="533"/>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533"/>
      <c r="CB22" s="533"/>
      <c r="CC22" s="533"/>
      <c r="CD22" s="533"/>
      <c r="CE22" s="533"/>
      <c r="CF22" s="533"/>
      <c r="CG22" s="533"/>
      <c r="CH22" s="533"/>
      <c r="CI22" s="533"/>
      <c r="CJ22" s="533"/>
      <c r="CK22" s="533"/>
      <c r="CL22" s="533"/>
      <c r="CM22" s="533"/>
      <c r="CN22" s="533"/>
      <c r="CO22" s="533"/>
      <c r="CP22" s="533"/>
      <c r="CQ22" s="533"/>
      <c r="CR22" s="533"/>
      <c r="CS22" s="533"/>
      <c r="CT22" s="533"/>
      <c r="CU22" s="533"/>
      <c r="CV22" s="533"/>
      <c r="CW22" s="533"/>
      <c r="CX22" s="533"/>
      <c r="CY22" s="533"/>
      <c r="CZ22" s="533"/>
      <c r="DA22" s="533"/>
      <c r="DB22" s="533"/>
      <c r="DC22" s="533"/>
      <c r="DD22" s="533"/>
      <c r="DE22" s="533"/>
      <c r="DF22" s="533"/>
      <c r="DG22" s="533"/>
      <c r="DH22" s="533"/>
      <c r="DI22" s="533"/>
      <c r="DJ22" s="533"/>
      <c r="DK22" s="533"/>
      <c r="DL22" s="533"/>
      <c r="DM22" s="533"/>
      <c r="DN22" s="533"/>
      <c r="DO22" s="533"/>
      <c r="DP22" s="533"/>
      <c r="DQ22" s="533"/>
      <c r="DR22" s="533"/>
      <c r="DS22" s="533"/>
    </row>
    <row r="23" spans="2:123" s="529" customFormat="1" ht="18.75" hidden="1" customHeight="1" x14ac:dyDescent="0.3">
      <c r="B23" s="530">
        <v>42761</v>
      </c>
      <c r="C23" s="530" t="str">
        <f>MONTH(Table_NFI[[#This Row],[Distribution Date]]) &amp; "/" &amp; YEAR(Table_NFI[[#This Row],[Distribution Date]])</f>
        <v>1/2017</v>
      </c>
      <c r="D23" s="196" t="s">
        <v>420</v>
      </c>
      <c r="E23" s="196" t="s">
        <v>424</v>
      </c>
      <c r="F23" s="196" t="s">
        <v>378</v>
      </c>
      <c r="G23" s="196" t="s">
        <v>309</v>
      </c>
      <c r="H23" s="196" t="s">
        <v>323</v>
      </c>
      <c r="I23" s="181"/>
      <c r="J23" s="531"/>
      <c r="K23" s="531"/>
      <c r="L23" s="531">
        <v>6</v>
      </c>
      <c r="M23" s="531">
        <v>6</v>
      </c>
      <c r="N23" s="531">
        <v>18</v>
      </c>
      <c r="O23" s="531">
        <v>6</v>
      </c>
      <c r="P23" s="531">
        <v>24</v>
      </c>
      <c r="Q23" s="531">
        <v>6</v>
      </c>
      <c r="R23" s="531"/>
      <c r="S23" s="531">
        <v>6</v>
      </c>
      <c r="T23" s="531">
        <v>24</v>
      </c>
      <c r="U23" s="531"/>
      <c r="V23" s="531"/>
      <c r="W23" s="531"/>
      <c r="X23" s="531"/>
      <c r="Y23" s="531">
        <v>6</v>
      </c>
      <c r="Z23" s="531"/>
      <c r="AA23" s="531"/>
      <c r="AB23" s="531">
        <v>6</v>
      </c>
      <c r="AC23" s="532"/>
      <c r="AD23" s="532"/>
      <c r="AE23" s="532"/>
      <c r="AF23" s="532"/>
      <c r="AG23" s="532"/>
      <c r="AH23" s="532"/>
      <c r="AI23" s="532"/>
      <c r="AJ23" s="532"/>
      <c r="AK23" s="532"/>
      <c r="AL23" s="532"/>
      <c r="AM23" s="532"/>
      <c r="AN23" s="532"/>
      <c r="AO23" s="532"/>
      <c r="AP23" s="532">
        <f>IF(Table_NFI[[#This Row],[Winter Clothes Adult]]+Table_NFI[[#This Row],[Winter Clothes Children]]+Table_NFI[[#This Row],[Winter Items Other]]+Table_NFI[[#This Row],[Winter Blanket]]&gt;0,1,0)</f>
        <v>0</v>
      </c>
      <c r="AQ23" s="532"/>
      <c r="AR23" s="532"/>
      <c r="AS23" s="532"/>
      <c r="AT23" s="532"/>
      <c r="AU23" s="532"/>
      <c r="AV23" s="532"/>
      <c r="AW23" s="532"/>
      <c r="AX23" s="203" t="str">
        <f>IFERROR(VLOOKUP(Table_NFI[[#This Row],[Location]],CL,2,0),"")</f>
        <v>MMR001CMP040</v>
      </c>
      <c r="AY23" s="181" t="s">
        <v>1235</v>
      </c>
      <c r="AZ23" s="533"/>
      <c r="BA23" s="533"/>
      <c r="BB23" s="533"/>
      <c r="BC23" s="533"/>
      <c r="BD23" s="533"/>
      <c r="BE23" s="533"/>
      <c r="BF23" s="533"/>
      <c r="BG23" s="533"/>
      <c r="BH23" s="533"/>
      <c r="BI23" s="533"/>
      <c r="BJ23" s="533"/>
      <c r="BK23" s="533"/>
      <c r="BL23" s="533"/>
      <c r="BM23" s="533"/>
      <c r="BN23" s="533"/>
      <c r="BO23" s="533"/>
      <c r="BP23" s="533"/>
      <c r="BQ23" s="533"/>
      <c r="BR23" s="533"/>
      <c r="BS23" s="533"/>
      <c r="BT23" s="533"/>
      <c r="BU23" s="533"/>
      <c r="BV23" s="533"/>
      <c r="BW23" s="533"/>
      <c r="BX23" s="533"/>
      <c r="BY23" s="533"/>
      <c r="BZ23" s="533"/>
      <c r="CA23" s="533"/>
      <c r="CB23" s="533"/>
      <c r="CC23" s="533"/>
      <c r="CD23" s="533"/>
      <c r="CE23" s="533"/>
      <c r="CF23" s="533"/>
      <c r="CG23" s="533"/>
      <c r="CH23" s="533"/>
      <c r="CI23" s="533"/>
      <c r="CJ23" s="533"/>
      <c r="CK23" s="533"/>
      <c r="CL23" s="533"/>
      <c r="CM23" s="533"/>
      <c r="CN23" s="533"/>
      <c r="CO23" s="533"/>
      <c r="CP23" s="533"/>
      <c r="CQ23" s="533"/>
      <c r="CR23" s="533"/>
      <c r="CS23" s="533"/>
      <c r="CT23" s="533"/>
      <c r="CU23" s="533"/>
      <c r="CV23" s="533"/>
      <c r="CW23" s="533"/>
      <c r="CX23" s="533"/>
      <c r="CY23" s="533"/>
      <c r="CZ23" s="533"/>
      <c r="DA23" s="533"/>
      <c r="DB23" s="533"/>
      <c r="DC23" s="533"/>
      <c r="DD23" s="533"/>
      <c r="DE23" s="533"/>
      <c r="DF23" s="533"/>
      <c r="DG23" s="533"/>
      <c r="DH23" s="533"/>
      <c r="DI23" s="533"/>
      <c r="DJ23" s="533"/>
      <c r="DK23" s="533"/>
      <c r="DL23" s="533"/>
      <c r="DM23" s="533"/>
      <c r="DN23" s="533"/>
      <c r="DO23" s="533"/>
      <c r="DP23" s="533"/>
      <c r="DQ23" s="533"/>
      <c r="DR23" s="533"/>
      <c r="DS23" s="533"/>
    </row>
    <row r="24" spans="2:123" s="529" customFormat="1" ht="18.75" hidden="1" customHeight="1" x14ac:dyDescent="0.3">
      <c r="B24" s="530">
        <v>42763</v>
      </c>
      <c r="C24" s="530" t="str">
        <f>MONTH(Table_NFI[[#This Row],[Distribution Date]]) &amp; "/" &amp; YEAR(Table_NFI[[#This Row],[Distribution Date]])</f>
        <v>1/2017</v>
      </c>
      <c r="D24" s="196" t="s">
        <v>420</v>
      </c>
      <c r="E24" s="196" t="s">
        <v>1087</v>
      </c>
      <c r="F24" s="196" t="s">
        <v>378</v>
      </c>
      <c r="G24" s="196" t="s">
        <v>309</v>
      </c>
      <c r="H24" s="196" t="s">
        <v>329</v>
      </c>
      <c r="I24" s="181"/>
      <c r="J24" s="531"/>
      <c r="K24" s="531"/>
      <c r="L24" s="531"/>
      <c r="M24" s="531"/>
      <c r="N24" s="531"/>
      <c r="O24" s="531"/>
      <c r="P24" s="531"/>
      <c r="Q24" s="531"/>
      <c r="R24" s="531"/>
      <c r="S24" s="531"/>
      <c r="T24" s="531"/>
      <c r="U24" s="531"/>
      <c r="V24" s="531"/>
      <c r="W24" s="531"/>
      <c r="X24" s="531"/>
      <c r="Y24" s="531"/>
      <c r="Z24" s="531"/>
      <c r="AA24" s="531"/>
      <c r="AB24" s="531">
        <v>10</v>
      </c>
      <c r="AC24" s="532"/>
      <c r="AD24" s="532"/>
      <c r="AE24" s="532"/>
      <c r="AF24" s="532"/>
      <c r="AG24" s="532"/>
      <c r="AH24" s="532"/>
      <c r="AI24" s="532"/>
      <c r="AJ24" s="532"/>
      <c r="AK24" s="532"/>
      <c r="AL24" s="532"/>
      <c r="AM24" s="532"/>
      <c r="AN24" s="532"/>
      <c r="AO24" s="532"/>
      <c r="AP24" s="532">
        <f>IF(Table_NFI[[#This Row],[Winter Clothes Adult]]+Table_NFI[[#This Row],[Winter Clothes Children]]+Table_NFI[[#This Row],[Winter Items Other]]+Table_NFI[[#This Row],[Winter Blanket]]&gt;0,1,0)</f>
        <v>0</v>
      </c>
      <c r="AQ24" s="532"/>
      <c r="AR24" s="532"/>
      <c r="AS24" s="532"/>
      <c r="AT24" s="532"/>
      <c r="AU24" s="532"/>
      <c r="AV24" s="532"/>
      <c r="AW24" s="532"/>
      <c r="AX24" s="203" t="str">
        <f>IFERROR(VLOOKUP(Table_NFI[[#This Row],[Location]],CL,2,0),"")</f>
        <v>MMR001CMP029</v>
      </c>
      <c r="AY24" s="181" t="s">
        <v>1235</v>
      </c>
      <c r="AZ24" s="533"/>
      <c r="BA24" s="533"/>
      <c r="BB24" s="533"/>
      <c r="BC24" s="533"/>
      <c r="BD24" s="533"/>
      <c r="BE24" s="533"/>
      <c r="BF24" s="533"/>
      <c r="BG24" s="533"/>
      <c r="BH24" s="533"/>
      <c r="BI24" s="533"/>
      <c r="BJ24" s="533"/>
      <c r="BK24" s="533"/>
      <c r="BL24" s="533"/>
      <c r="BM24" s="533"/>
      <c r="BN24" s="533"/>
      <c r="BO24" s="533"/>
      <c r="BP24" s="533"/>
      <c r="BQ24" s="533"/>
      <c r="BR24" s="533"/>
      <c r="BS24" s="533"/>
      <c r="BT24" s="533"/>
      <c r="BU24" s="533"/>
      <c r="BV24" s="533"/>
      <c r="BW24" s="533"/>
      <c r="BX24" s="533"/>
      <c r="BY24" s="533"/>
      <c r="BZ24" s="533"/>
      <c r="CA24" s="533"/>
      <c r="CB24" s="533"/>
      <c r="CC24" s="533"/>
      <c r="CD24" s="533"/>
      <c r="CE24" s="533"/>
      <c r="CF24" s="533"/>
      <c r="CG24" s="533"/>
      <c r="CH24" s="533"/>
      <c r="CI24" s="533"/>
      <c r="CJ24" s="533"/>
      <c r="CK24" s="533"/>
      <c r="CL24" s="533"/>
      <c r="CM24" s="533"/>
      <c r="CN24" s="533"/>
      <c r="CO24" s="533"/>
      <c r="CP24" s="533"/>
      <c r="CQ24" s="533"/>
      <c r="CR24" s="533"/>
      <c r="CS24" s="533"/>
      <c r="CT24" s="533"/>
      <c r="CU24" s="533"/>
      <c r="CV24" s="533"/>
      <c r="CW24" s="533"/>
      <c r="CX24" s="533"/>
      <c r="CY24" s="533"/>
      <c r="CZ24" s="533"/>
      <c r="DA24" s="533"/>
      <c r="DB24" s="533"/>
      <c r="DC24" s="533"/>
      <c r="DD24" s="533"/>
      <c r="DE24" s="533"/>
      <c r="DF24" s="533"/>
      <c r="DG24" s="533"/>
      <c r="DH24" s="533"/>
      <c r="DI24" s="533"/>
      <c r="DJ24" s="533"/>
      <c r="DK24" s="533"/>
      <c r="DL24" s="533"/>
      <c r="DM24" s="533"/>
      <c r="DN24" s="533"/>
      <c r="DO24" s="533"/>
      <c r="DP24" s="533"/>
      <c r="DQ24" s="533"/>
      <c r="DR24" s="533"/>
      <c r="DS24" s="533"/>
    </row>
    <row r="25" spans="2:123" s="529" customFormat="1" ht="18.75" hidden="1" customHeight="1" x14ac:dyDescent="0.3">
      <c r="B25" s="530">
        <v>42766</v>
      </c>
      <c r="C25" s="530" t="str">
        <f>MONTH(Table_NFI[[#This Row],[Distribution Date]]) &amp; "/" &amp; YEAR(Table_NFI[[#This Row],[Distribution Date]])</f>
        <v>1/2017</v>
      </c>
      <c r="D25" s="196" t="s">
        <v>420</v>
      </c>
      <c r="E25" s="196" t="s">
        <v>1087</v>
      </c>
      <c r="F25" s="196" t="s">
        <v>378</v>
      </c>
      <c r="G25" s="196" t="s">
        <v>237</v>
      </c>
      <c r="H25" s="196" t="s">
        <v>272</v>
      </c>
      <c r="I25" s="181"/>
      <c r="J25" s="531"/>
      <c r="K25" s="531"/>
      <c r="L25" s="531">
        <v>1</v>
      </c>
      <c r="M25" s="531">
        <v>1</v>
      </c>
      <c r="N25" s="531">
        <v>3</v>
      </c>
      <c r="O25" s="531">
        <v>1</v>
      </c>
      <c r="P25" s="531">
        <v>3</v>
      </c>
      <c r="Q25" s="531">
        <v>1</v>
      </c>
      <c r="R25" s="531"/>
      <c r="S25" s="531">
        <v>1</v>
      </c>
      <c r="T25" s="531">
        <v>3</v>
      </c>
      <c r="U25" s="531"/>
      <c r="V25" s="531"/>
      <c r="W25" s="531"/>
      <c r="X25" s="531"/>
      <c r="Y25" s="531">
        <v>1</v>
      </c>
      <c r="Z25" s="531"/>
      <c r="AA25" s="531"/>
      <c r="AB25" s="531"/>
      <c r="AC25" s="532"/>
      <c r="AD25" s="532"/>
      <c r="AE25" s="532"/>
      <c r="AF25" s="532"/>
      <c r="AG25" s="532"/>
      <c r="AH25" s="532"/>
      <c r="AI25" s="532"/>
      <c r="AJ25" s="532"/>
      <c r="AK25" s="532"/>
      <c r="AL25" s="532"/>
      <c r="AM25" s="532"/>
      <c r="AN25" s="532"/>
      <c r="AO25" s="532"/>
      <c r="AP25" s="532">
        <f>IF(Table_NFI[[#This Row],[Winter Clothes Adult]]+Table_NFI[[#This Row],[Winter Clothes Children]]+Table_NFI[[#This Row],[Winter Items Other]]+Table_NFI[[#This Row],[Winter Blanket]]&gt;0,1,0)</f>
        <v>0</v>
      </c>
      <c r="AQ25" s="532"/>
      <c r="AR25" s="532"/>
      <c r="AS25" s="532"/>
      <c r="AT25" s="532"/>
      <c r="AU25" s="532"/>
      <c r="AV25" s="532"/>
      <c r="AW25" s="532"/>
      <c r="AX25" s="203" t="str">
        <f>IFERROR(VLOOKUP(Table_NFI[[#This Row],[Location]],CL,2,0),"")</f>
        <v>MMR001CMP162</v>
      </c>
      <c r="AY25" s="181" t="s">
        <v>1233</v>
      </c>
      <c r="AZ25" s="533"/>
      <c r="BA25" s="533"/>
      <c r="BB25" s="533"/>
      <c r="BC25" s="533"/>
      <c r="BD25" s="533"/>
      <c r="BE25" s="533"/>
      <c r="BF25" s="533"/>
      <c r="BG25" s="533"/>
      <c r="BH25" s="533"/>
      <c r="BI25" s="533"/>
      <c r="BJ25" s="533"/>
      <c r="BK25" s="533"/>
      <c r="BL25" s="533"/>
      <c r="BM25" s="533"/>
      <c r="BN25" s="533"/>
      <c r="BO25" s="533"/>
      <c r="BP25" s="533"/>
      <c r="BQ25" s="533"/>
      <c r="BR25" s="533"/>
      <c r="BS25" s="533"/>
      <c r="BT25" s="533"/>
      <c r="BU25" s="533"/>
      <c r="BV25" s="533"/>
      <c r="BW25" s="533"/>
      <c r="BX25" s="533"/>
      <c r="BY25" s="533"/>
      <c r="BZ25" s="533"/>
      <c r="CA25" s="533"/>
      <c r="CB25" s="533"/>
      <c r="CC25" s="533"/>
      <c r="CD25" s="533"/>
      <c r="CE25" s="533"/>
      <c r="CF25" s="533"/>
      <c r="CG25" s="533"/>
      <c r="CH25" s="533"/>
      <c r="CI25" s="533"/>
      <c r="CJ25" s="533"/>
      <c r="CK25" s="533"/>
      <c r="CL25" s="533"/>
      <c r="CM25" s="533"/>
      <c r="CN25" s="533"/>
      <c r="CO25" s="533"/>
      <c r="CP25" s="533"/>
      <c r="CQ25" s="533"/>
      <c r="CR25" s="533"/>
      <c r="CS25" s="533"/>
      <c r="CT25" s="533"/>
      <c r="CU25" s="533"/>
      <c r="CV25" s="533"/>
      <c r="CW25" s="533"/>
      <c r="CX25" s="533"/>
      <c r="CY25" s="533"/>
      <c r="CZ25" s="533"/>
      <c r="DA25" s="533"/>
      <c r="DB25" s="533"/>
      <c r="DC25" s="533"/>
      <c r="DD25" s="533"/>
      <c r="DE25" s="533"/>
      <c r="DF25" s="533"/>
      <c r="DG25" s="533"/>
      <c r="DH25" s="533"/>
      <c r="DI25" s="533"/>
      <c r="DJ25" s="533"/>
      <c r="DK25" s="533"/>
      <c r="DL25" s="533"/>
      <c r="DM25" s="533"/>
      <c r="DN25" s="533"/>
      <c r="DO25" s="533"/>
      <c r="DP25" s="533"/>
      <c r="DQ25" s="533"/>
      <c r="DR25" s="533"/>
      <c r="DS25" s="533"/>
    </row>
    <row r="26" spans="2:123" s="529" customFormat="1" ht="18.75" hidden="1" customHeight="1" x14ac:dyDescent="0.3">
      <c r="B26" s="530">
        <v>42766</v>
      </c>
      <c r="C26" s="530" t="str">
        <f>MONTH(Table_NFI[[#This Row],[Distribution Date]]) &amp; "/" &amp; YEAR(Table_NFI[[#This Row],[Distribution Date]])</f>
        <v>1/2017</v>
      </c>
      <c r="D26" s="196" t="s">
        <v>420</v>
      </c>
      <c r="E26" s="196" t="s">
        <v>1087</v>
      </c>
      <c r="F26" s="196" t="s">
        <v>378</v>
      </c>
      <c r="G26" s="196" t="s">
        <v>309</v>
      </c>
      <c r="H26" s="196" t="s">
        <v>329</v>
      </c>
      <c r="I26" s="181"/>
      <c r="J26" s="531"/>
      <c r="K26" s="531"/>
      <c r="L26" s="531">
        <v>22</v>
      </c>
      <c r="M26" s="531">
        <v>22</v>
      </c>
      <c r="N26" s="531">
        <v>76</v>
      </c>
      <c r="O26" s="531">
        <v>22</v>
      </c>
      <c r="P26" s="531">
        <v>76</v>
      </c>
      <c r="Q26" s="531">
        <v>22</v>
      </c>
      <c r="R26" s="531"/>
      <c r="S26" s="531">
        <v>22</v>
      </c>
      <c r="T26" s="531">
        <v>76</v>
      </c>
      <c r="U26" s="531"/>
      <c r="V26" s="531"/>
      <c r="W26" s="531"/>
      <c r="X26" s="531"/>
      <c r="Y26" s="531">
        <v>22</v>
      </c>
      <c r="Z26" s="531"/>
      <c r="AA26" s="531"/>
      <c r="AB26" s="531"/>
      <c r="AC26" s="532"/>
      <c r="AD26" s="532"/>
      <c r="AE26" s="532"/>
      <c r="AF26" s="532"/>
      <c r="AG26" s="532"/>
      <c r="AH26" s="532"/>
      <c r="AI26" s="532"/>
      <c r="AJ26" s="532"/>
      <c r="AK26" s="532"/>
      <c r="AL26" s="532"/>
      <c r="AM26" s="532"/>
      <c r="AN26" s="532"/>
      <c r="AO26" s="532"/>
      <c r="AP26" s="532">
        <f>IF(Table_NFI[[#This Row],[Winter Clothes Adult]]+Table_NFI[[#This Row],[Winter Clothes Children]]+Table_NFI[[#This Row],[Winter Items Other]]+Table_NFI[[#This Row],[Winter Blanket]]&gt;0,1,0)</f>
        <v>0</v>
      </c>
      <c r="AQ26" s="532"/>
      <c r="AR26" s="532"/>
      <c r="AS26" s="532"/>
      <c r="AT26" s="532"/>
      <c r="AU26" s="532"/>
      <c r="AV26" s="532"/>
      <c r="AW26" s="532"/>
      <c r="AX26" s="203" t="str">
        <f>IFERROR(VLOOKUP(Table_NFI[[#This Row],[Location]],CL,2,0),"")</f>
        <v>MMR001CMP029</v>
      </c>
      <c r="AY26" s="181" t="s">
        <v>1235</v>
      </c>
      <c r="AZ26" s="533"/>
      <c r="BA26" s="533"/>
      <c r="BB26" s="533"/>
      <c r="BC26" s="533"/>
      <c r="BD26" s="533"/>
      <c r="BE26" s="533"/>
      <c r="BF26" s="533"/>
      <c r="BG26" s="533"/>
      <c r="BH26" s="533"/>
      <c r="BI26" s="533"/>
      <c r="BJ26" s="533"/>
      <c r="BK26" s="533"/>
      <c r="BL26" s="533"/>
      <c r="BM26" s="533"/>
      <c r="BN26" s="533"/>
      <c r="BO26" s="533"/>
      <c r="BP26" s="533"/>
      <c r="BQ26" s="533"/>
      <c r="BR26" s="533"/>
      <c r="BS26" s="533"/>
      <c r="BT26" s="533"/>
      <c r="BU26" s="533"/>
      <c r="BV26" s="533"/>
      <c r="BW26" s="533"/>
      <c r="BX26" s="533"/>
      <c r="BY26" s="533"/>
      <c r="BZ26" s="533"/>
      <c r="CA26" s="533"/>
      <c r="CB26" s="533"/>
      <c r="CC26" s="533"/>
      <c r="CD26" s="533"/>
      <c r="CE26" s="533"/>
      <c r="CF26" s="533"/>
      <c r="CG26" s="533"/>
      <c r="CH26" s="533"/>
      <c r="CI26" s="533"/>
      <c r="CJ26" s="533"/>
      <c r="CK26" s="533"/>
      <c r="CL26" s="533"/>
      <c r="CM26" s="533"/>
      <c r="CN26" s="533"/>
      <c r="CO26" s="533"/>
      <c r="CP26" s="533"/>
      <c r="CQ26" s="533"/>
      <c r="CR26" s="533"/>
      <c r="CS26" s="533"/>
      <c r="CT26" s="533"/>
      <c r="CU26" s="533"/>
      <c r="CV26" s="533"/>
      <c r="CW26" s="533"/>
      <c r="CX26" s="533"/>
      <c r="CY26" s="533"/>
      <c r="CZ26" s="533"/>
      <c r="DA26" s="533"/>
      <c r="DB26" s="533"/>
      <c r="DC26" s="533"/>
      <c r="DD26" s="533"/>
      <c r="DE26" s="533"/>
      <c r="DF26" s="533"/>
      <c r="DG26" s="533"/>
      <c r="DH26" s="533"/>
      <c r="DI26" s="533"/>
      <c r="DJ26" s="533"/>
      <c r="DK26" s="533"/>
      <c r="DL26" s="533"/>
      <c r="DM26" s="533"/>
      <c r="DN26" s="533"/>
      <c r="DO26" s="533"/>
      <c r="DP26" s="533"/>
      <c r="DQ26" s="533"/>
      <c r="DR26" s="533"/>
      <c r="DS26" s="533"/>
    </row>
    <row r="27" spans="2:123" s="529" customFormat="1" ht="18.75" hidden="1" customHeight="1" x14ac:dyDescent="0.3">
      <c r="B27" s="530">
        <v>42767</v>
      </c>
      <c r="C27" s="530" t="str">
        <f>MONTH(Table_NFI[[#This Row],[Distribution Date]]) &amp; "/" &amp; YEAR(Table_NFI[[#This Row],[Distribution Date]])</f>
        <v>2/2017</v>
      </c>
      <c r="D27" s="196" t="s">
        <v>420</v>
      </c>
      <c r="E27" s="196" t="s">
        <v>424</v>
      </c>
      <c r="F27" s="196" t="s">
        <v>378</v>
      </c>
      <c r="G27" s="196" t="s">
        <v>301</v>
      </c>
      <c r="H27" s="196" t="s">
        <v>305</v>
      </c>
      <c r="I27" s="181"/>
      <c r="J27" s="531"/>
      <c r="K27" s="531"/>
      <c r="L27" s="531"/>
      <c r="M27" s="531">
        <v>50</v>
      </c>
      <c r="N27" s="531"/>
      <c r="O27" s="531"/>
      <c r="P27" s="531"/>
      <c r="Q27" s="531"/>
      <c r="R27" s="531"/>
      <c r="S27" s="531"/>
      <c r="T27" s="531"/>
      <c r="U27" s="531"/>
      <c r="V27" s="531"/>
      <c r="W27" s="531"/>
      <c r="X27" s="531"/>
      <c r="Y27" s="531"/>
      <c r="Z27" s="531"/>
      <c r="AA27" s="531"/>
      <c r="AB27" s="531"/>
      <c r="AC27" s="532"/>
      <c r="AD27" s="532"/>
      <c r="AE27" s="532"/>
      <c r="AF27" s="532"/>
      <c r="AG27" s="532"/>
      <c r="AH27" s="532"/>
      <c r="AI27" s="532"/>
      <c r="AJ27" s="532"/>
      <c r="AK27" s="532"/>
      <c r="AL27" s="532"/>
      <c r="AM27" s="532"/>
      <c r="AN27" s="532"/>
      <c r="AO27" s="532"/>
      <c r="AP27" s="532">
        <f>IF(Table_NFI[[#This Row],[Winter Clothes Adult]]+Table_NFI[[#This Row],[Winter Clothes Children]]+Table_NFI[[#This Row],[Winter Items Other]]+Table_NFI[[#This Row],[Winter Blanket]]&gt;0,1,0)</f>
        <v>0</v>
      </c>
      <c r="AQ27" s="532"/>
      <c r="AR27" s="532"/>
      <c r="AS27" s="532"/>
      <c r="AT27" s="532"/>
      <c r="AU27" s="532"/>
      <c r="AV27" s="532"/>
      <c r="AW27" s="532"/>
      <c r="AX27" s="203" t="str">
        <f>IFERROR(VLOOKUP(Table_NFI[[#This Row],[Location]],CL,2,0),"")</f>
        <v>MMR001CMP067</v>
      </c>
      <c r="AY27" s="181" t="s">
        <v>1235</v>
      </c>
      <c r="AZ27" s="533"/>
      <c r="BA27" s="533"/>
      <c r="BB27" s="533"/>
      <c r="BC27" s="533"/>
      <c r="BD27" s="533"/>
      <c r="BE27" s="533"/>
      <c r="BF27" s="533"/>
      <c r="BG27" s="533"/>
      <c r="BH27" s="533"/>
      <c r="BI27" s="533"/>
      <c r="BJ27" s="533"/>
      <c r="BK27" s="533"/>
      <c r="BL27" s="533"/>
      <c r="BM27" s="533"/>
      <c r="BN27" s="533"/>
      <c r="BO27" s="533"/>
      <c r="BP27" s="533"/>
      <c r="BQ27" s="533"/>
      <c r="BR27" s="533"/>
      <c r="BS27" s="533"/>
      <c r="BT27" s="533"/>
      <c r="BU27" s="533"/>
      <c r="BV27" s="533"/>
      <c r="BW27" s="533"/>
      <c r="BX27" s="533"/>
      <c r="BY27" s="533"/>
      <c r="BZ27" s="533"/>
      <c r="CA27" s="533"/>
      <c r="CB27" s="533"/>
      <c r="CC27" s="533"/>
      <c r="CD27" s="533"/>
      <c r="CE27" s="533"/>
      <c r="CF27" s="533"/>
      <c r="CG27" s="533"/>
      <c r="CH27" s="533"/>
      <c r="CI27" s="533"/>
      <c r="CJ27" s="533"/>
      <c r="CK27" s="533"/>
      <c r="CL27" s="533"/>
      <c r="CM27" s="533"/>
      <c r="CN27" s="533"/>
      <c r="CO27" s="533"/>
      <c r="CP27" s="533"/>
      <c r="CQ27" s="533"/>
      <c r="CR27" s="533"/>
      <c r="CS27" s="533"/>
      <c r="CT27" s="533"/>
      <c r="CU27" s="533"/>
      <c r="CV27" s="533"/>
      <c r="CW27" s="533"/>
      <c r="CX27" s="533"/>
      <c r="CY27" s="533"/>
      <c r="CZ27" s="533"/>
      <c r="DA27" s="533"/>
      <c r="DB27" s="533"/>
      <c r="DC27" s="533"/>
      <c r="DD27" s="533"/>
      <c r="DE27" s="533"/>
      <c r="DF27" s="533"/>
      <c r="DG27" s="533"/>
      <c r="DH27" s="533"/>
      <c r="DI27" s="533"/>
      <c r="DJ27" s="533"/>
      <c r="DK27" s="533"/>
      <c r="DL27" s="533"/>
      <c r="DM27" s="533"/>
      <c r="DN27" s="533"/>
      <c r="DO27" s="533"/>
      <c r="DP27" s="533"/>
      <c r="DQ27" s="533"/>
      <c r="DR27" s="533"/>
      <c r="DS27" s="533"/>
    </row>
    <row r="28" spans="2:123" s="529" customFormat="1" ht="18.75" hidden="1" customHeight="1" x14ac:dyDescent="0.3">
      <c r="B28" s="530">
        <v>42768</v>
      </c>
      <c r="C28" s="530" t="str">
        <f>MONTH(Table_NFI[[#This Row],[Distribution Date]]) &amp; "/" &amp; YEAR(Table_NFI[[#This Row],[Distribution Date]])</f>
        <v>2/2017</v>
      </c>
      <c r="D28" s="196" t="s">
        <v>420</v>
      </c>
      <c r="E28" s="534" t="s">
        <v>1570</v>
      </c>
      <c r="F28" s="196" t="s">
        <v>378</v>
      </c>
      <c r="G28" s="196" t="s">
        <v>151</v>
      </c>
      <c r="H28" s="196" t="s">
        <v>845</v>
      </c>
      <c r="I28" s="181"/>
      <c r="J28" s="531"/>
      <c r="K28" s="531"/>
      <c r="L28" s="531">
        <v>25</v>
      </c>
      <c r="M28" s="531">
        <v>25</v>
      </c>
      <c r="N28" s="531">
        <v>25</v>
      </c>
      <c r="O28" s="531">
        <v>25</v>
      </c>
      <c r="P28" s="531">
        <v>45</v>
      </c>
      <c r="Q28" s="531">
        <v>25</v>
      </c>
      <c r="R28" s="531"/>
      <c r="S28" s="531">
        <v>25</v>
      </c>
      <c r="T28" s="531">
        <v>83</v>
      </c>
      <c r="U28" s="531"/>
      <c r="V28" s="531"/>
      <c r="W28" s="531"/>
      <c r="X28" s="531"/>
      <c r="Y28" s="531">
        <v>25</v>
      </c>
      <c r="Z28" s="531"/>
      <c r="AA28" s="531"/>
      <c r="AB28" s="531"/>
      <c r="AC28" s="532"/>
      <c r="AD28" s="532"/>
      <c r="AE28" s="532"/>
      <c r="AF28" s="532"/>
      <c r="AG28" s="532"/>
      <c r="AH28" s="532"/>
      <c r="AI28" s="532"/>
      <c r="AJ28" s="532"/>
      <c r="AK28" s="532"/>
      <c r="AL28" s="532"/>
      <c r="AM28" s="532"/>
      <c r="AN28" s="532"/>
      <c r="AO28" s="532"/>
      <c r="AP28" s="532">
        <f>IF(Table_NFI[[#This Row],[Winter Clothes Adult]]+Table_NFI[[#This Row],[Winter Clothes Children]]+Table_NFI[[#This Row],[Winter Items Other]]+Table_NFI[[#This Row],[Winter Blanket]]&gt;0,1,0)</f>
        <v>0</v>
      </c>
      <c r="AQ28" s="532"/>
      <c r="AR28" s="532"/>
      <c r="AS28" s="532"/>
      <c r="AT28" s="532"/>
      <c r="AU28" s="532"/>
      <c r="AV28" s="532"/>
      <c r="AW28" s="532"/>
      <c r="AX28" s="203" t="str">
        <f>IFERROR(VLOOKUP(Table_NFI[[#This Row],[Location]],CL,2,0),"")</f>
        <v>MMR001CMP223</v>
      </c>
      <c r="AY28" s="181" t="s">
        <v>1235</v>
      </c>
      <c r="AZ28" s="533"/>
      <c r="BA28" s="533"/>
      <c r="BB28" s="533"/>
      <c r="BC28" s="533"/>
      <c r="BD28" s="533"/>
      <c r="BE28" s="533"/>
      <c r="BF28" s="533"/>
      <c r="BG28" s="533"/>
      <c r="BH28" s="533"/>
      <c r="BI28" s="533"/>
      <c r="BJ28" s="533"/>
      <c r="BK28" s="533"/>
      <c r="BL28" s="533"/>
      <c r="BM28" s="533"/>
      <c r="BN28" s="533"/>
      <c r="BO28" s="533"/>
      <c r="BP28" s="533"/>
      <c r="BQ28" s="533"/>
      <c r="BR28" s="533"/>
      <c r="BS28" s="533"/>
      <c r="BT28" s="533"/>
      <c r="BU28" s="533"/>
      <c r="BV28" s="533"/>
      <c r="BW28" s="533"/>
      <c r="BX28" s="533"/>
      <c r="BY28" s="533"/>
      <c r="BZ28" s="533"/>
      <c r="CA28" s="533"/>
      <c r="CB28" s="533"/>
      <c r="CC28" s="533"/>
      <c r="CD28" s="533"/>
      <c r="CE28" s="533"/>
      <c r="CF28" s="533"/>
      <c r="CG28" s="533"/>
      <c r="CH28" s="533"/>
      <c r="CI28" s="533"/>
      <c r="CJ28" s="533"/>
      <c r="CK28" s="533"/>
      <c r="CL28" s="533"/>
      <c r="CM28" s="533"/>
      <c r="CN28" s="533"/>
      <c r="CO28" s="533"/>
      <c r="CP28" s="533"/>
      <c r="CQ28" s="533"/>
      <c r="CR28" s="533"/>
      <c r="CS28" s="533"/>
      <c r="CT28" s="533"/>
      <c r="CU28" s="533"/>
      <c r="CV28" s="533"/>
      <c r="CW28" s="533"/>
      <c r="CX28" s="533"/>
      <c r="CY28" s="533"/>
      <c r="CZ28" s="533"/>
      <c r="DA28" s="533"/>
      <c r="DB28" s="533"/>
      <c r="DC28" s="533"/>
      <c r="DD28" s="533"/>
      <c r="DE28" s="533"/>
      <c r="DF28" s="533"/>
      <c r="DG28" s="533"/>
      <c r="DH28" s="533"/>
      <c r="DI28" s="533"/>
      <c r="DJ28" s="533"/>
      <c r="DK28" s="533"/>
      <c r="DL28" s="533"/>
      <c r="DM28" s="533"/>
      <c r="DN28" s="533"/>
      <c r="DO28" s="533"/>
      <c r="DP28" s="533"/>
      <c r="DQ28" s="533"/>
      <c r="DR28" s="533"/>
      <c r="DS28" s="533"/>
    </row>
    <row r="29" spans="2:123" s="529" customFormat="1" ht="18.75" hidden="1" customHeight="1" x14ac:dyDescent="0.3">
      <c r="B29" s="530">
        <v>42775</v>
      </c>
      <c r="C29" s="530" t="str">
        <f>MONTH(Table_NFI[[#This Row],[Distribution Date]]) &amp; "/" &amp; YEAR(Table_NFI[[#This Row],[Distribution Date]])</f>
        <v>2/2017</v>
      </c>
      <c r="D29" s="196" t="s">
        <v>420</v>
      </c>
      <c r="E29" s="196" t="s">
        <v>424</v>
      </c>
      <c r="F29" s="196" t="s">
        <v>378</v>
      </c>
      <c r="G29" s="196" t="s">
        <v>309</v>
      </c>
      <c r="H29" s="196" t="s">
        <v>323</v>
      </c>
      <c r="I29" s="181"/>
      <c r="J29" s="531"/>
      <c r="K29" s="531"/>
      <c r="L29" s="531">
        <v>17</v>
      </c>
      <c r="M29" s="531">
        <v>17</v>
      </c>
      <c r="N29" s="531">
        <v>114</v>
      </c>
      <c r="O29" s="531">
        <v>17</v>
      </c>
      <c r="P29" s="531">
        <v>174</v>
      </c>
      <c r="Q29" s="531">
        <v>17</v>
      </c>
      <c r="R29" s="531"/>
      <c r="S29" s="531">
        <v>17</v>
      </c>
      <c r="T29" s="531">
        <v>188</v>
      </c>
      <c r="U29" s="531"/>
      <c r="V29" s="531"/>
      <c r="W29" s="531"/>
      <c r="X29" s="531"/>
      <c r="Y29" s="531">
        <v>17</v>
      </c>
      <c r="Z29" s="531"/>
      <c r="AA29" s="531"/>
      <c r="AB29" s="531">
        <v>49</v>
      </c>
      <c r="AC29" s="532"/>
      <c r="AD29" s="532"/>
      <c r="AE29" s="532"/>
      <c r="AF29" s="532"/>
      <c r="AG29" s="532"/>
      <c r="AH29" s="532"/>
      <c r="AI29" s="532"/>
      <c r="AJ29" s="532"/>
      <c r="AK29" s="532"/>
      <c r="AL29" s="532"/>
      <c r="AM29" s="532"/>
      <c r="AN29" s="532"/>
      <c r="AO29" s="532"/>
      <c r="AP29" s="532">
        <f>IF(Table_NFI[[#This Row],[Winter Clothes Adult]]+Table_NFI[[#This Row],[Winter Clothes Children]]+Table_NFI[[#This Row],[Winter Items Other]]+Table_NFI[[#This Row],[Winter Blanket]]&gt;0,1,0)</f>
        <v>0</v>
      </c>
      <c r="AQ29" s="532"/>
      <c r="AR29" s="532"/>
      <c r="AS29" s="532"/>
      <c r="AT29" s="532"/>
      <c r="AU29" s="532"/>
      <c r="AV29" s="532"/>
      <c r="AW29" s="532"/>
      <c r="AX29" s="203" t="str">
        <f>IFERROR(VLOOKUP(Table_NFI[[#This Row],[Location]],CL,2,0),"")</f>
        <v>MMR001CMP040</v>
      </c>
      <c r="AY29" s="181" t="s">
        <v>1235</v>
      </c>
      <c r="AZ29" s="533"/>
      <c r="BA29" s="533"/>
      <c r="BB29" s="533"/>
      <c r="BC29" s="533"/>
      <c r="BD29" s="533"/>
      <c r="BE29" s="533"/>
      <c r="BF29" s="533"/>
      <c r="BG29" s="533"/>
      <c r="BH29" s="533"/>
      <c r="BI29" s="533"/>
      <c r="BJ29" s="533"/>
      <c r="BK29" s="533"/>
      <c r="BL29" s="533"/>
      <c r="BM29" s="533"/>
      <c r="BN29" s="533"/>
      <c r="BO29" s="533"/>
      <c r="BP29" s="533"/>
      <c r="BQ29" s="533"/>
      <c r="BR29" s="533"/>
      <c r="BS29" s="533"/>
      <c r="BT29" s="533"/>
      <c r="BU29" s="533"/>
      <c r="BV29" s="533"/>
      <c r="BW29" s="533"/>
      <c r="BX29" s="533"/>
      <c r="BY29" s="533"/>
      <c r="BZ29" s="533"/>
      <c r="CA29" s="533"/>
      <c r="CB29" s="533"/>
      <c r="CC29" s="533"/>
      <c r="CD29" s="533"/>
      <c r="CE29" s="533"/>
      <c r="CF29" s="533"/>
      <c r="CG29" s="533"/>
      <c r="CH29" s="533"/>
      <c r="CI29" s="533"/>
      <c r="CJ29" s="533"/>
      <c r="CK29" s="533"/>
      <c r="CL29" s="533"/>
      <c r="CM29" s="533"/>
      <c r="CN29" s="533"/>
      <c r="CO29" s="533"/>
      <c r="CP29" s="533"/>
      <c r="CQ29" s="533"/>
      <c r="CR29" s="533"/>
      <c r="CS29" s="533"/>
      <c r="CT29" s="533"/>
      <c r="CU29" s="533"/>
      <c r="CV29" s="533"/>
      <c r="CW29" s="533"/>
      <c r="CX29" s="533"/>
      <c r="CY29" s="533"/>
      <c r="CZ29" s="533"/>
      <c r="DA29" s="533"/>
      <c r="DB29" s="533"/>
      <c r="DC29" s="533"/>
      <c r="DD29" s="533"/>
      <c r="DE29" s="533"/>
      <c r="DF29" s="533"/>
      <c r="DG29" s="533"/>
      <c r="DH29" s="533"/>
      <c r="DI29" s="533"/>
      <c r="DJ29" s="533"/>
      <c r="DK29" s="533"/>
      <c r="DL29" s="533"/>
      <c r="DM29" s="533"/>
      <c r="DN29" s="533"/>
      <c r="DO29" s="533"/>
      <c r="DP29" s="533"/>
      <c r="DQ29" s="533"/>
      <c r="DR29" s="533"/>
      <c r="DS29" s="533"/>
    </row>
    <row r="30" spans="2:123" s="529" customFormat="1" ht="18.75" hidden="1" customHeight="1" x14ac:dyDescent="0.3">
      <c r="B30" s="530">
        <v>42776</v>
      </c>
      <c r="C30" s="530" t="str">
        <f>MONTH(Table_NFI[[#This Row],[Distribution Date]]) &amp; "/" &amp; YEAR(Table_NFI[[#This Row],[Distribution Date]])</f>
        <v>2/2017</v>
      </c>
      <c r="D30" s="196" t="s">
        <v>420</v>
      </c>
      <c r="E30" s="196" t="s">
        <v>424</v>
      </c>
      <c r="F30" s="196" t="s">
        <v>378</v>
      </c>
      <c r="G30" s="196" t="s">
        <v>237</v>
      </c>
      <c r="H30" s="196" t="s">
        <v>278</v>
      </c>
      <c r="I30" s="181"/>
      <c r="J30" s="531"/>
      <c r="K30" s="531"/>
      <c r="L30" s="531">
        <v>4</v>
      </c>
      <c r="M30" s="531">
        <v>4</v>
      </c>
      <c r="N30" s="531">
        <v>10</v>
      </c>
      <c r="O30" s="531">
        <v>4</v>
      </c>
      <c r="P30" s="531">
        <v>14</v>
      </c>
      <c r="Q30" s="531">
        <v>4</v>
      </c>
      <c r="R30" s="531"/>
      <c r="S30" s="531">
        <v>4</v>
      </c>
      <c r="T30" s="531">
        <v>14</v>
      </c>
      <c r="U30" s="531"/>
      <c r="V30" s="531"/>
      <c r="W30" s="531"/>
      <c r="X30" s="531"/>
      <c r="Y30" s="531">
        <v>4</v>
      </c>
      <c r="Z30" s="531"/>
      <c r="AA30" s="531"/>
      <c r="AB30" s="531"/>
      <c r="AC30" s="532"/>
      <c r="AD30" s="532"/>
      <c r="AE30" s="532"/>
      <c r="AF30" s="532"/>
      <c r="AG30" s="532"/>
      <c r="AH30" s="532"/>
      <c r="AI30" s="532"/>
      <c r="AJ30" s="532"/>
      <c r="AK30" s="532"/>
      <c r="AL30" s="532"/>
      <c r="AM30" s="532"/>
      <c r="AN30" s="532"/>
      <c r="AO30" s="532"/>
      <c r="AP30" s="532">
        <f>IF(Table_NFI[[#This Row],[Winter Clothes Adult]]+Table_NFI[[#This Row],[Winter Clothes Children]]+Table_NFI[[#This Row],[Winter Items Other]]+Table_NFI[[#This Row],[Winter Blanket]]&gt;0,1,0)</f>
        <v>0</v>
      </c>
      <c r="AQ30" s="532"/>
      <c r="AR30" s="532"/>
      <c r="AS30" s="532"/>
      <c r="AT30" s="532"/>
      <c r="AU30" s="532"/>
      <c r="AV30" s="532"/>
      <c r="AW30" s="532"/>
      <c r="AX30" s="203" t="str">
        <f>IFERROR(VLOOKUP(Table_NFI[[#This Row],[Location]],CL,2,0),"")</f>
        <v>MMR001CMP007</v>
      </c>
      <c r="AY30" s="181" t="s">
        <v>1235</v>
      </c>
      <c r="AZ30" s="533"/>
      <c r="BA30" s="533"/>
      <c r="BB30" s="533"/>
      <c r="BC30" s="533"/>
      <c r="BD30" s="533"/>
      <c r="BE30" s="533"/>
      <c r="BF30" s="533"/>
      <c r="BG30" s="533"/>
      <c r="BH30" s="533"/>
      <c r="BI30" s="533"/>
      <c r="BJ30" s="533"/>
      <c r="BK30" s="533"/>
      <c r="BL30" s="533"/>
      <c r="BM30" s="533"/>
      <c r="BN30" s="533"/>
      <c r="BO30" s="533"/>
      <c r="BP30" s="533"/>
      <c r="BQ30" s="533"/>
      <c r="BR30" s="533"/>
      <c r="BS30" s="533"/>
      <c r="BT30" s="533"/>
      <c r="BU30" s="533"/>
      <c r="BV30" s="533"/>
      <c r="BW30" s="533"/>
      <c r="BX30" s="533"/>
      <c r="BY30" s="533"/>
      <c r="BZ30" s="533"/>
      <c r="CA30" s="533"/>
      <c r="CB30" s="533"/>
      <c r="CC30" s="533"/>
      <c r="CD30" s="533"/>
      <c r="CE30" s="533"/>
      <c r="CF30" s="533"/>
      <c r="CG30" s="533"/>
      <c r="CH30" s="533"/>
      <c r="CI30" s="533"/>
      <c r="CJ30" s="533"/>
      <c r="CK30" s="533"/>
      <c r="CL30" s="533"/>
      <c r="CM30" s="533"/>
      <c r="CN30" s="533"/>
      <c r="CO30" s="533"/>
      <c r="CP30" s="533"/>
      <c r="CQ30" s="533"/>
      <c r="CR30" s="533"/>
      <c r="CS30" s="533"/>
      <c r="CT30" s="533"/>
      <c r="CU30" s="533"/>
      <c r="CV30" s="533"/>
      <c r="CW30" s="533"/>
      <c r="CX30" s="533"/>
      <c r="CY30" s="533"/>
      <c r="CZ30" s="533"/>
      <c r="DA30" s="533"/>
      <c r="DB30" s="533"/>
      <c r="DC30" s="533"/>
      <c r="DD30" s="533"/>
      <c r="DE30" s="533"/>
      <c r="DF30" s="533"/>
      <c r="DG30" s="533"/>
      <c r="DH30" s="533"/>
      <c r="DI30" s="533"/>
      <c r="DJ30" s="533"/>
      <c r="DK30" s="533"/>
      <c r="DL30" s="533"/>
      <c r="DM30" s="533"/>
      <c r="DN30" s="533"/>
      <c r="DO30" s="533"/>
      <c r="DP30" s="533"/>
      <c r="DQ30" s="533"/>
      <c r="DR30" s="533"/>
      <c r="DS30" s="533"/>
    </row>
    <row r="31" spans="2:123" s="529" customFormat="1" ht="18.75" hidden="1" customHeight="1" x14ac:dyDescent="0.3">
      <c r="B31" s="530">
        <v>42776</v>
      </c>
      <c r="C31" s="530" t="str">
        <f>MONTH(Table_NFI[[#This Row],[Distribution Date]]) &amp; "/" &amp; YEAR(Table_NFI[[#This Row],[Distribution Date]])</f>
        <v>2/2017</v>
      </c>
      <c r="D31" s="196" t="s">
        <v>420</v>
      </c>
      <c r="E31" s="196" t="s">
        <v>424</v>
      </c>
      <c r="F31" s="196" t="s">
        <v>378</v>
      </c>
      <c r="G31" s="196" t="s">
        <v>237</v>
      </c>
      <c r="H31" s="196" t="s">
        <v>268</v>
      </c>
      <c r="I31" s="181"/>
      <c r="J31" s="531"/>
      <c r="K31" s="531"/>
      <c r="L31" s="531">
        <v>4</v>
      </c>
      <c r="M31" s="531">
        <v>4</v>
      </c>
      <c r="N31" s="531">
        <v>8</v>
      </c>
      <c r="O31" s="531">
        <v>4</v>
      </c>
      <c r="P31" s="531">
        <v>11</v>
      </c>
      <c r="Q31" s="531">
        <v>4</v>
      </c>
      <c r="R31" s="531"/>
      <c r="S31" s="531">
        <v>4</v>
      </c>
      <c r="T31" s="531">
        <v>11</v>
      </c>
      <c r="U31" s="531"/>
      <c r="V31" s="531"/>
      <c r="W31" s="531"/>
      <c r="X31" s="531"/>
      <c r="Y31" s="531">
        <v>4</v>
      </c>
      <c r="Z31" s="531"/>
      <c r="AA31" s="531"/>
      <c r="AB31" s="531"/>
      <c r="AC31" s="532"/>
      <c r="AD31" s="532"/>
      <c r="AE31" s="532"/>
      <c r="AF31" s="532"/>
      <c r="AG31" s="532"/>
      <c r="AH31" s="532"/>
      <c r="AI31" s="532"/>
      <c r="AJ31" s="532"/>
      <c r="AK31" s="532"/>
      <c r="AL31" s="532"/>
      <c r="AM31" s="532"/>
      <c r="AN31" s="532"/>
      <c r="AO31" s="532"/>
      <c r="AP31" s="532">
        <f>IF(Table_NFI[[#This Row],[Winter Clothes Adult]]+Table_NFI[[#This Row],[Winter Clothes Children]]+Table_NFI[[#This Row],[Winter Items Other]]+Table_NFI[[#This Row],[Winter Blanket]]&gt;0,1,0)</f>
        <v>0</v>
      </c>
      <c r="AQ31" s="532"/>
      <c r="AR31" s="532"/>
      <c r="AS31" s="532"/>
      <c r="AT31" s="532"/>
      <c r="AU31" s="532"/>
      <c r="AV31" s="532"/>
      <c r="AW31" s="532"/>
      <c r="AX31" s="203" t="str">
        <f>IFERROR(VLOOKUP(Table_NFI[[#This Row],[Location]],CL,2,0),"")</f>
        <v>MMR001CMP002</v>
      </c>
      <c r="AY31" s="181" t="s">
        <v>1235</v>
      </c>
      <c r="AZ31" s="533"/>
      <c r="BA31" s="533"/>
      <c r="BB31" s="533"/>
      <c r="BC31" s="533"/>
      <c r="BD31" s="533"/>
      <c r="BE31" s="533"/>
      <c r="BF31" s="533"/>
      <c r="BG31" s="533"/>
      <c r="BH31" s="533"/>
      <c r="BI31" s="533"/>
      <c r="BJ31" s="533"/>
      <c r="BK31" s="533"/>
      <c r="BL31" s="533"/>
      <c r="BM31" s="533"/>
      <c r="BN31" s="533"/>
      <c r="BO31" s="533"/>
      <c r="BP31" s="533"/>
      <c r="BQ31" s="533"/>
      <c r="BR31" s="533"/>
      <c r="BS31" s="533"/>
      <c r="BT31" s="533"/>
      <c r="BU31" s="533"/>
      <c r="BV31" s="533"/>
      <c r="BW31" s="533"/>
      <c r="BX31" s="533"/>
      <c r="BY31" s="533"/>
      <c r="BZ31" s="533"/>
      <c r="CA31" s="533"/>
      <c r="CB31" s="533"/>
      <c r="CC31" s="533"/>
      <c r="CD31" s="533"/>
      <c r="CE31" s="533"/>
      <c r="CF31" s="533"/>
      <c r="CG31" s="533"/>
      <c r="CH31" s="533"/>
      <c r="CI31" s="533"/>
      <c r="CJ31" s="533"/>
      <c r="CK31" s="533"/>
      <c r="CL31" s="533"/>
      <c r="CM31" s="533"/>
      <c r="CN31" s="533"/>
      <c r="CO31" s="533"/>
      <c r="CP31" s="533"/>
      <c r="CQ31" s="533"/>
      <c r="CR31" s="533"/>
      <c r="CS31" s="533"/>
      <c r="CT31" s="533"/>
      <c r="CU31" s="533"/>
      <c r="CV31" s="533"/>
      <c r="CW31" s="533"/>
      <c r="CX31" s="533"/>
      <c r="CY31" s="533"/>
      <c r="CZ31" s="533"/>
      <c r="DA31" s="533"/>
      <c r="DB31" s="533"/>
      <c r="DC31" s="533"/>
      <c r="DD31" s="533"/>
      <c r="DE31" s="533"/>
      <c r="DF31" s="533"/>
      <c r="DG31" s="533"/>
      <c r="DH31" s="533"/>
      <c r="DI31" s="533"/>
      <c r="DJ31" s="533"/>
      <c r="DK31" s="533"/>
      <c r="DL31" s="533"/>
      <c r="DM31" s="533"/>
      <c r="DN31" s="533"/>
      <c r="DO31" s="533"/>
      <c r="DP31" s="533"/>
      <c r="DQ31" s="533"/>
      <c r="DR31" s="533"/>
      <c r="DS31" s="533"/>
    </row>
    <row r="32" spans="2:123" s="529" customFormat="1" ht="18.75" hidden="1" customHeight="1" x14ac:dyDescent="0.3">
      <c r="B32" s="530">
        <v>42776</v>
      </c>
      <c r="C32" s="530" t="str">
        <f>MONTH(Table_NFI[[#This Row],[Distribution Date]]) &amp; "/" &amp; YEAR(Table_NFI[[#This Row],[Distribution Date]])</f>
        <v>2/2017</v>
      </c>
      <c r="D32" s="196" t="s">
        <v>420</v>
      </c>
      <c r="E32" s="196" t="s">
        <v>424</v>
      </c>
      <c r="F32" s="196" t="s">
        <v>378</v>
      </c>
      <c r="G32" s="196" t="s">
        <v>237</v>
      </c>
      <c r="H32" s="196" t="s">
        <v>250</v>
      </c>
      <c r="I32" s="181"/>
      <c r="J32" s="531"/>
      <c r="K32" s="531"/>
      <c r="L32" s="531">
        <v>1</v>
      </c>
      <c r="M32" s="531">
        <v>1</v>
      </c>
      <c r="N32" s="531">
        <v>2</v>
      </c>
      <c r="O32" s="531">
        <v>1</v>
      </c>
      <c r="P32" s="531">
        <v>3</v>
      </c>
      <c r="Q32" s="531">
        <v>1</v>
      </c>
      <c r="R32" s="531"/>
      <c r="S32" s="531">
        <v>1</v>
      </c>
      <c r="T32" s="531">
        <v>3</v>
      </c>
      <c r="U32" s="531"/>
      <c r="V32" s="531"/>
      <c r="W32" s="531"/>
      <c r="X32" s="531"/>
      <c r="Y32" s="531">
        <v>1</v>
      </c>
      <c r="Z32" s="531"/>
      <c r="AA32" s="531"/>
      <c r="AB32" s="531"/>
      <c r="AC32" s="532"/>
      <c r="AD32" s="532"/>
      <c r="AE32" s="532"/>
      <c r="AF32" s="532"/>
      <c r="AG32" s="532"/>
      <c r="AH32" s="532"/>
      <c r="AI32" s="532"/>
      <c r="AJ32" s="532"/>
      <c r="AK32" s="532"/>
      <c r="AL32" s="532"/>
      <c r="AM32" s="532"/>
      <c r="AN32" s="532"/>
      <c r="AO32" s="532"/>
      <c r="AP32" s="532">
        <f>IF(Table_NFI[[#This Row],[Winter Clothes Adult]]+Table_NFI[[#This Row],[Winter Clothes Children]]+Table_NFI[[#This Row],[Winter Items Other]]+Table_NFI[[#This Row],[Winter Blanket]]&gt;0,1,0)</f>
        <v>0</v>
      </c>
      <c r="AQ32" s="532"/>
      <c r="AR32" s="532"/>
      <c r="AS32" s="532"/>
      <c r="AT32" s="532"/>
      <c r="AU32" s="532"/>
      <c r="AV32" s="532"/>
      <c r="AW32" s="532"/>
      <c r="AX32" s="203" t="str">
        <f>IFERROR(VLOOKUP(Table_NFI[[#This Row],[Location]],CL,2,0),"")</f>
        <v>MMR001CMP003</v>
      </c>
      <c r="AY32" s="181" t="s">
        <v>1235</v>
      </c>
      <c r="AZ32" s="533"/>
      <c r="BA32" s="533"/>
      <c r="BB32" s="533"/>
      <c r="BC32" s="533"/>
      <c r="BD32" s="533"/>
      <c r="BE32" s="533"/>
      <c r="BF32" s="533"/>
      <c r="BG32" s="533"/>
      <c r="BH32" s="533"/>
      <c r="BI32" s="533"/>
      <c r="BJ32" s="533"/>
      <c r="BK32" s="533"/>
      <c r="BL32" s="533"/>
      <c r="BM32" s="533"/>
      <c r="BN32" s="533"/>
      <c r="BO32" s="533"/>
      <c r="BP32" s="533"/>
      <c r="BQ32" s="533"/>
      <c r="BR32" s="533"/>
      <c r="BS32" s="533"/>
      <c r="BT32" s="533"/>
      <c r="BU32" s="533"/>
      <c r="BV32" s="533"/>
      <c r="BW32" s="533"/>
      <c r="BX32" s="533"/>
      <c r="BY32" s="533"/>
      <c r="BZ32" s="533"/>
      <c r="CA32" s="533"/>
      <c r="CB32" s="533"/>
      <c r="CC32" s="533"/>
      <c r="CD32" s="533"/>
      <c r="CE32" s="533"/>
      <c r="CF32" s="533"/>
      <c r="CG32" s="533"/>
      <c r="CH32" s="533"/>
      <c r="CI32" s="533"/>
      <c r="CJ32" s="533"/>
      <c r="CK32" s="533"/>
      <c r="CL32" s="533"/>
      <c r="CM32" s="533"/>
      <c r="CN32" s="533"/>
      <c r="CO32" s="533"/>
      <c r="CP32" s="533"/>
      <c r="CQ32" s="533"/>
      <c r="CR32" s="533"/>
      <c r="CS32" s="533"/>
      <c r="CT32" s="533"/>
      <c r="CU32" s="533"/>
      <c r="CV32" s="533"/>
      <c r="CW32" s="533"/>
      <c r="CX32" s="533"/>
      <c r="CY32" s="533"/>
      <c r="CZ32" s="533"/>
      <c r="DA32" s="533"/>
      <c r="DB32" s="533"/>
      <c r="DC32" s="533"/>
      <c r="DD32" s="533"/>
      <c r="DE32" s="533"/>
      <c r="DF32" s="533"/>
      <c r="DG32" s="533"/>
      <c r="DH32" s="533"/>
      <c r="DI32" s="533"/>
      <c r="DJ32" s="533"/>
      <c r="DK32" s="533"/>
      <c r="DL32" s="533"/>
      <c r="DM32" s="533"/>
      <c r="DN32" s="533"/>
      <c r="DO32" s="533"/>
      <c r="DP32" s="533"/>
      <c r="DQ32" s="533"/>
      <c r="DR32" s="533"/>
      <c r="DS32" s="533"/>
    </row>
    <row r="33" spans="2:123" s="529" customFormat="1" ht="18.75" hidden="1" customHeight="1" x14ac:dyDescent="0.3">
      <c r="B33" s="530">
        <v>42776</v>
      </c>
      <c r="C33" s="530" t="str">
        <f>MONTH(Table_NFI[[#This Row],[Distribution Date]]) &amp; "/" &amp; YEAR(Table_NFI[[#This Row],[Distribution Date]])</f>
        <v>2/2017</v>
      </c>
      <c r="D33" s="196" t="s">
        <v>420</v>
      </c>
      <c r="E33" s="196" t="s">
        <v>424</v>
      </c>
      <c r="F33" s="196" t="s">
        <v>378</v>
      </c>
      <c r="G33" s="196" t="s">
        <v>237</v>
      </c>
      <c r="H33" s="196" t="s">
        <v>274</v>
      </c>
      <c r="I33" s="181"/>
      <c r="J33" s="531"/>
      <c r="K33" s="531"/>
      <c r="L33" s="531">
        <v>1</v>
      </c>
      <c r="M33" s="531">
        <v>1</v>
      </c>
      <c r="N33" s="531">
        <v>3</v>
      </c>
      <c r="O33" s="531">
        <v>1</v>
      </c>
      <c r="P33" s="531">
        <v>4</v>
      </c>
      <c r="Q33" s="531">
        <v>1</v>
      </c>
      <c r="R33" s="531"/>
      <c r="S33" s="531">
        <v>1</v>
      </c>
      <c r="T33" s="531">
        <v>4</v>
      </c>
      <c r="U33" s="531"/>
      <c r="V33" s="531"/>
      <c r="W33" s="531"/>
      <c r="X33" s="531"/>
      <c r="Y33" s="531">
        <v>1</v>
      </c>
      <c r="Z33" s="531"/>
      <c r="AA33" s="531"/>
      <c r="AB33" s="531"/>
      <c r="AC33" s="532"/>
      <c r="AD33" s="532"/>
      <c r="AE33" s="532"/>
      <c r="AF33" s="532"/>
      <c r="AG33" s="532"/>
      <c r="AH33" s="532"/>
      <c r="AI33" s="532"/>
      <c r="AJ33" s="532"/>
      <c r="AK33" s="532"/>
      <c r="AL33" s="532"/>
      <c r="AM33" s="532"/>
      <c r="AN33" s="532"/>
      <c r="AO33" s="532"/>
      <c r="AP33" s="532">
        <f>IF(Table_NFI[[#This Row],[Winter Clothes Adult]]+Table_NFI[[#This Row],[Winter Clothes Children]]+Table_NFI[[#This Row],[Winter Items Other]]+Table_NFI[[#This Row],[Winter Blanket]]&gt;0,1,0)</f>
        <v>0</v>
      </c>
      <c r="AQ33" s="532"/>
      <c r="AR33" s="532"/>
      <c r="AS33" s="532"/>
      <c r="AT33" s="532"/>
      <c r="AU33" s="532"/>
      <c r="AV33" s="532"/>
      <c r="AW33" s="532"/>
      <c r="AX33" s="203" t="str">
        <f>IFERROR(VLOOKUP(Table_NFI[[#This Row],[Location]],CL,2,0),"")</f>
        <v>MMR001CMP005</v>
      </c>
      <c r="AY33" s="181" t="s">
        <v>1235</v>
      </c>
      <c r="AZ33" s="533"/>
      <c r="BA33" s="533"/>
      <c r="BB33" s="533"/>
      <c r="BC33" s="533"/>
      <c r="BD33" s="533"/>
      <c r="BE33" s="533"/>
      <c r="BF33" s="533"/>
      <c r="BG33" s="533"/>
      <c r="BH33" s="533"/>
      <c r="BI33" s="533"/>
      <c r="BJ33" s="533"/>
      <c r="BK33" s="533"/>
      <c r="BL33" s="533"/>
      <c r="BM33" s="533"/>
      <c r="BN33" s="533"/>
      <c r="BO33" s="533"/>
      <c r="BP33" s="533"/>
      <c r="BQ33" s="533"/>
      <c r="BR33" s="533"/>
      <c r="BS33" s="533"/>
      <c r="BT33" s="533"/>
      <c r="BU33" s="533"/>
      <c r="BV33" s="533"/>
      <c r="BW33" s="533"/>
      <c r="BX33" s="533"/>
      <c r="BY33" s="533"/>
      <c r="BZ33" s="533"/>
      <c r="CA33" s="533"/>
      <c r="CB33" s="533"/>
      <c r="CC33" s="533"/>
      <c r="CD33" s="533"/>
      <c r="CE33" s="533"/>
      <c r="CF33" s="533"/>
      <c r="CG33" s="533"/>
      <c r="CH33" s="533"/>
      <c r="CI33" s="533"/>
      <c r="CJ33" s="533"/>
      <c r="CK33" s="533"/>
      <c r="CL33" s="533"/>
      <c r="CM33" s="533"/>
      <c r="CN33" s="533"/>
      <c r="CO33" s="533"/>
      <c r="CP33" s="533"/>
      <c r="CQ33" s="533"/>
      <c r="CR33" s="533"/>
      <c r="CS33" s="533"/>
      <c r="CT33" s="533"/>
      <c r="CU33" s="533"/>
      <c r="CV33" s="533"/>
      <c r="CW33" s="533"/>
      <c r="CX33" s="533"/>
      <c r="CY33" s="533"/>
      <c r="CZ33" s="533"/>
      <c r="DA33" s="533"/>
      <c r="DB33" s="533"/>
      <c r="DC33" s="533"/>
      <c r="DD33" s="533"/>
      <c r="DE33" s="533"/>
      <c r="DF33" s="533"/>
      <c r="DG33" s="533"/>
      <c r="DH33" s="533"/>
      <c r="DI33" s="533"/>
      <c r="DJ33" s="533"/>
      <c r="DK33" s="533"/>
      <c r="DL33" s="533"/>
      <c r="DM33" s="533"/>
      <c r="DN33" s="533"/>
      <c r="DO33" s="533"/>
      <c r="DP33" s="533"/>
      <c r="DQ33" s="533"/>
      <c r="DR33" s="533"/>
      <c r="DS33" s="533"/>
    </row>
    <row r="34" spans="2:123" s="529" customFormat="1" ht="18.75" hidden="1" customHeight="1" x14ac:dyDescent="0.3">
      <c r="B34" s="530">
        <v>42776</v>
      </c>
      <c r="C34" s="530" t="str">
        <f>MONTH(Table_NFI[[#This Row],[Distribution Date]]) &amp; "/" &amp; YEAR(Table_NFI[[#This Row],[Distribution Date]])</f>
        <v>2/2017</v>
      </c>
      <c r="D34" s="196" t="s">
        <v>420</v>
      </c>
      <c r="E34" s="196" t="s">
        <v>462</v>
      </c>
      <c r="F34" s="196" t="s">
        <v>378</v>
      </c>
      <c r="G34" s="196" t="s">
        <v>5</v>
      </c>
      <c r="H34" s="196" t="s">
        <v>8</v>
      </c>
      <c r="I34" s="181"/>
      <c r="J34" s="531"/>
      <c r="K34" s="531"/>
      <c r="L34" s="531"/>
      <c r="M34" s="531"/>
      <c r="N34" s="531"/>
      <c r="O34" s="531">
        <v>8</v>
      </c>
      <c r="P34" s="531"/>
      <c r="Q34" s="531"/>
      <c r="R34" s="531"/>
      <c r="S34" s="531"/>
      <c r="T34" s="531"/>
      <c r="U34" s="531"/>
      <c r="V34" s="531"/>
      <c r="W34" s="531"/>
      <c r="X34" s="531"/>
      <c r="Y34" s="531"/>
      <c r="Z34" s="531"/>
      <c r="AA34" s="531"/>
      <c r="AB34" s="531"/>
      <c r="AC34" s="532"/>
      <c r="AD34" s="532"/>
      <c r="AE34" s="532"/>
      <c r="AF34" s="532"/>
      <c r="AG34" s="532"/>
      <c r="AH34" s="532"/>
      <c r="AI34" s="532"/>
      <c r="AJ34" s="532"/>
      <c r="AK34" s="532"/>
      <c r="AL34" s="532"/>
      <c r="AM34" s="532"/>
      <c r="AN34" s="532"/>
      <c r="AO34" s="532"/>
      <c r="AP34" s="532">
        <f>IF(Table_NFI[[#This Row],[Winter Clothes Adult]]+Table_NFI[[#This Row],[Winter Clothes Children]]+Table_NFI[[#This Row],[Winter Items Other]]+Table_NFI[[#This Row],[Winter Blanket]]&gt;0,1,0)</f>
        <v>0</v>
      </c>
      <c r="AQ34" s="532"/>
      <c r="AR34" s="532"/>
      <c r="AS34" s="532"/>
      <c r="AT34" s="532"/>
      <c r="AU34" s="532"/>
      <c r="AV34" s="532"/>
      <c r="AW34" s="532"/>
      <c r="AX34" s="203" t="str">
        <f>IFERROR(VLOOKUP(Table_NFI[[#This Row],[Location]],CL,2,0),"")</f>
        <v>MMR001CMP051</v>
      </c>
      <c r="AY34" s="181" t="s">
        <v>1235</v>
      </c>
      <c r="AZ34" s="533"/>
      <c r="BA34" s="533"/>
      <c r="BB34" s="533"/>
      <c r="BC34" s="533"/>
      <c r="BD34" s="533"/>
      <c r="BE34" s="533"/>
      <c r="BF34" s="533"/>
      <c r="BG34" s="533"/>
      <c r="BH34" s="533"/>
      <c r="BI34" s="533"/>
      <c r="BJ34" s="533"/>
      <c r="BK34" s="533"/>
      <c r="BL34" s="533"/>
      <c r="BM34" s="533"/>
      <c r="BN34" s="533"/>
      <c r="BO34" s="533"/>
      <c r="BP34" s="533"/>
      <c r="BQ34" s="533"/>
      <c r="BR34" s="533"/>
      <c r="BS34" s="533"/>
      <c r="BT34" s="533"/>
      <c r="BU34" s="533"/>
      <c r="BV34" s="533"/>
      <c r="BW34" s="533"/>
      <c r="BX34" s="533"/>
      <c r="BY34" s="533"/>
      <c r="BZ34" s="533"/>
      <c r="CA34" s="533"/>
      <c r="CB34" s="533"/>
      <c r="CC34" s="533"/>
      <c r="CD34" s="533"/>
      <c r="CE34" s="533"/>
      <c r="CF34" s="533"/>
      <c r="CG34" s="533"/>
      <c r="CH34" s="533"/>
      <c r="CI34" s="533"/>
      <c r="CJ34" s="533"/>
      <c r="CK34" s="533"/>
      <c r="CL34" s="533"/>
      <c r="CM34" s="533"/>
      <c r="CN34" s="533"/>
      <c r="CO34" s="533"/>
      <c r="CP34" s="533"/>
      <c r="CQ34" s="533"/>
      <c r="CR34" s="533"/>
      <c r="CS34" s="533"/>
      <c r="CT34" s="533"/>
      <c r="CU34" s="533"/>
      <c r="CV34" s="533"/>
      <c r="CW34" s="533"/>
      <c r="CX34" s="533"/>
      <c r="CY34" s="533"/>
      <c r="CZ34" s="533"/>
      <c r="DA34" s="533"/>
      <c r="DB34" s="533"/>
      <c r="DC34" s="533"/>
      <c r="DD34" s="533"/>
      <c r="DE34" s="533"/>
      <c r="DF34" s="533"/>
      <c r="DG34" s="533"/>
      <c r="DH34" s="533"/>
      <c r="DI34" s="533"/>
      <c r="DJ34" s="533"/>
      <c r="DK34" s="533"/>
      <c r="DL34" s="533"/>
      <c r="DM34" s="533"/>
      <c r="DN34" s="533"/>
      <c r="DO34" s="533"/>
      <c r="DP34" s="533"/>
      <c r="DQ34" s="533"/>
      <c r="DR34" s="533"/>
      <c r="DS34" s="533"/>
    </row>
    <row r="35" spans="2:123" s="529" customFormat="1" ht="18.75" hidden="1" customHeight="1" x14ac:dyDescent="0.3">
      <c r="B35" s="530">
        <v>42779</v>
      </c>
      <c r="C35" s="530" t="str">
        <f>MONTH(Table_NFI[[#This Row],[Distribution Date]]) &amp; "/" &amp; YEAR(Table_NFI[[#This Row],[Distribution Date]])</f>
        <v>2/2017</v>
      </c>
      <c r="D35" s="196" t="s">
        <v>420</v>
      </c>
      <c r="E35" s="196" t="s">
        <v>424</v>
      </c>
      <c r="F35" s="196" t="s">
        <v>378</v>
      </c>
      <c r="G35" s="196" t="s">
        <v>237</v>
      </c>
      <c r="H35" s="196" t="s">
        <v>240</v>
      </c>
      <c r="I35" s="181"/>
      <c r="J35" s="531"/>
      <c r="K35" s="531"/>
      <c r="L35" s="531">
        <v>3</v>
      </c>
      <c r="M35" s="531">
        <v>3</v>
      </c>
      <c r="N35" s="531">
        <v>5</v>
      </c>
      <c r="O35" s="531">
        <v>3</v>
      </c>
      <c r="P35" s="531">
        <v>8</v>
      </c>
      <c r="Q35" s="531">
        <v>3</v>
      </c>
      <c r="R35" s="531"/>
      <c r="S35" s="531">
        <v>3</v>
      </c>
      <c r="T35" s="531">
        <v>8</v>
      </c>
      <c r="U35" s="531"/>
      <c r="V35" s="531"/>
      <c r="W35" s="531"/>
      <c r="X35" s="531"/>
      <c r="Y35" s="531">
        <v>3</v>
      </c>
      <c r="Z35" s="531"/>
      <c r="AA35" s="531"/>
      <c r="AB35" s="531"/>
      <c r="AC35" s="532"/>
      <c r="AD35" s="532"/>
      <c r="AE35" s="532"/>
      <c r="AF35" s="532"/>
      <c r="AG35" s="532"/>
      <c r="AH35" s="532"/>
      <c r="AI35" s="532"/>
      <c r="AJ35" s="532"/>
      <c r="AK35" s="532"/>
      <c r="AL35" s="532"/>
      <c r="AM35" s="532"/>
      <c r="AN35" s="532"/>
      <c r="AO35" s="532"/>
      <c r="AP35" s="532">
        <f>IF(Table_NFI[[#This Row],[Winter Clothes Adult]]+Table_NFI[[#This Row],[Winter Clothes Children]]+Table_NFI[[#This Row],[Winter Items Other]]+Table_NFI[[#This Row],[Winter Blanket]]&gt;0,1,0)</f>
        <v>0</v>
      </c>
      <c r="AQ35" s="532"/>
      <c r="AR35" s="532"/>
      <c r="AS35" s="532"/>
      <c r="AT35" s="532"/>
      <c r="AU35" s="532"/>
      <c r="AV35" s="532"/>
      <c r="AW35" s="532"/>
      <c r="AX35" s="203" t="str">
        <f>IFERROR(VLOOKUP(Table_NFI[[#This Row],[Location]],CL,2,0),"")</f>
        <v>MMR001CMP015</v>
      </c>
      <c r="AY35" s="181" t="s">
        <v>1235</v>
      </c>
      <c r="AZ35" s="533"/>
      <c r="BA35" s="533"/>
      <c r="BB35" s="533"/>
      <c r="BC35" s="533"/>
      <c r="BD35" s="533"/>
      <c r="BE35" s="533"/>
      <c r="BF35" s="533"/>
      <c r="BG35" s="533"/>
      <c r="BH35" s="533"/>
      <c r="BI35" s="533"/>
      <c r="BJ35" s="533"/>
      <c r="BK35" s="533"/>
      <c r="BL35" s="533"/>
      <c r="BM35" s="533"/>
      <c r="BN35" s="533"/>
      <c r="BO35" s="533"/>
      <c r="BP35" s="533"/>
      <c r="BQ35" s="533"/>
      <c r="BR35" s="533"/>
      <c r="BS35" s="533"/>
      <c r="BT35" s="533"/>
      <c r="BU35" s="533"/>
      <c r="BV35" s="533"/>
      <c r="BW35" s="533"/>
      <c r="BX35" s="533"/>
      <c r="BY35" s="533"/>
      <c r="BZ35" s="533"/>
      <c r="CA35" s="533"/>
      <c r="CB35" s="533"/>
      <c r="CC35" s="533"/>
      <c r="CD35" s="533"/>
      <c r="CE35" s="533"/>
      <c r="CF35" s="533"/>
      <c r="CG35" s="533"/>
      <c r="CH35" s="533"/>
      <c r="CI35" s="533"/>
      <c r="CJ35" s="533"/>
      <c r="CK35" s="533"/>
      <c r="CL35" s="533"/>
      <c r="CM35" s="533"/>
      <c r="CN35" s="533"/>
      <c r="CO35" s="533"/>
      <c r="CP35" s="533"/>
      <c r="CQ35" s="533"/>
      <c r="CR35" s="533"/>
      <c r="CS35" s="533"/>
      <c r="CT35" s="533"/>
      <c r="CU35" s="533"/>
      <c r="CV35" s="533"/>
      <c r="CW35" s="533"/>
      <c r="CX35" s="533"/>
      <c r="CY35" s="533"/>
      <c r="CZ35" s="533"/>
      <c r="DA35" s="533"/>
      <c r="DB35" s="533"/>
      <c r="DC35" s="533"/>
      <c r="DD35" s="533"/>
      <c r="DE35" s="533"/>
      <c r="DF35" s="533"/>
      <c r="DG35" s="533"/>
      <c r="DH35" s="533"/>
      <c r="DI35" s="533"/>
      <c r="DJ35" s="533"/>
      <c r="DK35" s="533"/>
      <c r="DL35" s="533"/>
      <c r="DM35" s="533"/>
      <c r="DN35" s="533"/>
      <c r="DO35" s="533"/>
      <c r="DP35" s="533"/>
      <c r="DQ35" s="533"/>
      <c r="DR35" s="533"/>
      <c r="DS35" s="533"/>
    </row>
    <row r="36" spans="2:123" s="529" customFormat="1" ht="18.75" hidden="1" customHeight="1" x14ac:dyDescent="0.3">
      <c r="B36" s="530">
        <v>42779</v>
      </c>
      <c r="C36" s="530" t="str">
        <f>MONTH(Table_NFI[[#This Row],[Distribution Date]]) &amp; "/" &amp; YEAR(Table_NFI[[#This Row],[Distribution Date]])</f>
        <v>2/2017</v>
      </c>
      <c r="D36" s="196" t="s">
        <v>420</v>
      </c>
      <c r="E36" s="196" t="s">
        <v>424</v>
      </c>
      <c r="F36" s="196" t="s">
        <v>378</v>
      </c>
      <c r="G36" s="196" t="s">
        <v>237</v>
      </c>
      <c r="H36" s="196" t="s">
        <v>252</v>
      </c>
      <c r="I36" s="181"/>
      <c r="J36" s="531"/>
      <c r="K36" s="531"/>
      <c r="L36" s="531">
        <v>1</v>
      </c>
      <c r="M36" s="531">
        <v>1</v>
      </c>
      <c r="N36" s="531">
        <v>2</v>
      </c>
      <c r="O36" s="531">
        <v>1</v>
      </c>
      <c r="P36" s="531">
        <v>3</v>
      </c>
      <c r="Q36" s="531">
        <v>1</v>
      </c>
      <c r="R36" s="531"/>
      <c r="S36" s="531">
        <v>1</v>
      </c>
      <c r="T36" s="531">
        <v>3</v>
      </c>
      <c r="U36" s="531"/>
      <c r="V36" s="531"/>
      <c r="W36" s="531"/>
      <c r="X36" s="531"/>
      <c r="Y36" s="531">
        <v>1</v>
      </c>
      <c r="Z36" s="531"/>
      <c r="AA36" s="531"/>
      <c r="AB36" s="531"/>
      <c r="AC36" s="532"/>
      <c r="AD36" s="532"/>
      <c r="AE36" s="532"/>
      <c r="AF36" s="532"/>
      <c r="AG36" s="532"/>
      <c r="AH36" s="532"/>
      <c r="AI36" s="532"/>
      <c r="AJ36" s="532"/>
      <c r="AK36" s="532"/>
      <c r="AL36" s="532"/>
      <c r="AM36" s="532"/>
      <c r="AN36" s="532"/>
      <c r="AO36" s="532"/>
      <c r="AP36" s="532">
        <f>IF(Table_NFI[[#This Row],[Winter Clothes Adult]]+Table_NFI[[#This Row],[Winter Clothes Children]]+Table_NFI[[#This Row],[Winter Items Other]]+Table_NFI[[#This Row],[Winter Blanket]]&gt;0,1,0)</f>
        <v>0</v>
      </c>
      <c r="AQ36" s="532"/>
      <c r="AR36" s="532"/>
      <c r="AS36" s="532"/>
      <c r="AT36" s="532"/>
      <c r="AU36" s="532"/>
      <c r="AV36" s="532"/>
      <c r="AW36" s="532"/>
      <c r="AX36" s="203" t="str">
        <f>IFERROR(VLOOKUP(Table_NFI[[#This Row],[Location]],CL,2,0),"")</f>
        <v>MMR001CMP018</v>
      </c>
      <c r="AY36" s="181" t="s">
        <v>1235</v>
      </c>
      <c r="AZ36" s="533"/>
      <c r="BA36" s="533"/>
      <c r="BB36" s="533"/>
      <c r="BC36" s="533"/>
      <c r="BD36" s="533"/>
      <c r="BE36" s="533"/>
      <c r="BF36" s="533"/>
      <c r="BG36" s="533"/>
      <c r="BH36" s="533"/>
      <c r="BI36" s="533"/>
      <c r="BJ36" s="533"/>
      <c r="BK36" s="533"/>
      <c r="BL36" s="533"/>
      <c r="BM36" s="533"/>
      <c r="BN36" s="533"/>
      <c r="BO36" s="533"/>
      <c r="BP36" s="533"/>
      <c r="BQ36" s="533"/>
      <c r="BR36" s="533"/>
      <c r="BS36" s="533"/>
      <c r="BT36" s="533"/>
      <c r="BU36" s="533"/>
      <c r="BV36" s="533"/>
      <c r="BW36" s="533"/>
      <c r="BX36" s="533"/>
      <c r="BY36" s="533"/>
      <c r="BZ36" s="533"/>
      <c r="CA36" s="533"/>
      <c r="CB36" s="533"/>
      <c r="CC36" s="533"/>
      <c r="CD36" s="533"/>
      <c r="CE36" s="533"/>
      <c r="CF36" s="533"/>
      <c r="CG36" s="533"/>
      <c r="CH36" s="533"/>
      <c r="CI36" s="533"/>
      <c r="CJ36" s="533"/>
      <c r="CK36" s="533"/>
      <c r="CL36" s="533"/>
      <c r="CM36" s="533"/>
      <c r="CN36" s="533"/>
      <c r="CO36" s="533"/>
      <c r="CP36" s="533"/>
      <c r="CQ36" s="533"/>
      <c r="CR36" s="533"/>
      <c r="CS36" s="533"/>
      <c r="CT36" s="533"/>
      <c r="CU36" s="533"/>
      <c r="CV36" s="533"/>
      <c r="CW36" s="533"/>
      <c r="CX36" s="533"/>
      <c r="CY36" s="533"/>
      <c r="CZ36" s="533"/>
      <c r="DA36" s="533"/>
      <c r="DB36" s="533"/>
      <c r="DC36" s="533"/>
      <c r="DD36" s="533"/>
      <c r="DE36" s="533"/>
      <c r="DF36" s="533"/>
      <c r="DG36" s="533"/>
      <c r="DH36" s="533"/>
      <c r="DI36" s="533"/>
      <c r="DJ36" s="533"/>
      <c r="DK36" s="533"/>
      <c r="DL36" s="533"/>
      <c r="DM36" s="533"/>
      <c r="DN36" s="533"/>
      <c r="DO36" s="533"/>
      <c r="DP36" s="533"/>
      <c r="DQ36" s="533"/>
      <c r="DR36" s="533"/>
      <c r="DS36" s="533"/>
    </row>
    <row r="37" spans="2:123" s="529" customFormat="1" ht="18.75" hidden="1" customHeight="1" x14ac:dyDescent="0.3">
      <c r="B37" s="530">
        <v>42779</v>
      </c>
      <c r="C37" s="530" t="str">
        <f>MONTH(Table_NFI[[#This Row],[Distribution Date]]) &amp; "/" &amp; YEAR(Table_NFI[[#This Row],[Distribution Date]])</f>
        <v>2/2017</v>
      </c>
      <c r="D37" s="196" t="s">
        <v>420</v>
      </c>
      <c r="E37" s="196" t="s">
        <v>424</v>
      </c>
      <c r="F37" s="196" t="s">
        <v>378</v>
      </c>
      <c r="G37" s="196" t="s">
        <v>237</v>
      </c>
      <c r="H37" s="196" t="s">
        <v>256</v>
      </c>
      <c r="I37" s="181"/>
      <c r="J37" s="531"/>
      <c r="K37" s="531"/>
      <c r="L37" s="531">
        <v>3</v>
      </c>
      <c r="M37" s="531">
        <v>3</v>
      </c>
      <c r="N37" s="531">
        <v>9</v>
      </c>
      <c r="O37" s="531">
        <v>3</v>
      </c>
      <c r="P37" s="531">
        <v>17</v>
      </c>
      <c r="Q37" s="531">
        <v>3</v>
      </c>
      <c r="R37" s="531"/>
      <c r="S37" s="531">
        <v>3</v>
      </c>
      <c r="T37" s="531">
        <v>17</v>
      </c>
      <c r="U37" s="531"/>
      <c r="V37" s="531"/>
      <c r="W37" s="531"/>
      <c r="X37" s="531"/>
      <c r="Y37" s="531">
        <v>3</v>
      </c>
      <c r="Z37" s="531"/>
      <c r="AA37" s="531"/>
      <c r="AB37" s="531"/>
      <c r="AC37" s="532"/>
      <c r="AD37" s="532"/>
      <c r="AE37" s="532"/>
      <c r="AF37" s="532"/>
      <c r="AG37" s="532"/>
      <c r="AH37" s="532"/>
      <c r="AI37" s="532"/>
      <c r="AJ37" s="532"/>
      <c r="AK37" s="532"/>
      <c r="AL37" s="532"/>
      <c r="AM37" s="532"/>
      <c r="AN37" s="532"/>
      <c r="AO37" s="532"/>
      <c r="AP37" s="532">
        <f>IF(Table_NFI[[#This Row],[Winter Clothes Adult]]+Table_NFI[[#This Row],[Winter Clothes Children]]+Table_NFI[[#This Row],[Winter Items Other]]+Table_NFI[[#This Row],[Winter Blanket]]&gt;0,1,0)</f>
        <v>0</v>
      </c>
      <c r="AQ37" s="532"/>
      <c r="AR37" s="532"/>
      <c r="AS37" s="532"/>
      <c r="AT37" s="532"/>
      <c r="AU37" s="532"/>
      <c r="AV37" s="532"/>
      <c r="AW37" s="532"/>
      <c r="AX37" s="203" t="str">
        <f>IFERROR(VLOOKUP(Table_NFI[[#This Row],[Location]],CL,2,0),"")</f>
        <v>MMR001CMP013</v>
      </c>
      <c r="AY37" s="181" t="s">
        <v>1235</v>
      </c>
      <c r="AZ37" s="533"/>
      <c r="BA37" s="533"/>
      <c r="BB37" s="533"/>
      <c r="BC37" s="533"/>
      <c r="BD37" s="533"/>
      <c r="BE37" s="533"/>
      <c r="BF37" s="533"/>
      <c r="BG37" s="533"/>
      <c r="BH37" s="533"/>
      <c r="BI37" s="533"/>
      <c r="BJ37" s="533"/>
      <c r="BK37" s="533"/>
      <c r="BL37" s="533"/>
      <c r="BM37" s="533"/>
      <c r="BN37" s="533"/>
      <c r="BO37" s="533"/>
      <c r="BP37" s="533"/>
      <c r="BQ37" s="533"/>
      <c r="BR37" s="533"/>
      <c r="BS37" s="533"/>
      <c r="BT37" s="533"/>
      <c r="BU37" s="533"/>
      <c r="BV37" s="533"/>
      <c r="BW37" s="533"/>
      <c r="BX37" s="533"/>
      <c r="BY37" s="533"/>
      <c r="BZ37" s="533"/>
      <c r="CA37" s="533"/>
      <c r="CB37" s="533"/>
      <c r="CC37" s="533"/>
      <c r="CD37" s="533"/>
      <c r="CE37" s="533"/>
      <c r="CF37" s="533"/>
      <c r="CG37" s="533"/>
      <c r="CH37" s="533"/>
      <c r="CI37" s="533"/>
      <c r="CJ37" s="533"/>
      <c r="CK37" s="533"/>
      <c r="CL37" s="533"/>
      <c r="CM37" s="533"/>
      <c r="CN37" s="533"/>
      <c r="CO37" s="533"/>
      <c r="CP37" s="533"/>
      <c r="CQ37" s="533"/>
      <c r="CR37" s="533"/>
      <c r="CS37" s="533"/>
      <c r="CT37" s="533"/>
      <c r="CU37" s="533"/>
      <c r="CV37" s="533"/>
      <c r="CW37" s="533"/>
      <c r="CX37" s="533"/>
      <c r="CY37" s="533"/>
      <c r="CZ37" s="533"/>
      <c r="DA37" s="533"/>
      <c r="DB37" s="533"/>
      <c r="DC37" s="533"/>
      <c r="DD37" s="533"/>
      <c r="DE37" s="533"/>
      <c r="DF37" s="533"/>
      <c r="DG37" s="533"/>
      <c r="DH37" s="533"/>
      <c r="DI37" s="533"/>
      <c r="DJ37" s="533"/>
      <c r="DK37" s="533"/>
      <c r="DL37" s="533"/>
      <c r="DM37" s="533"/>
      <c r="DN37" s="533"/>
      <c r="DO37" s="533"/>
      <c r="DP37" s="533"/>
      <c r="DQ37" s="533"/>
      <c r="DR37" s="533"/>
      <c r="DS37" s="533"/>
    </row>
    <row r="38" spans="2:123" s="529" customFormat="1" ht="18.75" hidden="1" customHeight="1" x14ac:dyDescent="0.3">
      <c r="B38" s="530">
        <v>42779</v>
      </c>
      <c r="C38" s="530" t="str">
        <f>MONTH(Table_NFI[[#This Row],[Distribution Date]]) &amp; "/" &amp; YEAR(Table_NFI[[#This Row],[Distribution Date]])</f>
        <v>2/2017</v>
      </c>
      <c r="D38" s="196" t="s">
        <v>420</v>
      </c>
      <c r="E38" s="196" t="s">
        <v>424</v>
      </c>
      <c r="F38" s="196" t="s">
        <v>378</v>
      </c>
      <c r="G38" s="196" t="s">
        <v>237</v>
      </c>
      <c r="H38" s="196" t="s">
        <v>260</v>
      </c>
      <c r="I38" s="181"/>
      <c r="J38" s="531"/>
      <c r="K38" s="531"/>
      <c r="L38" s="531">
        <v>1</v>
      </c>
      <c r="M38" s="531">
        <v>1</v>
      </c>
      <c r="N38" s="531">
        <v>2</v>
      </c>
      <c r="O38" s="531">
        <v>1</v>
      </c>
      <c r="P38" s="531">
        <v>3</v>
      </c>
      <c r="Q38" s="531">
        <v>1</v>
      </c>
      <c r="R38" s="531"/>
      <c r="S38" s="531">
        <v>1</v>
      </c>
      <c r="T38" s="531">
        <v>3</v>
      </c>
      <c r="U38" s="531"/>
      <c r="V38" s="531"/>
      <c r="W38" s="531"/>
      <c r="X38" s="531"/>
      <c r="Y38" s="531">
        <v>1</v>
      </c>
      <c r="Z38" s="531"/>
      <c r="AA38" s="531"/>
      <c r="AB38" s="531"/>
      <c r="AC38" s="532"/>
      <c r="AD38" s="532"/>
      <c r="AE38" s="532"/>
      <c r="AF38" s="532"/>
      <c r="AG38" s="532"/>
      <c r="AH38" s="532"/>
      <c r="AI38" s="532"/>
      <c r="AJ38" s="532"/>
      <c r="AK38" s="532"/>
      <c r="AL38" s="532"/>
      <c r="AM38" s="532"/>
      <c r="AN38" s="532"/>
      <c r="AO38" s="532"/>
      <c r="AP38" s="532">
        <f>IF(Table_NFI[[#This Row],[Winter Clothes Adult]]+Table_NFI[[#This Row],[Winter Clothes Children]]+Table_NFI[[#This Row],[Winter Items Other]]+Table_NFI[[#This Row],[Winter Blanket]]&gt;0,1,0)</f>
        <v>0</v>
      </c>
      <c r="AQ38" s="532"/>
      <c r="AR38" s="532"/>
      <c r="AS38" s="532"/>
      <c r="AT38" s="532"/>
      <c r="AU38" s="532"/>
      <c r="AV38" s="532"/>
      <c r="AW38" s="532"/>
      <c r="AX38" s="203" t="str">
        <f>IFERROR(VLOOKUP(Table_NFI[[#This Row],[Location]],CL,2,0),"")</f>
        <v>MMR001CMP008</v>
      </c>
      <c r="AY38" s="181" t="s">
        <v>1235</v>
      </c>
      <c r="AZ38" s="533"/>
      <c r="BA38" s="533"/>
      <c r="BB38" s="533"/>
      <c r="BC38" s="533"/>
      <c r="BD38" s="533"/>
      <c r="BE38" s="533"/>
      <c r="BF38" s="533"/>
      <c r="BG38" s="533"/>
      <c r="BH38" s="533"/>
      <c r="BI38" s="533"/>
      <c r="BJ38" s="533"/>
      <c r="BK38" s="533"/>
      <c r="BL38" s="533"/>
      <c r="BM38" s="533"/>
      <c r="BN38" s="533"/>
      <c r="BO38" s="533"/>
      <c r="BP38" s="533"/>
      <c r="BQ38" s="533"/>
      <c r="BR38" s="533"/>
      <c r="BS38" s="533"/>
      <c r="BT38" s="533"/>
      <c r="BU38" s="533"/>
      <c r="BV38" s="533"/>
      <c r="BW38" s="533"/>
      <c r="BX38" s="533"/>
      <c r="BY38" s="533"/>
      <c r="BZ38" s="533"/>
      <c r="CA38" s="533"/>
      <c r="CB38" s="533"/>
      <c r="CC38" s="533"/>
      <c r="CD38" s="533"/>
      <c r="CE38" s="533"/>
      <c r="CF38" s="533"/>
      <c r="CG38" s="533"/>
      <c r="CH38" s="533"/>
      <c r="CI38" s="533"/>
      <c r="CJ38" s="533"/>
      <c r="CK38" s="533"/>
      <c r="CL38" s="533"/>
      <c r="CM38" s="533"/>
      <c r="CN38" s="533"/>
      <c r="CO38" s="533"/>
      <c r="CP38" s="533"/>
      <c r="CQ38" s="533"/>
      <c r="CR38" s="533"/>
      <c r="CS38" s="533"/>
      <c r="CT38" s="533"/>
      <c r="CU38" s="533"/>
      <c r="CV38" s="533"/>
      <c r="CW38" s="533"/>
      <c r="CX38" s="533"/>
      <c r="CY38" s="533"/>
      <c r="CZ38" s="533"/>
      <c r="DA38" s="533"/>
      <c r="DB38" s="533"/>
      <c r="DC38" s="533"/>
      <c r="DD38" s="533"/>
      <c r="DE38" s="533"/>
      <c r="DF38" s="533"/>
      <c r="DG38" s="533"/>
      <c r="DH38" s="533"/>
      <c r="DI38" s="533"/>
      <c r="DJ38" s="533"/>
      <c r="DK38" s="533"/>
      <c r="DL38" s="533"/>
      <c r="DM38" s="533"/>
      <c r="DN38" s="533"/>
      <c r="DO38" s="533"/>
      <c r="DP38" s="533"/>
      <c r="DQ38" s="533"/>
      <c r="DR38" s="533"/>
      <c r="DS38" s="533"/>
    </row>
    <row r="39" spans="2:123" s="529" customFormat="1" ht="18.75" hidden="1" customHeight="1" x14ac:dyDescent="0.3">
      <c r="B39" s="530">
        <v>42779</v>
      </c>
      <c r="C39" s="530" t="str">
        <f>MONTH(Table_NFI[[#This Row],[Distribution Date]]) &amp; "/" &amp; YEAR(Table_NFI[[#This Row],[Distribution Date]])</f>
        <v>2/2017</v>
      </c>
      <c r="D39" s="196" t="s">
        <v>420</v>
      </c>
      <c r="E39" s="196" t="s">
        <v>424</v>
      </c>
      <c r="F39" s="196" t="s">
        <v>378</v>
      </c>
      <c r="G39" s="196" t="s">
        <v>237</v>
      </c>
      <c r="H39" s="196" t="s">
        <v>258</v>
      </c>
      <c r="I39" s="181"/>
      <c r="J39" s="531"/>
      <c r="K39" s="531"/>
      <c r="L39" s="531">
        <v>1</v>
      </c>
      <c r="M39" s="531">
        <v>1</v>
      </c>
      <c r="N39" s="531">
        <v>2</v>
      </c>
      <c r="O39" s="531">
        <v>1</v>
      </c>
      <c r="P39" s="531">
        <v>3</v>
      </c>
      <c r="Q39" s="531">
        <v>1</v>
      </c>
      <c r="R39" s="531"/>
      <c r="S39" s="531">
        <v>1</v>
      </c>
      <c r="T39" s="531">
        <v>3</v>
      </c>
      <c r="U39" s="531"/>
      <c r="V39" s="531"/>
      <c r="W39" s="531"/>
      <c r="X39" s="531"/>
      <c r="Y39" s="531">
        <v>1</v>
      </c>
      <c r="Z39" s="531"/>
      <c r="AA39" s="531"/>
      <c r="AB39" s="531"/>
      <c r="AC39" s="532"/>
      <c r="AD39" s="532"/>
      <c r="AE39" s="532"/>
      <c r="AF39" s="532"/>
      <c r="AG39" s="532"/>
      <c r="AH39" s="532"/>
      <c r="AI39" s="532"/>
      <c r="AJ39" s="532"/>
      <c r="AK39" s="532"/>
      <c r="AL39" s="532"/>
      <c r="AM39" s="532"/>
      <c r="AN39" s="532"/>
      <c r="AO39" s="532"/>
      <c r="AP39" s="532">
        <f>IF(Table_NFI[[#This Row],[Winter Clothes Adult]]+Table_NFI[[#This Row],[Winter Clothes Children]]+Table_NFI[[#This Row],[Winter Items Other]]+Table_NFI[[#This Row],[Winter Blanket]]&gt;0,1,0)</f>
        <v>0</v>
      </c>
      <c r="AQ39" s="532"/>
      <c r="AR39" s="532"/>
      <c r="AS39" s="532"/>
      <c r="AT39" s="532"/>
      <c r="AU39" s="532"/>
      <c r="AV39" s="532"/>
      <c r="AW39" s="532"/>
      <c r="AX39" s="203" t="str">
        <f>IFERROR(VLOOKUP(Table_NFI[[#This Row],[Location]],CL,2,0),"")</f>
        <v>MMR001CMP016</v>
      </c>
      <c r="AY39" s="181" t="s">
        <v>1235</v>
      </c>
      <c r="AZ39" s="533"/>
      <c r="BA39" s="533"/>
      <c r="BB39" s="533"/>
      <c r="BC39" s="533"/>
      <c r="BD39" s="533"/>
      <c r="BE39" s="533"/>
      <c r="BF39" s="533"/>
      <c r="BG39" s="533"/>
      <c r="BH39" s="533"/>
      <c r="BI39" s="533"/>
      <c r="BJ39" s="533"/>
      <c r="BK39" s="533"/>
      <c r="BL39" s="533"/>
      <c r="BM39" s="533"/>
      <c r="BN39" s="533"/>
      <c r="BO39" s="533"/>
      <c r="BP39" s="533"/>
      <c r="BQ39" s="533"/>
      <c r="BR39" s="533"/>
      <c r="BS39" s="533"/>
      <c r="BT39" s="533"/>
      <c r="BU39" s="533"/>
      <c r="BV39" s="533"/>
      <c r="BW39" s="533"/>
      <c r="BX39" s="533"/>
      <c r="BY39" s="533"/>
      <c r="BZ39" s="533"/>
      <c r="CA39" s="533"/>
      <c r="CB39" s="533"/>
      <c r="CC39" s="533"/>
      <c r="CD39" s="533"/>
      <c r="CE39" s="533"/>
      <c r="CF39" s="533"/>
      <c r="CG39" s="533"/>
      <c r="CH39" s="533"/>
      <c r="CI39" s="533"/>
      <c r="CJ39" s="533"/>
      <c r="CK39" s="533"/>
      <c r="CL39" s="533"/>
      <c r="CM39" s="533"/>
      <c r="CN39" s="533"/>
      <c r="CO39" s="533"/>
      <c r="CP39" s="533"/>
      <c r="CQ39" s="533"/>
      <c r="CR39" s="533"/>
      <c r="CS39" s="533"/>
      <c r="CT39" s="533"/>
      <c r="CU39" s="533"/>
      <c r="CV39" s="533"/>
      <c r="CW39" s="533"/>
      <c r="CX39" s="533"/>
      <c r="CY39" s="533"/>
      <c r="CZ39" s="533"/>
      <c r="DA39" s="533"/>
      <c r="DB39" s="533"/>
      <c r="DC39" s="533"/>
      <c r="DD39" s="533"/>
      <c r="DE39" s="533"/>
      <c r="DF39" s="533"/>
      <c r="DG39" s="533"/>
      <c r="DH39" s="533"/>
      <c r="DI39" s="533"/>
      <c r="DJ39" s="533"/>
      <c r="DK39" s="533"/>
      <c r="DL39" s="533"/>
      <c r="DM39" s="533"/>
      <c r="DN39" s="533"/>
      <c r="DO39" s="533"/>
      <c r="DP39" s="533"/>
      <c r="DQ39" s="533"/>
      <c r="DR39" s="533"/>
      <c r="DS39" s="533"/>
    </row>
    <row r="40" spans="2:123" s="529" customFormat="1" ht="18.75" hidden="1" customHeight="1" x14ac:dyDescent="0.3">
      <c r="B40" s="530">
        <v>42780</v>
      </c>
      <c r="C40" s="530" t="str">
        <f>MONTH(Table_NFI[[#This Row],[Distribution Date]]) &amp; "/" &amp; YEAR(Table_NFI[[#This Row],[Distribution Date]])</f>
        <v>2/2017</v>
      </c>
      <c r="D40" s="196" t="s">
        <v>420</v>
      </c>
      <c r="E40" s="196" t="s">
        <v>424</v>
      </c>
      <c r="F40" s="196" t="s">
        <v>378</v>
      </c>
      <c r="G40" s="196" t="s">
        <v>151</v>
      </c>
      <c r="H40" s="196" t="s">
        <v>811</v>
      </c>
      <c r="I40" s="181"/>
      <c r="J40" s="531"/>
      <c r="K40" s="531"/>
      <c r="L40" s="531">
        <v>4</v>
      </c>
      <c r="M40" s="531">
        <v>4</v>
      </c>
      <c r="N40" s="531">
        <v>7</v>
      </c>
      <c r="O40" s="531">
        <v>4</v>
      </c>
      <c r="P40" s="531">
        <v>7</v>
      </c>
      <c r="Q40" s="531">
        <v>4</v>
      </c>
      <c r="R40" s="531"/>
      <c r="S40" s="531">
        <v>4</v>
      </c>
      <c r="T40" s="531">
        <v>14</v>
      </c>
      <c r="U40" s="531"/>
      <c r="V40" s="531"/>
      <c r="W40" s="531"/>
      <c r="X40" s="531"/>
      <c r="Y40" s="531">
        <v>4</v>
      </c>
      <c r="Z40" s="531"/>
      <c r="AA40" s="531"/>
      <c r="AB40" s="531"/>
      <c r="AC40" s="532"/>
      <c r="AD40" s="532"/>
      <c r="AE40" s="532"/>
      <c r="AF40" s="532"/>
      <c r="AG40" s="532"/>
      <c r="AH40" s="532"/>
      <c r="AI40" s="532"/>
      <c r="AJ40" s="532"/>
      <c r="AK40" s="532"/>
      <c r="AL40" s="532"/>
      <c r="AM40" s="532"/>
      <c r="AN40" s="532"/>
      <c r="AO40" s="532"/>
      <c r="AP40" s="532">
        <f>IF(Table_NFI[[#This Row],[Winter Clothes Adult]]+Table_NFI[[#This Row],[Winter Clothes Children]]+Table_NFI[[#This Row],[Winter Items Other]]+Table_NFI[[#This Row],[Winter Blanket]]&gt;0,1,0)</f>
        <v>0</v>
      </c>
      <c r="AQ40" s="532"/>
      <c r="AR40" s="532"/>
      <c r="AS40" s="532"/>
      <c r="AT40" s="532"/>
      <c r="AU40" s="532"/>
      <c r="AV40" s="532"/>
      <c r="AW40" s="532"/>
      <c r="AX40" s="203" t="str">
        <f>IFERROR(VLOOKUP(Table_NFI[[#This Row],[Location]],CL,2,0),"")</f>
        <v>MMR001CMP218</v>
      </c>
      <c r="AY40" s="181" t="s">
        <v>1235</v>
      </c>
      <c r="AZ40" s="533"/>
      <c r="BA40" s="533"/>
      <c r="BB40" s="533"/>
      <c r="BC40" s="533"/>
      <c r="BD40" s="533"/>
      <c r="BE40" s="533"/>
      <c r="BF40" s="533"/>
      <c r="BG40" s="533"/>
      <c r="BH40" s="533"/>
      <c r="BI40" s="533"/>
      <c r="BJ40" s="533"/>
      <c r="BK40" s="533"/>
      <c r="BL40" s="533"/>
      <c r="BM40" s="533"/>
      <c r="BN40" s="533"/>
      <c r="BO40" s="533"/>
      <c r="BP40" s="533"/>
      <c r="BQ40" s="533"/>
      <c r="BR40" s="533"/>
      <c r="BS40" s="533"/>
      <c r="BT40" s="533"/>
      <c r="BU40" s="533"/>
      <c r="BV40" s="533"/>
      <c r="BW40" s="533"/>
      <c r="BX40" s="533"/>
      <c r="BY40" s="533"/>
      <c r="BZ40" s="533"/>
      <c r="CA40" s="533"/>
      <c r="CB40" s="533"/>
      <c r="CC40" s="533"/>
      <c r="CD40" s="533"/>
      <c r="CE40" s="533"/>
      <c r="CF40" s="533"/>
      <c r="CG40" s="533"/>
      <c r="CH40" s="533"/>
      <c r="CI40" s="533"/>
      <c r="CJ40" s="533"/>
      <c r="CK40" s="533"/>
      <c r="CL40" s="533"/>
      <c r="CM40" s="533"/>
      <c r="CN40" s="533"/>
      <c r="CO40" s="533"/>
      <c r="CP40" s="533"/>
      <c r="CQ40" s="533"/>
      <c r="CR40" s="533"/>
      <c r="CS40" s="533"/>
      <c r="CT40" s="533"/>
      <c r="CU40" s="533"/>
      <c r="CV40" s="533"/>
      <c r="CW40" s="533"/>
      <c r="CX40" s="533"/>
      <c r="CY40" s="533"/>
      <c r="CZ40" s="533"/>
      <c r="DA40" s="533"/>
      <c r="DB40" s="533"/>
      <c r="DC40" s="533"/>
      <c r="DD40" s="533"/>
      <c r="DE40" s="533"/>
      <c r="DF40" s="533"/>
      <c r="DG40" s="533"/>
      <c r="DH40" s="533"/>
      <c r="DI40" s="533"/>
      <c r="DJ40" s="533"/>
      <c r="DK40" s="533"/>
      <c r="DL40" s="533"/>
      <c r="DM40" s="533"/>
      <c r="DN40" s="533"/>
      <c r="DO40" s="533"/>
      <c r="DP40" s="533"/>
      <c r="DQ40" s="533"/>
      <c r="DR40" s="533"/>
      <c r="DS40" s="533"/>
    </row>
    <row r="41" spans="2:123" s="529" customFormat="1" ht="18.75" hidden="1" customHeight="1" x14ac:dyDescent="0.3">
      <c r="B41" s="530">
        <v>42780</v>
      </c>
      <c r="C41" s="530" t="str">
        <f>MONTH(Table_NFI[[#This Row],[Distribution Date]]) &amp; "/" &amp; YEAR(Table_NFI[[#This Row],[Distribution Date]])</f>
        <v>2/2017</v>
      </c>
      <c r="D41" s="195" t="s">
        <v>1375</v>
      </c>
      <c r="E41" s="195" t="s">
        <v>1375</v>
      </c>
      <c r="F41" s="534" t="s">
        <v>378</v>
      </c>
      <c r="G41" s="196" t="s">
        <v>151</v>
      </c>
      <c r="H41" s="196" t="s">
        <v>811</v>
      </c>
      <c r="I41" s="181"/>
      <c r="J41" s="531">
        <v>2</v>
      </c>
      <c r="K41" s="531"/>
      <c r="L41" s="531"/>
      <c r="M41" s="531">
        <v>18</v>
      </c>
      <c r="N41" s="531"/>
      <c r="O41" s="531"/>
      <c r="P41" s="531"/>
      <c r="Q41" s="531"/>
      <c r="R41" s="531"/>
      <c r="S41" s="531">
        <v>2</v>
      </c>
      <c r="T41" s="531"/>
      <c r="U41" s="531"/>
      <c r="V41" s="531"/>
      <c r="W41" s="531"/>
      <c r="X41" s="531"/>
      <c r="Y41" s="531">
        <v>2</v>
      </c>
      <c r="Z41" s="531"/>
      <c r="AA41" s="531"/>
      <c r="AB41" s="531"/>
      <c r="AC41" s="532"/>
      <c r="AD41" s="532"/>
      <c r="AE41" s="532"/>
      <c r="AF41" s="532"/>
      <c r="AG41" s="532"/>
      <c r="AH41" s="532"/>
      <c r="AI41" s="532"/>
      <c r="AJ41" s="532"/>
      <c r="AK41" s="532"/>
      <c r="AL41" s="532"/>
      <c r="AM41" s="532"/>
      <c r="AN41" s="532"/>
      <c r="AO41" s="532"/>
      <c r="AP41" s="532">
        <f>IF(Table_NFI[[#This Row],[Winter Clothes Adult]]+Table_NFI[[#This Row],[Winter Clothes Children]]+Table_NFI[[#This Row],[Winter Items Other]]+Table_NFI[[#This Row],[Winter Blanket]]&gt;0,1,0)</f>
        <v>0</v>
      </c>
      <c r="AQ41" s="532"/>
      <c r="AR41" s="532"/>
      <c r="AS41" s="532"/>
      <c r="AT41" s="532"/>
      <c r="AU41" s="532"/>
      <c r="AV41" s="532"/>
      <c r="AW41" s="532"/>
      <c r="AX41" s="203" t="str">
        <f>IFERROR(VLOOKUP(Table_NFI[[#This Row],[Location]],CL,2,0),"")</f>
        <v>MMR001CMP218</v>
      </c>
      <c r="AY41" s="181" t="s">
        <v>1254</v>
      </c>
      <c r="AZ41" s="533"/>
      <c r="BA41" s="533"/>
      <c r="BB41" s="533"/>
      <c r="BC41" s="533"/>
      <c r="BD41" s="533"/>
      <c r="BE41" s="533"/>
      <c r="BF41" s="533"/>
      <c r="BG41" s="533"/>
      <c r="BH41" s="533"/>
      <c r="BI41" s="533"/>
      <c r="BJ41" s="533"/>
      <c r="BK41" s="533"/>
      <c r="BL41" s="533"/>
      <c r="BM41" s="533"/>
      <c r="BN41" s="533"/>
      <c r="BO41" s="533"/>
      <c r="BP41" s="533"/>
      <c r="BQ41" s="533"/>
      <c r="BR41" s="533"/>
      <c r="BS41" s="533"/>
      <c r="BT41" s="533"/>
      <c r="BU41" s="533"/>
      <c r="BV41" s="533"/>
      <c r="BW41" s="533"/>
      <c r="BX41" s="533"/>
      <c r="BY41" s="533"/>
      <c r="BZ41" s="533"/>
      <c r="CA41" s="533"/>
      <c r="CB41" s="533"/>
      <c r="CC41" s="533"/>
      <c r="CD41" s="533"/>
      <c r="CE41" s="533"/>
      <c r="CF41" s="533"/>
      <c r="CG41" s="533"/>
      <c r="CH41" s="533"/>
      <c r="CI41" s="533"/>
      <c r="CJ41" s="533"/>
      <c r="CK41" s="533"/>
      <c r="CL41" s="533"/>
      <c r="CM41" s="533"/>
      <c r="CN41" s="533"/>
      <c r="CO41" s="533"/>
      <c r="CP41" s="533"/>
      <c r="CQ41" s="533"/>
      <c r="CR41" s="533"/>
      <c r="CS41" s="533"/>
      <c r="CT41" s="533"/>
      <c r="CU41" s="533"/>
      <c r="CV41" s="533"/>
      <c r="CW41" s="533"/>
      <c r="CX41" s="533"/>
      <c r="CY41" s="533"/>
      <c r="CZ41" s="533"/>
      <c r="DA41" s="533"/>
      <c r="DB41" s="533"/>
      <c r="DC41" s="533"/>
      <c r="DD41" s="533"/>
      <c r="DE41" s="533"/>
      <c r="DF41" s="533"/>
      <c r="DG41" s="533"/>
      <c r="DH41" s="533"/>
      <c r="DI41" s="533"/>
      <c r="DJ41" s="533"/>
      <c r="DK41" s="533"/>
      <c r="DL41" s="533"/>
      <c r="DM41" s="533"/>
      <c r="DN41" s="533"/>
      <c r="DO41" s="533"/>
      <c r="DP41" s="533"/>
      <c r="DQ41" s="533"/>
      <c r="DR41" s="533"/>
      <c r="DS41" s="533"/>
    </row>
    <row r="42" spans="2:123" s="529" customFormat="1" ht="18.75" hidden="1" customHeight="1" x14ac:dyDescent="0.3">
      <c r="B42" s="530">
        <v>42780</v>
      </c>
      <c r="C42" s="530" t="str">
        <f>MONTH(Table_NFI[[#This Row],[Distribution Date]]) &amp; "/" &amp; YEAR(Table_NFI[[#This Row],[Distribution Date]])</f>
        <v>2/2017</v>
      </c>
      <c r="D42" s="196" t="s">
        <v>420</v>
      </c>
      <c r="E42" s="534" t="s">
        <v>1570</v>
      </c>
      <c r="F42" s="196" t="s">
        <v>378</v>
      </c>
      <c r="G42" s="196" t="s">
        <v>151</v>
      </c>
      <c r="H42" s="196" t="s">
        <v>845</v>
      </c>
      <c r="I42" s="181"/>
      <c r="J42" s="531"/>
      <c r="K42" s="531"/>
      <c r="L42" s="531">
        <v>1</v>
      </c>
      <c r="M42" s="531">
        <v>1</v>
      </c>
      <c r="N42" s="531">
        <v>2</v>
      </c>
      <c r="O42" s="531">
        <v>1</v>
      </c>
      <c r="P42" s="531">
        <v>2</v>
      </c>
      <c r="Q42" s="531">
        <v>1</v>
      </c>
      <c r="R42" s="531"/>
      <c r="S42" s="531">
        <v>1</v>
      </c>
      <c r="T42" s="531">
        <v>3</v>
      </c>
      <c r="U42" s="531"/>
      <c r="V42" s="531"/>
      <c r="W42" s="531"/>
      <c r="X42" s="531"/>
      <c r="Y42" s="531">
        <v>1</v>
      </c>
      <c r="Z42" s="531"/>
      <c r="AA42" s="531"/>
      <c r="AB42" s="531"/>
      <c r="AC42" s="532"/>
      <c r="AD42" s="532"/>
      <c r="AE42" s="532"/>
      <c r="AF42" s="532"/>
      <c r="AG42" s="532"/>
      <c r="AH42" s="532"/>
      <c r="AI42" s="532"/>
      <c r="AJ42" s="532"/>
      <c r="AK42" s="532"/>
      <c r="AL42" s="532"/>
      <c r="AM42" s="532"/>
      <c r="AN42" s="532"/>
      <c r="AO42" s="532"/>
      <c r="AP42" s="532">
        <f>IF(Table_NFI[[#This Row],[Winter Clothes Adult]]+Table_NFI[[#This Row],[Winter Clothes Children]]+Table_NFI[[#This Row],[Winter Items Other]]+Table_NFI[[#This Row],[Winter Blanket]]&gt;0,1,0)</f>
        <v>0</v>
      </c>
      <c r="AQ42" s="532"/>
      <c r="AR42" s="532"/>
      <c r="AS42" s="532"/>
      <c r="AT42" s="532"/>
      <c r="AU42" s="532"/>
      <c r="AV42" s="532"/>
      <c r="AW42" s="532"/>
      <c r="AX42" s="203" t="str">
        <f>IFERROR(VLOOKUP(Table_NFI[[#This Row],[Location]],CL,2,0),"")</f>
        <v>MMR001CMP223</v>
      </c>
      <c r="AY42" s="181" t="s">
        <v>1235</v>
      </c>
      <c r="AZ42" s="533"/>
      <c r="BA42" s="533"/>
      <c r="BB42" s="533"/>
      <c r="BC42" s="533"/>
      <c r="BD42" s="533"/>
      <c r="BE42" s="533"/>
      <c r="BF42" s="533"/>
      <c r="BG42" s="533"/>
      <c r="BH42" s="533"/>
      <c r="BI42" s="533"/>
      <c r="BJ42" s="533"/>
      <c r="BK42" s="533"/>
      <c r="BL42" s="533"/>
      <c r="BM42" s="533"/>
      <c r="BN42" s="533"/>
      <c r="BO42" s="533"/>
      <c r="BP42" s="533"/>
      <c r="BQ42" s="533"/>
      <c r="BR42" s="533"/>
      <c r="BS42" s="533"/>
      <c r="BT42" s="533"/>
      <c r="BU42" s="533"/>
      <c r="BV42" s="533"/>
      <c r="BW42" s="533"/>
      <c r="BX42" s="533"/>
      <c r="BY42" s="533"/>
      <c r="BZ42" s="533"/>
      <c r="CA42" s="533"/>
      <c r="CB42" s="533"/>
      <c r="CC42" s="533"/>
      <c r="CD42" s="533"/>
      <c r="CE42" s="533"/>
      <c r="CF42" s="533"/>
      <c r="CG42" s="533"/>
      <c r="CH42" s="533"/>
      <c r="CI42" s="533"/>
      <c r="CJ42" s="533"/>
      <c r="CK42" s="533"/>
      <c r="CL42" s="533"/>
      <c r="CM42" s="533"/>
      <c r="CN42" s="533"/>
      <c r="CO42" s="533"/>
      <c r="CP42" s="533"/>
      <c r="CQ42" s="533"/>
      <c r="CR42" s="533"/>
      <c r="CS42" s="533"/>
      <c r="CT42" s="533"/>
      <c r="CU42" s="533"/>
      <c r="CV42" s="533"/>
      <c r="CW42" s="533"/>
      <c r="CX42" s="533"/>
      <c r="CY42" s="533"/>
      <c r="CZ42" s="533"/>
      <c r="DA42" s="533"/>
      <c r="DB42" s="533"/>
      <c r="DC42" s="533"/>
      <c r="DD42" s="533"/>
      <c r="DE42" s="533"/>
      <c r="DF42" s="533"/>
      <c r="DG42" s="533"/>
      <c r="DH42" s="533"/>
      <c r="DI42" s="533"/>
      <c r="DJ42" s="533"/>
      <c r="DK42" s="533"/>
      <c r="DL42" s="533"/>
      <c r="DM42" s="533"/>
      <c r="DN42" s="533"/>
      <c r="DO42" s="533"/>
      <c r="DP42" s="533"/>
      <c r="DQ42" s="533"/>
      <c r="DR42" s="533"/>
      <c r="DS42" s="533"/>
    </row>
    <row r="43" spans="2:123" s="529" customFormat="1" ht="18.75" hidden="1" customHeight="1" x14ac:dyDescent="0.3">
      <c r="B43" s="530">
        <v>42782</v>
      </c>
      <c r="C43" s="530" t="str">
        <f>MONTH(Table_NFI[[#This Row],[Distribution Date]]) &amp; "/" &amp; YEAR(Table_NFI[[#This Row],[Distribution Date]])</f>
        <v>2/2017</v>
      </c>
      <c r="D43" s="196" t="s">
        <v>420</v>
      </c>
      <c r="E43" s="196" t="s">
        <v>424</v>
      </c>
      <c r="F43" s="196" t="s">
        <v>378</v>
      </c>
      <c r="G43" s="196" t="s">
        <v>480</v>
      </c>
      <c r="H43" s="196" t="s">
        <v>1156</v>
      </c>
      <c r="I43" s="181"/>
      <c r="J43" s="531"/>
      <c r="K43" s="531"/>
      <c r="L43" s="531"/>
      <c r="M43" s="531"/>
      <c r="N43" s="531"/>
      <c r="O43" s="531"/>
      <c r="P43" s="531"/>
      <c r="Q43" s="531"/>
      <c r="R43" s="531"/>
      <c r="S43" s="531"/>
      <c r="T43" s="531"/>
      <c r="U43" s="531">
        <v>62</v>
      </c>
      <c r="V43" s="531">
        <v>33</v>
      </c>
      <c r="W43" s="531"/>
      <c r="X43" s="531"/>
      <c r="Y43" s="531"/>
      <c r="Z43" s="531"/>
      <c r="AA43" s="531"/>
      <c r="AB43" s="531"/>
      <c r="AC43" s="532"/>
      <c r="AD43" s="532"/>
      <c r="AE43" s="532"/>
      <c r="AF43" s="532"/>
      <c r="AG43" s="532"/>
      <c r="AH43" s="532"/>
      <c r="AI43" s="532"/>
      <c r="AJ43" s="532"/>
      <c r="AK43" s="532"/>
      <c r="AL43" s="532"/>
      <c r="AM43" s="532"/>
      <c r="AN43" s="532"/>
      <c r="AO43" s="532"/>
      <c r="AP43" s="532">
        <f>IF(Table_NFI[[#This Row],[Winter Clothes Adult]]+Table_NFI[[#This Row],[Winter Clothes Children]]+Table_NFI[[#This Row],[Winter Items Other]]+Table_NFI[[#This Row],[Winter Blanket]]&gt;0,1,0)</f>
        <v>1</v>
      </c>
      <c r="AQ43" s="532"/>
      <c r="AR43" s="532"/>
      <c r="AS43" s="532"/>
      <c r="AT43" s="532"/>
      <c r="AU43" s="532"/>
      <c r="AV43" s="532"/>
      <c r="AW43" s="532"/>
      <c r="AX43" s="203" t="str">
        <f>IFERROR(VLOOKUP(Table_NFI[[#This Row],[Location]],CL,2,0),"")</f>
        <v>MMR001CMP244</v>
      </c>
      <c r="AY43" s="181" t="s">
        <v>1235</v>
      </c>
      <c r="AZ43" s="533"/>
      <c r="BA43" s="533"/>
      <c r="BB43" s="533"/>
      <c r="BC43" s="533"/>
      <c r="BD43" s="533"/>
      <c r="BE43" s="533"/>
      <c r="BF43" s="533"/>
      <c r="BG43" s="533"/>
      <c r="BH43" s="533"/>
      <c r="BI43" s="533"/>
      <c r="BJ43" s="533"/>
      <c r="BK43" s="533"/>
      <c r="BL43" s="533"/>
      <c r="BM43" s="533"/>
      <c r="BN43" s="533"/>
      <c r="BO43" s="533"/>
      <c r="BP43" s="533"/>
      <c r="BQ43" s="533"/>
      <c r="BR43" s="533"/>
      <c r="BS43" s="533"/>
      <c r="BT43" s="533"/>
      <c r="BU43" s="533"/>
      <c r="BV43" s="533"/>
      <c r="BW43" s="533"/>
      <c r="BX43" s="533"/>
      <c r="BY43" s="533"/>
      <c r="BZ43" s="533"/>
      <c r="CA43" s="533"/>
      <c r="CB43" s="533"/>
      <c r="CC43" s="533"/>
      <c r="CD43" s="533"/>
      <c r="CE43" s="533"/>
      <c r="CF43" s="533"/>
      <c r="CG43" s="533"/>
      <c r="CH43" s="533"/>
      <c r="CI43" s="533"/>
      <c r="CJ43" s="533"/>
      <c r="CK43" s="533"/>
      <c r="CL43" s="533"/>
      <c r="CM43" s="533"/>
      <c r="CN43" s="533"/>
      <c r="CO43" s="533"/>
      <c r="CP43" s="533"/>
      <c r="CQ43" s="533"/>
      <c r="CR43" s="533"/>
      <c r="CS43" s="533"/>
      <c r="CT43" s="533"/>
      <c r="CU43" s="533"/>
      <c r="CV43" s="533"/>
      <c r="CW43" s="533"/>
      <c r="CX43" s="533"/>
      <c r="CY43" s="533"/>
      <c r="CZ43" s="533"/>
      <c r="DA43" s="533"/>
      <c r="DB43" s="533"/>
      <c r="DC43" s="533"/>
      <c r="DD43" s="533"/>
      <c r="DE43" s="533"/>
      <c r="DF43" s="533"/>
      <c r="DG43" s="533"/>
      <c r="DH43" s="533"/>
      <c r="DI43" s="533"/>
      <c r="DJ43" s="533"/>
      <c r="DK43" s="533"/>
      <c r="DL43" s="533"/>
      <c r="DM43" s="533"/>
      <c r="DN43" s="533"/>
      <c r="DO43" s="533"/>
      <c r="DP43" s="533"/>
      <c r="DQ43" s="533"/>
      <c r="DR43" s="533"/>
      <c r="DS43" s="533"/>
    </row>
    <row r="44" spans="2:123" s="529" customFormat="1" ht="18.75" hidden="1" customHeight="1" x14ac:dyDescent="0.3">
      <c r="B44" s="530">
        <v>42795</v>
      </c>
      <c r="C44" s="530" t="str">
        <f>MONTH(Table_NFI[[#This Row],[Distribution Date]]) &amp; "/" &amp; YEAR(Table_NFI[[#This Row],[Distribution Date]])</f>
        <v>3/2017</v>
      </c>
      <c r="D44" s="195" t="s">
        <v>1375</v>
      </c>
      <c r="E44" s="195" t="s">
        <v>1375</v>
      </c>
      <c r="F44" s="196" t="s">
        <v>378</v>
      </c>
      <c r="G44" s="196" t="s">
        <v>309</v>
      </c>
      <c r="H44" s="196" t="s">
        <v>1250</v>
      </c>
      <c r="I44" s="181"/>
      <c r="J44" s="531">
        <v>55</v>
      </c>
      <c r="K44" s="531"/>
      <c r="L44" s="531"/>
      <c r="M44" s="531">
        <v>495</v>
      </c>
      <c r="N44" s="531"/>
      <c r="O44" s="531"/>
      <c r="P44" s="531"/>
      <c r="Q44" s="531"/>
      <c r="R44" s="531"/>
      <c r="S44" s="531">
        <v>55</v>
      </c>
      <c r="T44" s="531"/>
      <c r="U44" s="531"/>
      <c r="V44" s="531"/>
      <c r="W44" s="531"/>
      <c r="X44" s="531"/>
      <c r="Y44" s="531">
        <v>55</v>
      </c>
      <c r="Z44" s="531"/>
      <c r="AA44" s="531"/>
      <c r="AB44" s="531"/>
      <c r="AC44" s="532"/>
      <c r="AD44" s="532"/>
      <c r="AE44" s="532"/>
      <c r="AF44" s="532"/>
      <c r="AG44" s="532"/>
      <c r="AH44" s="532"/>
      <c r="AI44" s="532"/>
      <c r="AJ44" s="532"/>
      <c r="AK44" s="532"/>
      <c r="AL44" s="532"/>
      <c r="AM44" s="532"/>
      <c r="AN44" s="532"/>
      <c r="AO44" s="532"/>
      <c r="AP44" s="532">
        <f>IF(Table_NFI[[#This Row],[Winter Clothes Adult]]+Table_NFI[[#This Row],[Winter Clothes Children]]+Table_NFI[[#This Row],[Winter Items Other]]+Table_NFI[[#This Row],[Winter Blanket]]&gt;0,1,0)</f>
        <v>0</v>
      </c>
      <c r="AQ44" s="532"/>
      <c r="AR44" s="532"/>
      <c r="AS44" s="532"/>
      <c r="AT44" s="532"/>
      <c r="AU44" s="532"/>
      <c r="AV44" s="532"/>
      <c r="AW44" s="532"/>
      <c r="AX44" s="203" t="str">
        <f>IFERROR(VLOOKUP(Table_NFI[[#This Row],[Location]],CL,2,0),"")</f>
        <v>MMR001CMP248</v>
      </c>
      <c r="AY44" s="181" t="s">
        <v>1253</v>
      </c>
      <c r="AZ44" s="533"/>
      <c r="BA44" s="533"/>
      <c r="BB44" s="533"/>
      <c r="BC44" s="533"/>
      <c r="BD44" s="533"/>
      <c r="BE44" s="533"/>
      <c r="BF44" s="533"/>
      <c r="BG44" s="533"/>
      <c r="BH44" s="533"/>
      <c r="BI44" s="533"/>
      <c r="BJ44" s="533"/>
      <c r="BK44" s="533"/>
      <c r="BL44" s="533"/>
      <c r="BM44" s="533"/>
      <c r="BN44" s="533"/>
      <c r="BO44" s="533"/>
      <c r="BP44" s="533"/>
      <c r="BQ44" s="533"/>
      <c r="BR44" s="533"/>
      <c r="BS44" s="533"/>
      <c r="BT44" s="533"/>
      <c r="BU44" s="533"/>
      <c r="BV44" s="533"/>
      <c r="BW44" s="533"/>
      <c r="BX44" s="533"/>
      <c r="BY44" s="533"/>
      <c r="BZ44" s="533"/>
      <c r="CA44" s="533"/>
      <c r="CB44" s="533"/>
      <c r="CC44" s="533"/>
      <c r="CD44" s="533"/>
      <c r="CE44" s="533"/>
      <c r="CF44" s="533"/>
      <c r="CG44" s="533"/>
      <c r="CH44" s="533"/>
      <c r="CI44" s="533"/>
      <c r="CJ44" s="533"/>
      <c r="CK44" s="533"/>
      <c r="CL44" s="533"/>
      <c r="CM44" s="533"/>
      <c r="CN44" s="533"/>
      <c r="CO44" s="533"/>
      <c r="CP44" s="533"/>
      <c r="CQ44" s="533"/>
      <c r="CR44" s="533"/>
      <c r="CS44" s="533"/>
      <c r="CT44" s="533"/>
      <c r="CU44" s="533"/>
      <c r="CV44" s="533"/>
      <c r="CW44" s="533"/>
      <c r="CX44" s="533"/>
      <c r="CY44" s="533"/>
      <c r="CZ44" s="533"/>
      <c r="DA44" s="533"/>
      <c r="DB44" s="533"/>
      <c r="DC44" s="533"/>
      <c r="DD44" s="533"/>
      <c r="DE44" s="533"/>
      <c r="DF44" s="533"/>
      <c r="DG44" s="533"/>
      <c r="DH44" s="533"/>
      <c r="DI44" s="533"/>
      <c r="DJ44" s="533"/>
      <c r="DK44" s="533"/>
      <c r="DL44" s="533"/>
      <c r="DM44" s="533"/>
      <c r="DN44" s="533"/>
      <c r="DO44" s="533"/>
      <c r="DP44" s="533"/>
      <c r="DQ44" s="533"/>
      <c r="DR44" s="533"/>
      <c r="DS44" s="533"/>
    </row>
    <row r="45" spans="2:123" s="529" customFormat="1" ht="18.75" hidden="1" customHeight="1" x14ac:dyDescent="0.3">
      <c r="B45" s="530">
        <v>42795</v>
      </c>
      <c r="C45" s="530" t="str">
        <f>MONTH(Table_NFI[[#This Row],[Distribution Date]]) &amp; "/" &amp; YEAR(Table_NFI[[#This Row],[Distribution Date]])</f>
        <v>3/2017</v>
      </c>
      <c r="D45" s="195" t="s">
        <v>1375</v>
      </c>
      <c r="E45" s="195" t="s">
        <v>1375</v>
      </c>
      <c r="F45" s="196" t="s">
        <v>378</v>
      </c>
      <c r="G45" s="196" t="s">
        <v>309</v>
      </c>
      <c r="H45" s="196" t="s">
        <v>1255</v>
      </c>
      <c r="I45" s="181"/>
      <c r="J45" s="531">
        <v>91</v>
      </c>
      <c r="K45" s="531"/>
      <c r="L45" s="531">
        <v>92</v>
      </c>
      <c r="M45" s="531">
        <v>546</v>
      </c>
      <c r="N45" s="531">
        <v>184</v>
      </c>
      <c r="O45" s="531">
        <v>170</v>
      </c>
      <c r="P45" s="531">
        <v>184</v>
      </c>
      <c r="Q45" s="531"/>
      <c r="R45" s="531"/>
      <c r="S45" s="531">
        <v>91</v>
      </c>
      <c r="T45" s="531">
        <v>184</v>
      </c>
      <c r="U45" s="531"/>
      <c r="V45" s="531"/>
      <c r="W45" s="531"/>
      <c r="X45" s="531"/>
      <c r="Y45" s="531">
        <v>91</v>
      </c>
      <c r="Z45" s="531"/>
      <c r="AA45" s="531">
        <v>85</v>
      </c>
      <c r="AB45" s="531"/>
      <c r="AC45" s="532"/>
      <c r="AD45" s="532"/>
      <c r="AE45" s="532"/>
      <c r="AF45" s="532"/>
      <c r="AG45" s="532"/>
      <c r="AH45" s="532"/>
      <c r="AI45" s="532"/>
      <c r="AJ45" s="532"/>
      <c r="AK45" s="532"/>
      <c r="AL45" s="532"/>
      <c r="AM45" s="532"/>
      <c r="AN45" s="532"/>
      <c r="AO45" s="532"/>
      <c r="AP45" s="532">
        <f>IF(Table_NFI[[#This Row],[Winter Clothes Adult]]+Table_NFI[[#This Row],[Winter Clothes Children]]+Table_NFI[[#This Row],[Winter Items Other]]+Table_NFI[[#This Row],[Winter Blanket]]&gt;0,1,0)</f>
        <v>0</v>
      </c>
      <c r="AQ45" s="532"/>
      <c r="AR45" s="532"/>
      <c r="AS45" s="532"/>
      <c r="AT45" s="532"/>
      <c r="AU45" s="532"/>
      <c r="AV45" s="532"/>
      <c r="AW45" s="532"/>
      <c r="AX45" s="203" t="str">
        <f>IFERROR(VLOOKUP(Table_NFI[[#This Row],[Location]],CL,2,0),"")</f>
        <v>MMR001CMP258</v>
      </c>
      <c r="AY45" s="181" t="s">
        <v>1258</v>
      </c>
      <c r="AZ45" s="533"/>
      <c r="BA45" s="533"/>
      <c r="BB45" s="533"/>
      <c r="BC45" s="533"/>
      <c r="BD45" s="533"/>
      <c r="BE45" s="533"/>
      <c r="BF45" s="533"/>
      <c r="BG45" s="533"/>
      <c r="BH45" s="533"/>
      <c r="BI45" s="533"/>
      <c r="BJ45" s="533"/>
      <c r="BK45" s="533"/>
      <c r="BL45" s="533"/>
      <c r="BM45" s="533"/>
      <c r="BN45" s="533"/>
      <c r="BO45" s="533"/>
      <c r="BP45" s="533"/>
      <c r="BQ45" s="533"/>
      <c r="BR45" s="533"/>
      <c r="BS45" s="533"/>
      <c r="BT45" s="533"/>
      <c r="BU45" s="533"/>
      <c r="BV45" s="533"/>
      <c r="BW45" s="533"/>
      <c r="BX45" s="533"/>
      <c r="BY45" s="533"/>
      <c r="BZ45" s="533"/>
      <c r="CA45" s="533"/>
      <c r="CB45" s="533"/>
      <c r="CC45" s="533"/>
      <c r="CD45" s="533"/>
      <c r="CE45" s="533"/>
      <c r="CF45" s="533"/>
      <c r="CG45" s="533"/>
      <c r="CH45" s="533"/>
      <c r="CI45" s="533"/>
      <c r="CJ45" s="533"/>
      <c r="CK45" s="533"/>
      <c r="CL45" s="533"/>
      <c r="CM45" s="533"/>
      <c r="CN45" s="533"/>
      <c r="CO45" s="533"/>
      <c r="CP45" s="533"/>
      <c r="CQ45" s="533"/>
      <c r="CR45" s="533"/>
      <c r="CS45" s="533"/>
      <c r="CT45" s="533"/>
      <c r="CU45" s="533"/>
      <c r="CV45" s="533"/>
      <c r="CW45" s="533"/>
      <c r="CX45" s="533"/>
      <c r="CY45" s="533"/>
      <c r="CZ45" s="533"/>
      <c r="DA45" s="533"/>
      <c r="DB45" s="533"/>
      <c r="DC45" s="533"/>
      <c r="DD45" s="533"/>
      <c r="DE45" s="533"/>
      <c r="DF45" s="533"/>
      <c r="DG45" s="533"/>
      <c r="DH45" s="533"/>
      <c r="DI45" s="533"/>
      <c r="DJ45" s="533"/>
      <c r="DK45" s="533"/>
      <c r="DL45" s="533"/>
      <c r="DM45" s="533"/>
      <c r="DN45" s="533"/>
      <c r="DO45" s="533"/>
      <c r="DP45" s="533"/>
      <c r="DQ45" s="533"/>
      <c r="DR45" s="533"/>
      <c r="DS45" s="533"/>
    </row>
    <row r="46" spans="2:123" s="529" customFormat="1" ht="18.75" hidden="1" customHeight="1" x14ac:dyDescent="0.3">
      <c r="B46" s="530">
        <v>42808</v>
      </c>
      <c r="C46" s="530" t="str">
        <f>MONTH(Table_NFI[[#This Row],[Distribution Date]]) &amp; "/" &amp; YEAR(Table_NFI[[#This Row],[Distribution Date]])</f>
        <v>3/2017</v>
      </c>
      <c r="D46" s="195" t="s">
        <v>1375</v>
      </c>
      <c r="E46" s="195" t="s">
        <v>1375</v>
      </c>
      <c r="F46" s="534" t="s">
        <v>378</v>
      </c>
      <c r="G46" s="195" t="s">
        <v>185</v>
      </c>
      <c r="H46" s="196" t="s">
        <v>194</v>
      </c>
      <c r="I46" s="181"/>
      <c r="J46" s="531"/>
      <c r="K46" s="531"/>
      <c r="L46" s="531">
        <v>8</v>
      </c>
      <c r="M46" s="531"/>
      <c r="N46" s="531">
        <v>16</v>
      </c>
      <c r="O46" s="531"/>
      <c r="P46" s="531">
        <v>16</v>
      </c>
      <c r="Q46" s="531"/>
      <c r="R46" s="531"/>
      <c r="S46" s="531"/>
      <c r="T46" s="531">
        <v>16</v>
      </c>
      <c r="U46" s="531"/>
      <c r="V46" s="531"/>
      <c r="W46" s="531"/>
      <c r="X46" s="531"/>
      <c r="Y46" s="531"/>
      <c r="Z46" s="531"/>
      <c r="AA46" s="531"/>
      <c r="AB46" s="531"/>
      <c r="AC46" s="532"/>
      <c r="AD46" s="532"/>
      <c r="AE46" s="532"/>
      <c r="AF46" s="532"/>
      <c r="AG46" s="532"/>
      <c r="AH46" s="532"/>
      <c r="AI46" s="532"/>
      <c r="AJ46" s="532"/>
      <c r="AK46" s="532"/>
      <c r="AL46" s="532"/>
      <c r="AM46" s="532"/>
      <c r="AN46" s="532"/>
      <c r="AO46" s="532"/>
      <c r="AP46" s="532">
        <f>IF(Table_NFI[[#This Row],[Winter Clothes Adult]]+Table_NFI[[#This Row],[Winter Clothes Children]]+Table_NFI[[#This Row],[Winter Items Other]]+Table_NFI[[#This Row],[Winter Blanket]]&gt;0,1,0)</f>
        <v>0</v>
      </c>
      <c r="AQ46" s="532"/>
      <c r="AR46" s="532"/>
      <c r="AS46" s="532"/>
      <c r="AT46" s="532"/>
      <c r="AU46" s="532"/>
      <c r="AV46" s="532"/>
      <c r="AW46" s="532"/>
      <c r="AX46" s="203" t="str">
        <f>IFERROR(VLOOKUP(Table_NFI[[#This Row],[Location]],CL,2,0),"")</f>
        <v>MMR001CMP122</v>
      </c>
      <c r="AY46" s="181" t="s">
        <v>1253</v>
      </c>
      <c r="AZ46" s="533"/>
      <c r="BA46" s="533"/>
      <c r="BB46" s="533"/>
      <c r="BC46" s="533"/>
      <c r="BD46" s="533"/>
      <c r="BE46" s="533"/>
      <c r="BF46" s="533"/>
      <c r="BG46" s="533"/>
      <c r="BH46" s="533"/>
      <c r="BI46" s="533"/>
      <c r="BJ46" s="533"/>
      <c r="BK46" s="533"/>
      <c r="BL46" s="533"/>
      <c r="BM46" s="533"/>
      <c r="BN46" s="533"/>
      <c r="BO46" s="533"/>
      <c r="BP46" s="533"/>
      <c r="BQ46" s="533"/>
      <c r="BR46" s="533"/>
      <c r="BS46" s="533"/>
      <c r="BT46" s="533"/>
      <c r="BU46" s="533"/>
      <c r="BV46" s="533"/>
      <c r="BW46" s="533"/>
      <c r="BX46" s="533"/>
      <c r="BY46" s="533"/>
      <c r="BZ46" s="533"/>
      <c r="CA46" s="533"/>
      <c r="CB46" s="533"/>
      <c r="CC46" s="533"/>
      <c r="CD46" s="533"/>
      <c r="CE46" s="533"/>
      <c r="CF46" s="533"/>
      <c r="CG46" s="533"/>
      <c r="CH46" s="533"/>
      <c r="CI46" s="533"/>
      <c r="CJ46" s="533"/>
      <c r="CK46" s="533"/>
      <c r="CL46" s="533"/>
      <c r="CM46" s="533"/>
      <c r="CN46" s="533"/>
      <c r="CO46" s="533"/>
      <c r="CP46" s="533"/>
      <c r="CQ46" s="533"/>
      <c r="CR46" s="533"/>
      <c r="CS46" s="533"/>
      <c r="CT46" s="533"/>
      <c r="CU46" s="533"/>
      <c r="CV46" s="533"/>
      <c r="CW46" s="533"/>
      <c r="CX46" s="533"/>
      <c r="CY46" s="533"/>
      <c r="CZ46" s="533"/>
      <c r="DA46" s="533"/>
      <c r="DB46" s="533"/>
      <c r="DC46" s="533"/>
      <c r="DD46" s="533"/>
      <c r="DE46" s="533"/>
      <c r="DF46" s="533"/>
      <c r="DG46" s="533"/>
      <c r="DH46" s="533"/>
      <c r="DI46" s="533"/>
      <c r="DJ46" s="533"/>
      <c r="DK46" s="533"/>
      <c r="DL46" s="533"/>
      <c r="DM46" s="533"/>
      <c r="DN46" s="533"/>
      <c r="DO46" s="533"/>
      <c r="DP46" s="533"/>
      <c r="DQ46" s="533"/>
      <c r="DR46" s="533"/>
      <c r="DS46" s="533"/>
    </row>
    <row r="47" spans="2:123" s="529" customFormat="1" ht="18.75" hidden="1" customHeight="1" x14ac:dyDescent="0.3">
      <c r="B47" s="530">
        <v>42808</v>
      </c>
      <c r="C47" s="530" t="str">
        <f>MONTH(Table_NFI[[#This Row],[Distribution Date]]) &amp; "/" &amp; YEAR(Table_NFI[[#This Row],[Distribution Date]])</f>
        <v>3/2017</v>
      </c>
      <c r="D47" s="195" t="s">
        <v>1375</v>
      </c>
      <c r="E47" s="195" t="s">
        <v>1375</v>
      </c>
      <c r="F47" s="196" t="s">
        <v>378</v>
      </c>
      <c r="G47" s="196" t="s">
        <v>309</v>
      </c>
      <c r="H47" s="196" t="s">
        <v>196</v>
      </c>
      <c r="I47" s="181"/>
      <c r="J47" s="531"/>
      <c r="K47" s="531"/>
      <c r="L47" s="531">
        <v>6</v>
      </c>
      <c r="M47" s="531"/>
      <c r="N47" s="531">
        <v>12</v>
      </c>
      <c r="O47" s="531"/>
      <c r="P47" s="531">
        <v>12</v>
      </c>
      <c r="Q47" s="531"/>
      <c r="R47" s="531"/>
      <c r="S47" s="531"/>
      <c r="T47" s="531">
        <v>12</v>
      </c>
      <c r="U47" s="531"/>
      <c r="V47" s="531"/>
      <c r="W47" s="531"/>
      <c r="X47" s="531"/>
      <c r="Y47" s="531"/>
      <c r="Z47" s="531"/>
      <c r="AA47" s="531"/>
      <c r="AB47" s="531"/>
      <c r="AC47" s="532"/>
      <c r="AD47" s="532"/>
      <c r="AE47" s="532"/>
      <c r="AF47" s="532"/>
      <c r="AG47" s="532"/>
      <c r="AH47" s="532"/>
      <c r="AI47" s="532"/>
      <c r="AJ47" s="532"/>
      <c r="AK47" s="532"/>
      <c r="AL47" s="532"/>
      <c r="AM47" s="532"/>
      <c r="AN47" s="532"/>
      <c r="AO47" s="532"/>
      <c r="AP47" s="532">
        <f>IF(Table_NFI[[#This Row],[Winter Clothes Adult]]+Table_NFI[[#This Row],[Winter Clothes Children]]+Table_NFI[[#This Row],[Winter Items Other]]+Table_NFI[[#This Row],[Winter Blanket]]&gt;0,1,0)</f>
        <v>0</v>
      </c>
      <c r="AQ47" s="532"/>
      <c r="AR47" s="532"/>
      <c r="AS47" s="532"/>
      <c r="AT47" s="532"/>
      <c r="AU47" s="532"/>
      <c r="AV47" s="532"/>
      <c r="AW47" s="532"/>
      <c r="AX47" s="203" t="str">
        <f>IFERROR(VLOOKUP(Table_NFI[[#This Row],[Location]],CL,2,0),"")</f>
        <v>MMR001CMP121</v>
      </c>
      <c r="AY47" s="181" t="s">
        <v>1253</v>
      </c>
      <c r="AZ47" s="533"/>
      <c r="BA47" s="533"/>
      <c r="BB47" s="533"/>
      <c r="BC47" s="533"/>
      <c r="BD47" s="533"/>
      <c r="BE47" s="533"/>
      <c r="BF47" s="533"/>
      <c r="BG47" s="533"/>
      <c r="BH47" s="533"/>
      <c r="BI47" s="533"/>
      <c r="BJ47" s="533"/>
      <c r="BK47" s="533"/>
      <c r="BL47" s="533"/>
      <c r="BM47" s="533"/>
      <c r="BN47" s="533"/>
      <c r="BO47" s="533"/>
      <c r="BP47" s="533"/>
      <c r="BQ47" s="533"/>
      <c r="BR47" s="533"/>
      <c r="BS47" s="533"/>
      <c r="BT47" s="533"/>
      <c r="BU47" s="533"/>
      <c r="BV47" s="533"/>
      <c r="BW47" s="533"/>
      <c r="BX47" s="533"/>
      <c r="BY47" s="533"/>
      <c r="BZ47" s="533"/>
      <c r="CA47" s="533"/>
      <c r="CB47" s="533"/>
      <c r="CC47" s="533"/>
      <c r="CD47" s="533"/>
      <c r="CE47" s="533"/>
      <c r="CF47" s="533"/>
      <c r="CG47" s="533"/>
      <c r="CH47" s="533"/>
      <c r="CI47" s="533"/>
      <c r="CJ47" s="533"/>
      <c r="CK47" s="533"/>
      <c r="CL47" s="533"/>
      <c r="CM47" s="533"/>
      <c r="CN47" s="533"/>
      <c r="CO47" s="533"/>
      <c r="CP47" s="533"/>
      <c r="CQ47" s="533"/>
      <c r="CR47" s="533"/>
      <c r="CS47" s="533"/>
      <c r="CT47" s="533"/>
      <c r="CU47" s="533"/>
      <c r="CV47" s="533"/>
      <c r="CW47" s="533"/>
      <c r="CX47" s="533"/>
      <c r="CY47" s="533"/>
      <c r="CZ47" s="533"/>
      <c r="DA47" s="533"/>
      <c r="DB47" s="533"/>
      <c r="DC47" s="533"/>
      <c r="DD47" s="533"/>
      <c r="DE47" s="533"/>
      <c r="DF47" s="533"/>
      <c r="DG47" s="533"/>
      <c r="DH47" s="533"/>
      <c r="DI47" s="533"/>
      <c r="DJ47" s="533"/>
      <c r="DK47" s="533"/>
      <c r="DL47" s="533"/>
      <c r="DM47" s="533"/>
      <c r="DN47" s="533"/>
      <c r="DO47" s="533"/>
      <c r="DP47" s="533"/>
      <c r="DQ47" s="533"/>
      <c r="DR47" s="533"/>
      <c r="DS47" s="533"/>
    </row>
    <row r="48" spans="2:123" s="529" customFormat="1" ht="18.75" hidden="1" customHeight="1" x14ac:dyDescent="0.3">
      <c r="B48" s="530">
        <v>42809</v>
      </c>
      <c r="C48" s="530" t="str">
        <f>MONTH(Table_NFI[[#This Row],[Distribution Date]]) &amp; "/" &amp; YEAR(Table_NFI[[#This Row],[Distribution Date]])</f>
        <v>3/2017</v>
      </c>
      <c r="D48" s="195" t="s">
        <v>420</v>
      </c>
      <c r="E48" s="196" t="s">
        <v>462</v>
      </c>
      <c r="F48" s="196" t="s">
        <v>378</v>
      </c>
      <c r="G48" s="196" t="s">
        <v>27</v>
      </c>
      <c r="H48" s="196" t="s">
        <v>28</v>
      </c>
      <c r="I48" s="181"/>
      <c r="J48" s="531"/>
      <c r="K48" s="531"/>
      <c r="L48" s="531"/>
      <c r="M48" s="531"/>
      <c r="N48" s="531"/>
      <c r="O48" s="531"/>
      <c r="P48" s="531"/>
      <c r="Q48" s="531"/>
      <c r="R48" s="531"/>
      <c r="S48" s="531"/>
      <c r="T48" s="531"/>
      <c r="U48" s="531">
        <v>79</v>
      </c>
      <c r="V48" s="531">
        <v>152</v>
      </c>
      <c r="W48" s="531"/>
      <c r="X48" s="531"/>
      <c r="Y48" s="531"/>
      <c r="Z48" s="531"/>
      <c r="AA48" s="531"/>
      <c r="AB48" s="531"/>
      <c r="AC48" s="532"/>
      <c r="AD48" s="532"/>
      <c r="AE48" s="532"/>
      <c r="AF48" s="532"/>
      <c r="AG48" s="532"/>
      <c r="AH48" s="532"/>
      <c r="AI48" s="532"/>
      <c r="AJ48" s="532"/>
      <c r="AK48" s="532"/>
      <c r="AL48" s="532"/>
      <c r="AM48" s="532"/>
      <c r="AN48" s="532"/>
      <c r="AO48" s="532"/>
      <c r="AP48" s="532">
        <f>IF(Table_NFI[[#This Row],[Winter Clothes Adult]]+Table_NFI[[#This Row],[Winter Clothes Children]]+Table_NFI[[#This Row],[Winter Items Other]]+Table_NFI[[#This Row],[Winter Blanket]]&gt;0,1,0)</f>
        <v>1</v>
      </c>
      <c r="AQ48" s="532"/>
      <c r="AR48" s="532"/>
      <c r="AS48" s="532"/>
      <c r="AT48" s="532"/>
      <c r="AU48" s="532"/>
      <c r="AV48" s="532"/>
      <c r="AW48" s="532"/>
      <c r="AX48" s="203" t="str">
        <f>IFERROR(VLOOKUP(Table_NFI[[#This Row],[Location]],CL,2,0),"")</f>
        <v>MMR001CMP042</v>
      </c>
      <c r="AY48" s="197" t="s">
        <v>1236</v>
      </c>
      <c r="AZ48" s="533"/>
      <c r="BA48" s="533"/>
      <c r="BB48" s="533"/>
      <c r="BC48" s="533"/>
      <c r="BD48" s="533"/>
      <c r="BE48" s="533"/>
      <c r="BF48" s="533"/>
      <c r="BG48" s="533"/>
      <c r="BH48" s="533"/>
      <c r="BI48" s="533"/>
      <c r="BJ48" s="533"/>
      <c r="BK48" s="533"/>
      <c r="BL48" s="533"/>
      <c r="BM48" s="533"/>
      <c r="BN48" s="533"/>
      <c r="BO48" s="533"/>
      <c r="BP48" s="533"/>
      <c r="BQ48" s="533"/>
      <c r="BR48" s="533"/>
      <c r="BS48" s="533"/>
      <c r="BT48" s="533"/>
      <c r="BU48" s="533"/>
      <c r="BV48" s="533"/>
      <c r="BW48" s="533"/>
      <c r="BX48" s="533"/>
      <c r="BY48" s="533"/>
      <c r="BZ48" s="533"/>
      <c r="CA48" s="533"/>
      <c r="CB48" s="533"/>
      <c r="CC48" s="533"/>
      <c r="CD48" s="533"/>
      <c r="CE48" s="533"/>
      <c r="CF48" s="533"/>
      <c r="CG48" s="533"/>
      <c r="CH48" s="533"/>
      <c r="CI48" s="533"/>
      <c r="CJ48" s="533"/>
      <c r="CK48" s="533"/>
      <c r="CL48" s="533"/>
      <c r="CM48" s="533"/>
      <c r="CN48" s="533"/>
      <c r="CO48" s="533"/>
      <c r="CP48" s="533"/>
      <c r="CQ48" s="533"/>
      <c r="CR48" s="533"/>
      <c r="CS48" s="533"/>
      <c r="CT48" s="533"/>
      <c r="CU48" s="533"/>
      <c r="CV48" s="533"/>
      <c r="CW48" s="533"/>
      <c r="CX48" s="533"/>
      <c r="CY48" s="533"/>
      <c r="CZ48" s="533"/>
      <c r="DA48" s="533"/>
      <c r="DB48" s="533"/>
      <c r="DC48" s="533"/>
      <c r="DD48" s="533"/>
      <c r="DE48" s="533"/>
      <c r="DF48" s="533"/>
      <c r="DG48" s="533"/>
      <c r="DH48" s="533"/>
      <c r="DI48" s="533"/>
      <c r="DJ48" s="533"/>
      <c r="DK48" s="533"/>
      <c r="DL48" s="533"/>
      <c r="DM48" s="533"/>
      <c r="DN48" s="533"/>
      <c r="DO48" s="533"/>
      <c r="DP48" s="533"/>
      <c r="DQ48" s="533"/>
      <c r="DR48" s="533"/>
      <c r="DS48" s="533"/>
    </row>
    <row r="49" spans="2:123" s="529" customFormat="1" ht="18.75" hidden="1" customHeight="1" x14ac:dyDescent="0.3">
      <c r="B49" s="530">
        <v>42809</v>
      </c>
      <c r="C49" s="530" t="str">
        <f>MONTH(Table_NFI[[#This Row],[Distribution Date]]) &amp; "/" &amp; YEAR(Table_NFI[[#This Row],[Distribution Date]])</f>
        <v>3/2017</v>
      </c>
      <c r="D49" s="195" t="s">
        <v>1375</v>
      </c>
      <c r="E49" s="195" t="s">
        <v>1375</v>
      </c>
      <c r="F49" s="196" t="s">
        <v>378</v>
      </c>
      <c r="G49" s="196" t="s">
        <v>309</v>
      </c>
      <c r="H49" s="196" t="s">
        <v>351</v>
      </c>
      <c r="I49" s="181"/>
      <c r="J49" s="531"/>
      <c r="K49" s="531"/>
      <c r="L49" s="531">
        <v>6</v>
      </c>
      <c r="M49" s="531"/>
      <c r="N49" s="531">
        <v>12</v>
      </c>
      <c r="O49" s="531"/>
      <c r="P49" s="531">
        <v>12</v>
      </c>
      <c r="Q49" s="531"/>
      <c r="R49" s="531"/>
      <c r="S49" s="531"/>
      <c r="T49" s="531">
        <v>12</v>
      </c>
      <c r="U49" s="531"/>
      <c r="V49" s="531"/>
      <c r="W49" s="531"/>
      <c r="X49" s="531"/>
      <c r="Y49" s="531"/>
      <c r="Z49" s="531"/>
      <c r="AA49" s="531"/>
      <c r="AB49" s="531"/>
      <c r="AC49" s="532"/>
      <c r="AD49" s="532"/>
      <c r="AE49" s="532"/>
      <c r="AF49" s="532"/>
      <c r="AG49" s="532"/>
      <c r="AH49" s="532"/>
      <c r="AI49" s="532"/>
      <c r="AJ49" s="532"/>
      <c r="AK49" s="532"/>
      <c r="AL49" s="532"/>
      <c r="AM49" s="532"/>
      <c r="AN49" s="532"/>
      <c r="AO49" s="532"/>
      <c r="AP49" s="532">
        <f>IF(Table_NFI[[#This Row],[Winter Clothes Adult]]+Table_NFI[[#This Row],[Winter Clothes Children]]+Table_NFI[[#This Row],[Winter Items Other]]+Table_NFI[[#This Row],[Winter Blanket]]&gt;0,1,0)</f>
        <v>0</v>
      </c>
      <c r="AQ49" s="532"/>
      <c r="AR49" s="532"/>
      <c r="AS49" s="532"/>
      <c r="AT49" s="532"/>
      <c r="AU49" s="532"/>
      <c r="AV49" s="532"/>
      <c r="AW49" s="532"/>
      <c r="AX49" s="203" t="str">
        <f>IFERROR(VLOOKUP(Table_NFI[[#This Row],[Location]],CL,2,0),"")</f>
        <v>MMR001CMP116</v>
      </c>
      <c r="AY49" s="181" t="s">
        <v>1253</v>
      </c>
      <c r="AZ49" s="533"/>
      <c r="BA49" s="533"/>
      <c r="BB49" s="533"/>
      <c r="BC49" s="533"/>
      <c r="BD49" s="533"/>
      <c r="BE49" s="533"/>
      <c r="BF49" s="533"/>
      <c r="BG49" s="533"/>
      <c r="BH49" s="533"/>
      <c r="BI49" s="533"/>
      <c r="BJ49" s="533"/>
      <c r="BK49" s="533"/>
      <c r="BL49" s="533"/>
      <c r="BM49" s="533"/>
      <c r="BN49" s="533"/>
      <c r="BO49" s="533"/>
      <c r="BP49" s="533"/>
      <c r="BQ49" s="533"/>
      <c r="BR49" s="533"/>
      <c r="BS49" s="533"/>
      <c r="BT49" s="533"/>
      <c r="BU49" s="533"/>
      <c r="BV49" s="533"/>
      <c r="BW49" s="533"/>
      <c r="BX49" s="533"/>
      <c r="BY49" s="533"/>
      <c r="BZ49" s="533"/>
      <c r="CA49" s="533"/>
      <c r="CB49" s="533"/>
      <c r="CC49" s="533"/>
      <c r="CD49" s="533"/>
      <c r="CE49" s="533"/>
      <c r="CF49" s="533"/>
      <c r="CG49" s="533"/>
      <c r="CH49" s="533"/>
      <c r="CI49" s="533"/>
      <c r="CJ49" s="533"/>
      <c r="CK49" s="533"/>
      <c r="CL49" s="533"/>
      <c r="CM49" s="533"/>
      <c r="CN49" s="533"/>
      <c r="CO49" s="533"/>
      <c r="CP49" s="533"/>
      <c r="CQ49" s="533"/>
      <c r="CR49" s="533"/>
      <c r="CS49" s="533"/>
      <c r="CT49" s="533"/>
      <c r="CU49" s="533"/>
      <c r="CV49" s="533"/>
      <c r="CW49" s="533"/>
      <c r="CX49" s="533"/>
      <c r="CY49" s="533"/>
      <c r="CZ49" s="533"/>
      <c r="DA49" s="533"/>
      <c r="DB49" s="533"/>
      <c r="DC49" s="533"/>
      <c r="DD49" s="533"/>
      <c r="DE49" s="533"/>
      <c r="DF49" s="533"/>
      <c r="DG49" s="533"/>
      <c r="DH49" s="533"/>
      <c r="DI49" s="533"/>
      <c r="DJ49" s="533"/>
      <c r="DK49" s="533"/>
      <c r="DL49" s="533"/>
      <c r="DM49" s="533"/>
      <c r="DN49" s="533"/>
      <c r="DO49" s="533"/>
      <c r="DP49" s="533"/>
      <c r="DQ49" s="533"/>
      <c r="DR49" s="533"/>
      <c r="DS49" s="533"/>
    </row>
    <row r="50" spans="2:123" s="529" customFormat="1" ht="18.75" hidden="1" customHeight="1" x14ac:dyDescent="0.3">
      <c r="B50" s="530">
        <v>42810</v>
      </c>
      <c r="C50" s="530" t="str">
        <f>MONTH(Table_NFI[[#This Row],[Distribution Date]]) &amp; "/" &amp; YEAR(Table_NFI[[#This Row],[Distribution Date]])</f>
        <v>3/2017</v>
      </c>
      <c r="D50" s="195" t="s">
        <v>420</v>
      </c>
      <c r="E50" s="196" t="s">
        <v>462</v>
      </c>
      <c r="F50" s="196" t="s">
        <v>378</v>
      </c>
      <c r="G50" s="196" t="s">
        <v>27</v>
      </c>
      <c r="H50" s="196" t="s">
        <v>363</v>
      </c>
      <c r="I50" s="181"/>
      <c r="J50" s="531"/>
      <c r="K50" s="531"/>
      <c r="L50" s="531"/>
      <c r="M50" s="531"/>
      <c r="N50" s="531"/>
      <c r="O50" s="531"/>
      <c r="P50" s="531"/>
      <c r="Q50" s="531"/>
      <c r="R50" s="531"/>
      <c r="S50" s="531"/>
      <c r="T50" s="531"/>
      <c r="U50" s="531">
        <v>97</v>
      </c>
      <c r="V50" s="531">
        <v>203</v>
      </c>
      <c r="W50" s="531"/>
      <c r="X50" s="531"/>
      <c r="Y50" s="531"/>
      <c r="Z50" s="531"/>
      <c r="AA50" s="531"/>
      <c r="AB50" s="531"/>
      <c r="AC50" s="532"/>
      <c r="AD50" s="532"/>
      <c r="AE50" s="532"/>
      <c r="AF50" s="532"/>
      <c r="AG50" s="532"/>
      <c r="AH50" s="532"/>
      <c r="AI50" s="532"/>
      <c r="AJ50" s="532"/>
      <c r="AK50" s="532"/>
      <c r="AL50" s="532"/>
      <c r="AM50" s="532"/>
      <c r="AN50" s="532"/>
      <c r="AO50" s="532"/>
      <c r="AP50" s="532">
        <f>IF(Table_NFI[[#This Row],[Winter Clothes Adult]]+Table_NFI[[#This Row],[Winter Clothes Children]]+Table_NFI[[#This Row],[Winter Items Other]]+Table_NFI[[#This Row],[Winter Blanket]]&gt;0,1,0)</f>
        <v>1</v>
      </c>
      <c r="AQ50" s="532"/>
      <c r="AR50" s="532"/>
      <c r="AS50" s="532"/>
      <c r="AT50" s="532"/>
      <c r="AU50" s="532"/>
      <c r="AV50" s="532"/>
      <c r="AW50" s="532"/>
      <c r="AX50" s="203" t="str">
        <f>IFERROR(VLOOKUP(Table_NFI[[#This Row],[Location]],CL,2,0),"")</f>
        <v>MMR001CMP195</v>
      </c>
      <c r="AY50" s="535" t="s">
        <v>1236</v>
      </c>
      <c r="AZ50" s="533"/>
      <c r="BA50" s="533"/>
      <c r="BB50" s="533"/>
      <c r="BC50" s="533"/>
      <c r="BD50" s="533"/>
      <c r="BE50" s="533"/>
      <c r="BF50" s="533"/>
      <c r="BG50" s="533"/>
      <c r="BH50" s="533"/>
      <c r="BI50" s="533"/>
      <c r="BJ50" s="533"/>
      <c r="BK50" s="533"/>
      <c r="BL50" s="533"/>
      <c r="BM50" s="533"/>
      <c r="BN50" s="533"/>
      <c r="BO50" s="533"/>
      <c r="BP50" s="533"/>
      <c r="BQ50" s="533"/>
      <c r="BR50" s="533"/>
      <c r="BS50" s="533"/>
      <c r="BT50" s="533"/>
      <c r="BU50" s="533"/>
      <c r="BV50" s="533"/>
      <c r="BW50" s="533"/>
      <c r="BX50" s="533"/>
      <c r="BY50" s="533"/>
      <c r="BZ50" s="533"/>
      <c r="CA50" s="533"/>
      <c r="CB50" s="533"/>
      <c r="CC50" s="533"/>
      <c r="CD50" s="533"/>
      <c r="CE50" s="533"/>
      <c r="CF50" s="533"/>
      <c r="CG50" s="533"/>
      <c r="CH50" s="533"/>
      <c r="CI50" s="533"/>
      <c r="CJ50" s="533"/>
      <c r="CK50" s="533"/>
      <c r="CL50" s="533"/>
      <c r="CM50" s="533"/>
      <c r="CN50" s="533"/>
      <c r="CO50" s="533"/>
      <c r="CP50" s="533"/>
      <c r="CQ50" s="533"/>
      <c r="CR50" s="533"/>
      <c r="CS50" s="533"/>
      <c r="CT50" s="533"/>
      <c r="CU50" s="533"/>
      <c r="CV50" s="533"/>
      <c r="CW50" s="533"/>
      <c r="CX50" s="533"/>
      <c r="CY50" s="533"/>
      <c r="CZ50" s="533"/>
      <c r="DA50" s="533"/>
      <c r="DB50" s="533"/>
      <c r="DC50" s="533"/>
      <c r="DD50" s="533"/>
      <c r="DE50" s="533"/>
      <c r="DF50" s="533"/>
      <c r="DG50" s="533"/>
      <c r="DH50" s="533"/>
      <c r="DI50" s="533"/>
      <c r="DJ50" s="533"/>
      <c r="DK50" s="533"/>
      <c r="DL50" s="533"/>
      <c r="DM50" s="533"/>
      <c r="DN50" s="533"/>
      <c r="DO50" s="533"/>
      <c r="DP50" s="533"/>
      <c r="DQ50" s="533"/>
      <c r="DR50" s="533"/>
      <c r="DS50" s="533"/>
    </row>
    <row r="51" spans="2:123" s="529" customFormat="1" ht="18.75" hidden="1" customHeight="1" x14ac:dyDescent="0.3">
      <c r="B51" s="530">
        <v>42813</v>
      </c>
      <c r="C51" s="530" t="str">
        <f>MONTH(Table_NFI[[#This Row],[Distribution Date]]) &amp; "/" &amp; YEAR(Table_NFI[[#This Row],[Distribution Date]])</f>
        <v>3/2017</v>
      </c>
      <c r="D51" s="196" t="s">
        <v>420</v>
      </c>
      <c r="E51" s="196" t="s">
        <v>424</v>
      </c>
      <c r="F51" s="196" t="s">
        <v>378</v>
      </c>
      <c r="G51" s="196" t="s">
        <v>746</v>
      </c>
      <c r="H51" s="196" t="s">
        <v>1064</v>
      </c>
      <c r="I51" s="181"/>
      <c r="J51" s="531"/>
      <c r="K51" s="531"/>
      <c r="L51" s="531"/>
      <c r="M51" s="531"/>
      <c r="N51" s="531"/>
      <c r="O51" s="531"/>
      <c r="P51" s="531">
        <v>292</v>
      </c>
      <c r="Q51" s="531"/>
      <c r="R51" s="531"/>
      <c r="S51" s="531"/>
      <c r="T51" s="531"/>
      <c r="U51" s="531"/>
      <c r="V51" s="531"/>
      <c r="W51" s="531"/>
      <c r="X51" s="531"/>
      <c r="Y51" s="531"/>
      <c r="Z51" s="531"/>
      <c r="AA51" s="531"/>
      <c r="AB51" s="531"/>
      <c r="AC51" s="532"/>
      <c r="AD51" s="532"/>
      <c r="AE51" s="532"/>
      <c r="AF51" s="532"/>
      <c r="AG51" s="532"/>
      <c r="AH51" s="532"/>
      <c r="AI51" s="532"/>
      <c r="AJ51" s="532"/>
      <c r="AK51" s="532"/>
      <c r="AL51" s="532"/>
      <c r="AM51" s="532"/>
      <c r="AN51" s="532"/>
      <c r="AO51" s="532"/>
      <c r="AP51" s="532">
        <f>IF(Table_NFI[[#This Row],[Winter Clothes Adult]]+Table_NFI[[#This Row],[Winter Clothes Children]]+Table_NFI[[#This Row],[Winter Items Other]]+Table_NFI[[#This Row],[Winter Blanket]]&gt;0,1,0)</f>
        <v>0</v>
      </c>
      <c r="AQ51" s="532"/>
      <c r="AR51" s="532"/>
      <c r="AS51" s="532"/>
      <c r="AT51" s="532"/>
      <c r="AU51" s="532"/>
      <c r="AV51" s="532"/>
      <c r="AW51" s="532"/>
      <c r="AX51" s="203" t="str">
        <f>IFERROR(VLOOKUP(Table_NFI[[#This Row],[Location]],CL,2,0),"")</f>
        <v>MMR001CMP238</v>
      </c>
      <c r="AY51" s="181" t="s">
        <v>1248</v>
      </c>
      <c r="AZ51" s="533"/>
      <c r="BA51" s="533"/>
      <c r="BB51" s="533"/>
      <c r="BC51" s="533"/>
      <c r="BD51" s="533"/>
      <c r="BE51" s="533"/>
      <c r="BF51" s="533"/>
      <c r="BG51" s="533"/>
      <c r="BH51" s="533"/>
      <c r="BI51" s="533"/>
      <c r="BJ51" s="533"/>
      <c r="BK51" s="533"/>
      <c r="BL51" s="533"/>
      <c r="BM51" s="533"/>
      <c r="BN51" s="533"/>
      <c r="BO51" s="533"/>
      <c r="BP51" s="533"/>
      <c r="BQ51" s="533"/>
      <c r="BR51" s="533"/>
      <c r="BS51" s="533"/>
      <c r="BT51" s="533"/>
      <c r="BU51" s="533"/>
      <c r="BV51" s="533"/>
      <c r="BW51" s="533"/>
      <c r="BX51" s="533"/>
      <c r="BY51" s="533"/>
      <c r="BZ51" s="533"/>
      <c r="CA51" s="533"/>
      <c r="CB51" s="533"/>
      <c r="CC51" s="533"/>
      <c r="CD51" s="533"/>
      <c r="CE51" s="533"/>
      <c r="CF51" s="533"/>
      <c r="CG51" s="533"/>
      <c r="CH51" s="533"/>
      <c r="CI51" s="533"/>
      <c r="CJ51" s="533"/>
      <c r="CK51" s="533"/>
      <c r="CL51" s="533"/>
      <c r="CM51" s="533"/>
      <c r="CN51" s="533"/>
      <c r="CO51" s="533"/>
      <c r="CP51" s="533"/>
      <c r="CQ51" s="533"/>
      <c r="CR51" s="533"/>
      <c r="CS51" s="533"/>
      <c r="CT51" s="533"/>
      <c r="CU51" s="533"/>
      <c r="CV51" s="533"/>
      <c r="CW51" s="533"/>
      <c r="CX51" s="533"/>
      <c r="CY51" s="533"/>
      <c r="CZ51" s="533"/>
      <c r="DA51" s="533"/>
      <c r="DB51" s="533"/>
      <c r="DC51" s="533"/>
      <c r="DD51" s="533"/>
      <c r="DE51" s="533"/>
      <c r="DF51" s="533"/>
      <c r="DG51" s="533"/>
      <c r="DH51" s="533"/>
      <c r="DI51" s="533"/>
      <c r="DJ51" s="533"/>
      <c r="DK51" s="533"/>
      <c r="DL51" s="533"/>
      <c r="DM51" s="533"/>
      <c r="DN51" s="533"/>
      <c r="DO51" s="533"/>
      <c r="DP51" s="533"/>
      <c r="DQ51" s="533"/>
      <c r="DR51" s="533"/>
      <c r="DS51" s="533"/>
    </row>
    <row r="52" spans="2:123" s="529" customFormat="1" ht="18.75" hidden="1" customHeight="1" x14ac:dyDescent="0.3">
      <c r="B52" s="530">
        <v>42814</v>
      </c>
      <c r="C52" s="530" t="str">
        <f>MONTH(Table_NFI[[#This Row],[Distribution Date]]) &amp; "/" &amp; YEAR(Table_NFI[[#This Row],[Distribution Date]])</f>
        <v>3/2017</v>
      </c>
      <c r="D52" s="196" t="s">
        <v>420</v>
      </c>
      <c r="E52" s="196" t="s">
        <v>424</v>
      </c>
      <c r="F52" s="196" t="s">
        <v>378</v>
      </c>
      <c r="G52" s="196" t="s">
        <v>746</v>
      </c>
      <c r="H52" s="196" t="s">
        <v>1066</v>
      </c>
      <c r="I52" s="181"/>
      <c r="J52" s="531"/>
      <c r="K52" s="531"/>
      <c r="L52" s="531"/>
      <c r="M52" s="531"/>
      <c r="N52" s="531"/>
      <c r="O52" s="531"/>
      <c r="P52" s="531">
        <v>134</v>
      </c>
      <c r="Q52" s="531"/>
      <c r="R52" s="531"/>
      <c r="S52" s="531"/>
      <c r="T52" s="531"/>
      <c r="U52" s="531"/>
      <c r="V52" s="531"/>
      <c r="W52" s="531"/>
      <c r="X52" s="531"/>
      <c r="Y52" s="531"/>
      <c r="Z52" s="531"/>
      <c r="AA52" s="531"/>
      <c r="AB52" s="531"/>
      <c r="AC52" s="532"/>
      <c r="AD52" s="532"/>
      <c r="AE52" s="532"/>
      <c r="AF52" s="532"/>
      <c r="AG52" s="532"/>
      <c r="AH52" s="532"/>
      <c r="AI52" s="532"/>
      <c r="AJ52" s="532"/>
      <c r="AK52" s="532"/>
      <c r="AL52" s="532"/>
      <c r="AM52" s="532"/>
      <c r="AN52" s="532"/>
      <c r="AO52" s="532"/>
      <c r="AP52" s="532">
        <f>IF(Table_NFI[[#This Row],[Winter Clothes Adult]]+Table_NFI[[#This Row],[Winter Clothes Children]]+Table_NFI[[#This Row],[Winter Items Other]]+Table_NFI[[#This Row],[Winter Blanket]]&gt;0,1,0)</f>
        <v>0</v>
      </c>
      <c r="AQ52" s="532"/>
      <c r="AR52" s="532"/>
      <c r="AS52" s="532"/>
      <c r="AT52" s="532"/>
      <c r="AU52" s="532"/>
      <c r="AV52" s="532"/>
      <c r="AW52" s="532"/>
      <c r="AX52" s="203" t="str">
        <f>IFERROR(VLOOKUP(Table_NFI[[#This Row],[Location]],CL,2,0),"")</f>
        <v>MMR001CMP239</v>
      </c>
      <c r="AY52" s="181" t="s">
        <v>1248</v>
      </c>
      <c r="AZ52" s="533"/>
      <c r="BA52" s="533"/>
      <c r="BB52" s="533"/>
      <c r="BC52" s="533"/>
      <c r="BD52" s="533"/>
      <c r="BE52" s="533"/>
      <c r="BF52" s="533"/>
      <c r="BG52" s="533"/>
      <c r="BH52" s="533"/>
      <c r="BI52" s="533"/>
      <c r="BJ52" s="533"/>
      <c r="BK52" s="533"/>
      <c r="BL52" s="533"/>
      <c r="BM52" s="533"/>
      <c r="BN52" s="533"/>
      <c r="BO52" s="533"/>
      <c r="BP52" s="533"/>
      <c r="BQ52" s="533"/>
      <c r="BR52" s="533"/>
      <c r="BS52" s="533"/>
      <c r="BT52" s="533"/>
      <c r="BU52" s="533"/>
      <c r="BV52" s="533"/>
      <c r="BW52" s="533"/>
      <c r="BX52" s="533"/>
      <c r="BY52" s="533"/>
      <c r="BZ52" s="533"/>
      <c r="CA52" s="533"/>
      <c r="CB52" s="533"/>
      <c r="CC52" s="533"/>
      <c r="CD52" s="533"/>
      <c r="CE52" s="533"/>
      <c r="CF52" s="533"/>
      <c r="CG52" s="533"/>
      <c r="CH52" s="533"/>
      <c r="CI52" s="533"/>
      <c r="CJ52" s="533"/>
      <c r="CK52" s="533"/>
      <c r="CL52" s="533"/>
      <c r="CM52" s="533"/>
      <c r="CN52" s="533"/>
      <c r="CO52" s="533"/>
      <c r="CP52" s="533"/>
      <c r="CQ52" s="533"/>
      <c r="CR52" s="533"/>
      <c r="CS52" s="533"/>
      <c r="CT52" s="533"/>
      <c r="CU52" s="533"/>
      <c r="CV52" s="533"/>
      <c r="CW52" s="533"/>
      <c r="CX52" s="533"/>
      <c r="CY52" s="533"/>
      <c r="CZ52" s="533"/>
      <c r="DA52" s="533"/>
      <c r="DB52" s="533"/>
      <c r="DC52" s="533"/>
      <c r="DD52" s="533"/>
      <c r="DE52" s="533"/>
      <c r="DF52" s="533"/>
      <c r="DG52" s="533"/>
      <c r="DH52" s="533"/>
      <c r="DI52" s="533"/>
      <c r="DJ52" s="533"/>
      <c r="DK52" s="533"/>
      <c r="DL52" s="533"/>
      <c r="DM52" s="533"/>
      <c r="DN52" s="533"/>
      <c r="DO52" s="533"/>
      <c r="DP52" s="533"/>
      <c r="DQ52" s="533"/>
      <c r="DR52" s="533"/>
      <c r="DS52" s="533"/>
    </row>
    <row r="53" spans="2:123" s="181" customFormat="1" ht="18.75" hidden="1" customHeight="1" x14ac:dyDescent="0.3">
      <c r="B53" s="530">
        <v>42823</v>
      </c>
      <c r="C53" s="530" t="str">
        <f>MONTH(Table_NFI[[#This Row],[Distribution Date]]) &amp; "/" &amp; YEAR(Table_NFI[[#This Row],[Distribution Date]])</f>
        <v>3/2017</v>
      </c>
      <c r="D53" s="195" t="s">
        <v>420</v>
      </c>
      <c r="E53" s="196" t="s">
        <v>462</v>
      </c>
      <c r="F53" s="196" t="s">
        <v>378</v>
      </c>
      <c r="G53" s="196" t="s">
        <v>309</v>
      </c>
      <c r="H53" s="196" t="s">
        <v>342</v>
      </c>
      <c r="J53" s="531"/>
      <c r="K53" s="531"/>
      <c r="L53" s="531">
        <v>5</v>
      </c>
      <c r="M53" s="531">
        <v>5</v>
      </c>
      <c r="N53" s="531">
        <v>10</v>
      </c>
      <c r="O53" s="531">
        <v>5</v>
      </c>
      <c r="P53" s="531">
        <v>10</v>
      </c>
      <c r="Q53" s="531">
        <v>5</v>
      </c>
      <c r="R53" s="531"/>
      <c r="S53" s="531">
        <v>5</v>
      </c>
      <c r="T53" s="531">
        <v>28</v>
      </c>
      <c r="U53" s="531"/>
      <c r="V53" s="531"/>
      <c r="W53" s="531"/>
      <c r="X53" s="531"/>
      <c r="Y53" s="531">
        <v>5</v>
      </c>
      <c r="Z53" s="531"/>
      <c r="AA53" s="531"/>
      <c r="AB53" s="531"/>
      <c r="AC53" s="532"/>
      <c r="AD53" s="532"/>
      <c r="AE53" s="532"/>
      <c r="AF53" s="532"/>
      <c r="AG53" s="532"/>
      <c r="AH53" s="532"/>
      <c r="AI53" s="532"/>
      <c r="AJ53" s="532"/>
      <c r="AK53" s="532"/>
      <c r="AL53" s="532"/>
      <c r="AM53" s="532"/>
      <c r="AN53" s="532"/>
      <c r="AO53" s="532"/>
      <c r="AP53" s="532">
        <f>IF(Table_NFI[[#This Row],[Winter Clothes Adult]]+Table_NFI[[#This Row],[Winter Clothes Children]]+Table_NFI[[#This Row],[Winter Items Other]]+Table_NFI[[#This Row],[Winter Blanket]]&gt;0,1,0)</f>
        <v>0</v>
      </c>
      <c r="AQ53" s="532"/>
      <c r="AR53" s="532"/>
      <c r="AS53" s="532"/>
      <c r="AT53" s="532"/>
      <c r="AU53" s="532"/>
      <c r="AV53" s="532"/>
      <c r="AW53" s="532"/>
      <c r="AX53" s="203" t="str">
        <f>IFERROR(VLOOKUP(Table_NFI[[#This Row],[Location]],CL,2,0),"")</f>
        <v>MMR001CMP033</v>
      </c>
      <c r="AY53" s="181" t="s">
        <v>1236</v>
      </c>
    </row>
    <row r="54" spans="2:123" s="181" customFormat="1" ht="18.75" hidden="1" customHeight="1" x14ac:dyDescent="0.3">
      <c r="B54" s="530">
        <v>42825</v>
      </c>
      <c r="C54" s="530" t="str">
        <f>MONTH(Table_NFI[[#This Row],[Distribution Date]]) &amp; "/" &amp; YEAR(Table_NFI[[#This Row],[Distribution Date]])</f>
        <v>3/2017</v>
      </c>
      <c r="D54" s="196" t="s">
        <v>1256</v>
      </c>
      <c r="E54" s="196" t="s">
        <v>1256</v>
      </c>
      <c r="F54" s="196" t="s">
        <v>506</v>
      </c>
      <c r="G54" s="196" t="s">
        <v>146</v>
      </c>
      <c r="H54" s="196" t="s">
        <v>368</v>
      </c>
      <c r="J54" s="531"/>
      <c r="K54" s="531"/>
      <c r="L54" s="531"/>
      <c r="M54" s="531"/>
      <c r="N54" s="531"/>
      <c r="O54" s="531"/>
      <c r="P54" s="531"/>
      <c r="Q54" s="531"/>
      <c r="R54" s="531"/>
      <c r="S54" s="531"/>
      <c r="T54" s="531"/>
      <c r="U54" s="531">
        <v>540</v>
      </c>
      <c r="V54" s="531"/>
      <c r="W54" s="531"/>
      <c r="X54" s="531">
        <v>135</v>
      </c>
      <c r="Y54" s="531"/>
      <c r="Z54" s="531"/>
      <c r="AA54" s="531"/>
      <c r="AB54" s="531"/>
      <c r="AC54" s="532"/>
      <c r="AD54" s="532"/>
      <c r="AE54" s="532"/>
      <c r="AF54" s="532"/>
      <c r="AG54" s="532"/>
      <c r="AH54" s="532"/>
      <c r="AI54" s="532"/>
      <c r="AJ54" s="532"/>
      <c r="AK54" s="532"/>
      <c r="AL54" s="532"/>
      <c r="AM54" s="532"/>
      <c r="AN54" s="532"/>
      <c r="AO54" s="532"/>
      <c r="AP54" s="532">
        <f>IF(Table_NFI[[#This Row],[Winter Clothes Adult]]+Table_NFI[[#This Row],[Winter Clothes Children]]+Table_NFI[[#This Row],[Winter Items Other]]+Table_NFI[[#This Row],[Winter Blanket]]&gt;0,1,0)</f>
        <v>1</v>
      </c>
      <c r="AQ54" s="532"/>
      <c r="AR54" s="532"/>
      <c r="AS54" s="532"/>
      <c r="AT54" s="532"/>
      <c r="AU54" s="532"/>
      <c r="AV54" s="532"/>
      <c r="AW54" s="532"/>
      <c r="AX54" s="203" t="str">
        <f>IFERROR(VLOOKUP(Table_NFI[[#This Row],[Location]],CL,2,0),"")</f>
        <v>MMR015CMP017</v>
      </c>
      <c r="AY54" s="181" t="s">
        <v>1257</v>
      </c>
    </row>
    <row r="55" spans="2:123" s="181" customFormat="1" ht="18.75" hidden="1" customHeight="1" x14ac:dyDescent="0.3">
      <c r="B55" s="530">
        <v>42829</v>
      </c>
      <c r="C55" s="530" t="str">
        <f>MONTH(Table_NFI[[#This Row],[Distribution Date]]) &amp; "/" &amp; YEAR(Table_NFI[[#This Row],[Distribution Date]])</f>
        <v>4/2017</v>
      </c>
      <c r="D55" s="195" t="s">
        <v>1256</v>
      </c>
      <c r="E55" s="196" t="s">
        <v>1256</v>
      </c>
      <c r="F55" s="196" t="s">
        <v>378</v>
      </c>
      <c r="G55" s="196" t="s">
        <v>151</v>
      </c>
      <c r="H55" s="196" t="s">
        <v>845</v>
      </c>
      <c r="J55" s="531"/>
      <c r="K55" s="531"/>
      <c r="L55" s="531"/>
      <c r="M55" s="531"/>
      <c r="N55" s="531"/>
      <c r="O55" s="531"/>
      <c r="P55" s="531"/>
      <c r="Q55" s="531"/>
      <c r="R55" s="531"/>
      <c r="S55" s="531"/>
      <c r="T55" s="531"/>
      <c r="U55" s="531">
        <v>144</v>
      </c>
      <c r="V55" s="531"/>
      <c r="W55" s="531"/>
      <c r="X55" s="531">
        <v>36</v>
      </c>
      <c r="Y55" s="531"/>
      <c r="Z55" s="531"/>
      <c r="AA55" s="531"/>
      <c r="AB55" s="531"/>
      <c r="AC55" s="532"/>
      <c r="AD55" s="532"/>
      <c r="AE55" s="532"/>
      <c r="AF55" s="532"/>
      <c r="AG55" s="532"/>
      <c r="AH55" s="532"/>
      <c r="AI55" s="532"/>
      <c r="AJ55" s="532"/>
      <c r="AK55" s="532"/>
      <c r="AL55" s="532"/>
      <c r="AM55" s="532"/>
      <c r="AN55" s="532"/>
      <c r="AO55" s="532"/>
      <c r="AP55" s="532">
        <f>IF(Table_NFI[[#This Row],[Winter Clothes Adult]]+Table_NFI[[#This Row],[Winter Clothes Children]]+Table_NFI[[#This Row],[Winter Items Other]]+Table_NFI[[#This Row],[Winter Blanket]]&gt;0,1,0)</f>
        <v>1</v>
      </c>
      <c r="AQ55" s="532"/>
      <c r="AR55" s="532"/>
      <c r="AS55" s="532"/>
      <c r="AT55" s="532"/>
      <c r="AU55" s="532"/>
      <c r="AV55" s="532"/>
      <c r="AW55" s="532"/>
      <c r="AX55" s="203" t="str">
        <f>IFERROR(VLOOKUP(Table_NFI[[#This Row],[Location]],CL,2,0),"")</f>
        <v>MMR001CMP223</v>
      </c>
      <c r="AY55" s="181" t="s">
        <v>1257</v>
      </c>
    </row>
    <row r="56" spans="2:123" s="181" customFormat="1" ht="18.75" hidden="1" customHeight="1" x14ac:dyDescent="0.3">
      <c r="B56" s="530">
        <v>42838</v>
      </c>
      <c r="C56" s="530" t="str">
        <f>MONTH(Table_NFI[[#This Row],[Distribution Date]]) &amp; "/" &amp; YEAR(Table_NFI[[#This Row],[Distribution Date]])</f>
        <v>4/2017</v>
      </c>
      <c r="D56" s="196" t="s">
        <v>420</v>
      </c>
      <c r="E56" s="196" t="s">
        <v>462</v>
      </c>
      <c r="F56" s="196" t="s">
        <v>378</v>
      </c>
      <c r="G56" s="196" t="s">
        <v>309</v>
      </c>
      <c r="H56" s="196" t="s">
        <v>317</v>
      </c>
      <c r="J56" s="531"/>
      <c r="K56" s="531"/>
      <c r="L56" s="531">
        <v>17</v>
      </c>
      <c r="M56" s="531">
        <v>17</v>
      </c>
      <c r="N56" s="531">
        <v>58</v>
      </c>
      <c r="O56" s="531">
        <v>17</v>
      </c>
      <c r="P56" s="531">
        <v>58</v>
      </c>
      <c r="Q56" s="531">
        <v>17</v>
      </c>
      <c r="R56" s="531"/>
      <c r="S56" s="531">
        <v>17</v>
      </c>
      <c r="T56" s="531">
        <v>76</v>
      </c>
      <c r="U56" s="531"/>
      <c r="V56" s="531"/>
      <c r="W56" s="531"/>
      <c r="X56" s="531"/>
      <c r="Y56" s="531">
        <v>17</v>
      </c>
      <c r="Z56" s="531"/>
      <c r="AA56" s="531"/>
      <c r="AB56" s="531">
        <v>15</v>
      </c>
      <c r="AC56" s="532"/>
      <c r="AD56" s="532"/>
      <c r="AE56" s="532"/>
      <c r="AF56" s="532"/>
      <c r="AG56" s="532"/>
      <c r="AH56" s="532"/>
      <c r="AI56" s="532"/>
      <c r="AJ56" s="532"/>
      <c r="AK56" s="532"/>
      <c r="AL56" s="532"/>
      <c r="AM56" s="532"/>
      <c r="AN56" s="532"/>
      <c r="AO56" s="532"/>
      <c r="AP56" s="532">
        <f>IF(Table_NFI[[#This Row],[Winter Clothes Adult]]+Table_NFI[[#This Row],[Winter Clothes Children]]+Table_NFI[[#This Row],[Winter Items Other]]+Table_NFI[[#This Row],[Winter Blanket]]&gt;0,1,0)</f>
        <v>0</v>
      </c>
      <c r="AQ56" s="532"/>
      <c r="AR56" s="532"/>
      <c r="AS56" s="532"/>
      <c r="AT56" s="532"/>
      <c r="AU56" s="532"/>
      <c r="AV56" s="532"/>
      <c r="AW56" s="532"/>
      <c r="AX56" s="203" t="str">
        <f>IFERROR(VLOOKUP(Table_NFI[[#This Row],[Location]],CL,2,0),"")</f>
        <v>MMR001CMP032</v>
      </c>
      <c r="AY56" s="181" t="s">
        <v>1249</v>
      </c>
    </row>
    <row r="57" spans="2:123" s="181" customFormat="1" ht="18.75" hidden="1" customHeight="1" x14ac:dyDescent="0.3">
      <c r="B57" s="530">
        <v>42852</v>
      </c>
      <c r="C57" s="530" t="str">
        <f>MONTH(Table_NFI[[#This Row],[Distribution Date]]) &amp; "/" &amp; YEAR(Table_NFI[[#This Row],[Distribution Date]])</f>
        <v>4/2017</v>
      </c>
      <c r="D57" s="195" t="s">
        <v>1375</v>
      </c>
      <c r="E57" s="195" t="s">
        <v>1375</v>
      </c>
      <c r="F57" s="196" t="s">
        <v>378</v>
      </c>
      <c r="G57" s="196" t="s">
        <v>309</v>
      </c>
      <c r="H57" s="196" t="s">
        <v>317</v>
      </c>
      <c r="J57" s="531">
        <v>10</v>
      </c>
      <c r="K57" s="531"/>
      <c r="L57" s="531"/>
      <c r="M57" s="531">
        <v>90</v>
      </c>
      <c r="N57" s="531"/>
      <c r="O57" s="531"/>
      <c r="P57" s="531"/>
      <c r="Q57" s="531"/>
      <c r="R57" s="531"/>
      <c r="S57" s="531">
        <v>10</v>
      </c>
      <c r="T57" s="531"/>
      <c r="U57" s="531"/>
      <c r="V57" s="531"/>
      <c r="W57" s="531"/>
      <c r="X57" s="531"/>
      <c r="Y57" s="531">
        <v>10</v>
      </c>
      <c r="Z57" s="531"/>
      <c r="AA57" s="531"/>
      <c r="AB57" s="531"/>
      <c r="AC57" s="532"/>
      <c r="AD57" s="532"/>
      <c r="AE57" s="532"/>
      <c r="AF57" s="532"/>
      <c r="AG57" s="532"/>
      <c r="AH57" s="532"/>
      <c r="AI57" s="532"/>
      <c r="AJ57" s="532"/>
      <c r="AK57" s="532"/>
      <c r="AL57" s="532"/>
      <c r="AM57" s="532"/>
      <c r="AN57" s="532"/>
      <c r="AO57" s="532"/>
      <c r="AP57" s="532">
        <f>IF(Table_NFI[[#This Row],[Winter Clothes Adult]]+Table_NFI[[#This Row],[Winter Clothes Children]]+Table_NFI[[#This Row],[Winter Items Other]]+Table_NFI[[#This Row],[Winter Blanket]]&gt;0,1,0)</f>
        <v>0</v>
      </c>
      <c r="AQ57" s="532"/>
      <c r="AR57" s="532"/>
      <c r="AS57" s="532"/>
      <c r="AT57" s="532"/>
      <c r="AU57" s="532"/>
      <c r="AV57" s="532"/>
      <c r="AW57" s="532"/>
      <c r="AX57" s="203" t="str">
        <f>IFERROR(VLOOKUP(Table_NFI[[#This Row],[Location]],CL,2,0),"")</f>
        <v>MMR001CMP032</v>
      </c>
      <c r="AY57" s="181" t="s">
        <v>1253</v>
      </c>
    </row>
    <row r="58" spans="2:123" ht="18.75" hidden="1" customHeight="1" x14ac:dyDescent="0.3">
      <c r="B58" s="530">
        <v>42860</v>
      </c>
      <c r="C58" s="530" t="str">
        <f>MONTH(Table_NFI[[#This Row],[Distribution Date]]) &amp; "/" &amp; YEAR(Table_NFI[[#This Row],[Distribution Date]])</f>
        <v>5/2017</v>
      </c>
      <c r="D58" s="196" t="s">
        <v>420</v>
      </c>
      <c r="E58" s="196" t="s">
        <v>462</v>
      </c>
      <c r="F58" s="196" t="s">
        <v>378</v>
      </c>
      <c r="G58" s="196" t="s">
        <v>309</v>
      </c>
      <c r="H58" s="196" t="s">
        <v>312</v>
      </c>
      <c r="I58" s="181"/>
      <c r="J58" s="531"/>
      <c r="K58" s="531"/>
      <c r="L58" s="531">
        <v>3</v>
      </c>
      <c r="M58" s="531">
        <v>3</v>
      </c>
      <c r="N58" s="531">
        <v>9</v>
      </c>
      <c r="O58" s="531">
        <v>3</v>
      </c>
      <c r="P58" s="531">
        <v>10</v>
      </c>
      <c r="Q58" s="531">
        <v>5</v>
      </c>
      <c r="R58" s="531"/>
      <c r="S58" s="531">
        <v>5</v>
      </c>
      <c r="T58" s="531">
        <v>28</v>
      </c>
      <c r="U58" s="531"/>
      <c r="V58" s="531"/>
      <c r="W58" s="531"/>
      <c r="X58" s="531"/>
      <c r="Y58" s="531"/>
      <c r="Z58" s="531"/>
      <c r="AA58" s="531"/>
      <c r="AB58" s="531"/>
      <c r="AC58" s="532"/>
      <c r="AD58" s="532"/>
      <c r="AE58" s="532"/>
      <c r="AF58" s="532"/>
      <c r="AG58" s="532"/>
      <c r="AH58" s="532"/>
      <c r="AI58" s="532"/>
      <c r="AJ58" s="532"/>
      <c r="AK58" s="532"/>
      <c r="AL58" s="532"/>
      <c r="AM58" s="532"/>
      <c r="AN58" s="532"/>
      <c r="AO58" s="532"/>
      <c r="AP58" s="532">
        <f>IF(Table_NFI[[#This Row],[Winter Clothes Adult]]+Table_NFI[[#This Row],[Winter Clothes Children]]+Table_NFI[[#This Row],[Winter Items Other]]+Table_NFI[[#This Row],[Winter Blanket]]&gt;0,1,0)</f>
        <v>0</v>
      </c>
      <c r="AQ58" s="532"/>
      <c r="AR58" s="532"/>
      <c r="AS58" s="532"/>
      <c r="AT58" s="532"/>
      <c r="AU58" s="532"/>
      <c r="AV58" s="532"/>
      <c r="AW58" s="532"/>
      <c r="AX58" s="203" t="str">
        <f>IFERROR(VLOOKUP(Table_NFI[[#This Row],[Location]],CL,2,0),"")</f>
        <v>MMR001CMP028</v>
      </c>
      <c r="DS58" s="181"/>
    </row>
    <row r="59" spans="2:123" ht="18.75" hidden="1" customHeight="1" x14ac:dyDescent="0.3">
      <c r="B59" s="530">
        <v>42860</v>
      </c>
      <c r="C59" s="530" t="str">
        <f>MONTH(Table_NFI[[#This Row],[Distribution Date]]) &amp; "/" &amp; YEAR(Table_NFI[[#This Row],[Distribution Date]])</f>
        <v>5/2017</v>
      </c>
      <c r="D59" s="196" t="s">
        <v>420</v>
      </c>
      <c r="E59" s="196" t="s">
        <v>462</v>
      </c>
      <c r="F59" s="196" t="s">
        <v>378</v>
      </c>
      <c r="G59" s="196" t="s">
        <v>309</v>
      </c>
      <c r="H59" s="196" t="s">
        <v>347</v>
      </c>
      <c r="I59" s="181"/>
      <c r="J59" s="531"/>
      <c r="K59" s="531"/>
      <c r="L59" s="531">
        <v>1</v>
      </c>
      <c r="M59" s="531">
        <v>1</v>
      </c>
      <c r="N59" s="531">
        <v>3</v>
      </c>
      <c r="O59" s="531">
        <v>1</v>
      </c>
      <c r="P59" s="531">
        <v>3</v>
      </c>
      <c r="Q59" s="531">
        <v>1</v>
      </c>
      <c r="R59" s="531"/>
      <c r="S59" s="531">
        <v>1</v>
      </c>
      <c r="T59" s="531">
        <v>3</v>
      </c>
      <c r="U59" s="531"/>
      <c r="V59" s="531"/>
      <c r="W59" s="531"/>
      <c r="X59" s="531"/>
      <c r="Y59" s="531"/>
      <c r="Z59" s="531"/>
      <c r="AA59" s="531"/>
      <c r="AB59" s="531"/>
      <c r="AC59" s="532"/>
      <c r="AD59" s="532"/>
      <c r="AE59" s="532"/>
      <c r="AF59" s="532"/>
      <c r="AG59" s="532"/>
      <c r="AH59" s="532"/>
      <c r="AI59" s="532"/>
      <c r="AJ59" s="532"/>
      <c r="AK59" s="532"/>
      <c r="AL59" s="532"/>
      <c r="AM59" s="532"/>
      <c r="AN59" s="532"/>
      <c r="AO59" s="532"/>
      <c r="AP59" s="532">
        <f>IF(Table_NFI[[#This Row],[Winter Clothes Adult]]+Table_NFI[[#This Row],[Winter Clothes Children]]+Table_NFI[[#This Row],[Winter Items Other]]+Table_NFI[[#This Row],[Winter Blanket]]&gt;0,1,0)</f>
        <v>0</v>
      </c>
      <c r="AQ59" s="532"/>
      <c r="AR59" s="532"/>
      <c r="AS59" s="532"/>
      <c r="AT59" s="532"/>
      <c r="AU59" s="532"/>
      <c r="AV59" s="532"/>
      <c r="AW59" s="532"/>
      <c r="AX59" s="203" t="str">
        <f>IFERROR(VLOOKUP(Table_NFI[[#This Row],[Location]],CL,2,0),"")</f>
        <v>MMR001CMP037</v>
      </c>
      <c r="DS59" s="181"/>
    </row>
    <row r="60" spans="2:123" ht="18.75" hidden="1" customHeight="1" x14ac:dyDescent="0.3">
      <c r="B60" s="530">
        <v>42860</v>
      </c>
      <c r="C60" s="530" t="str">
        <f>MONTH(Table_NFI[[#This Row],[Distribution Date]]) &amp; "/" &amp; YEAR(Table_NFI[[#This Row],[Distribution Date]])</f>
        <v>5/2017</v>
      </c>
      <c r="D60" s="196" t="s">
        <v>420</v>
      </c>
      <c r="E60" s="196" t="s">
        <v>462</v>
      </c>
      <c r="F60" s="196" t="s">
        <v>378</v>
      </c>
      <c r="G60" s="196" t="s">
        <v>309</v>
      </c>
      <c r="H60" s="196" t="s">
        <v>342</v>
      </c>
      <c r="I60" s="181"/>
      <c r="J60" s="531"/>
      <c r="K60" s="531"/>
      <c r="L60" s="531">
        <v>1</v>
      </c>
      <c r="M60" s="531">
        <v>1</v>
      </c>
      <c r="N60" s="531">
        <v>2</v>
      </c>
      <c r="O60" s="531">
        <v>1</v>
      </c>
      <c r="P60" s="531">
        <v>2</v>
      </c>
      <c r="Q60" s="531">
        <v>1</v>
      </c>
      <c r="R60" s="531"/>
      <c r="S60" s="531">
        <v>1</v>
      </c>
      <c r="T60" s="531">
        <v>3</v>
      </c>
      <c r="U60" s="531"/>
      <c r="V60" s="531"/>
      <c r="W60" s="531"/>
      <c r="X60" s="531"/>
      <c r="Y60" s="531"/>
      <c r="Z60" s="531"/>
      <c r="AA60" s="531"/>
      <c r="AB60" s="531"/>
      <c r="AC60" s="532"/>
      <c r="AD60" s="532"/>
      <c r="AE60" s="532"/>
      <c r="AF60" s="532"/>
      <c r="AG60" s="532"/>
      <c r="AH60" s="532"/>
      <c r="AI60" s="532"/>
      <c r="AJ60" s="532"/>
      <c r="AK60" s="532"/>
      <c r="AL60" s="532"/>
      <c r="AM60" s="532"/>
      <c r="AN60" s="532"/>
      <c r="AO60" s="532"/>
      <c r="AP60" s="532">
        <f>IF(Table_NFI[[#This Row],[Winter Clothes Adult]]+Table_NFI[[#This Row],[Winter Clothes Children]]+Table_NFI[[#This Row],[Winter Items Other]]+Table_NFI[[#This Row],[Winter Blanket]]&gt;0,1,0)</f>
        <v>0</v>
      </c>
      <c r="AQ60" s="532"/>
      <c r="AR60" s="532"/>
      <c r="AS60" s="532"/>
      <c r="AT60" s="532"/>
      <c r="AU60" s="532"/>
      <c r="AV60" s="532"/>
      <c r="AW60" s="532"/>
      <c r="AX60" s="203" t="str">
        <f>IFERROR(VLOOKUP(Table_NFI[[#This Row],[Location]],CL,2,0),"")</f>
        <v>MMR001CMP033</v>
      </c>
      <c r="DS60" s="181"/>
    </row>
    <row r="61" spans="2:123" ht="18.75" hidden="1" customHeight="1" x14ac:dyDescent="0.3">
      <c r="B61" s="530">
        <v>42860</v>
      </c>
      <c r="C61" s="530" t="str">
        <f>MONTH(Table_NFI[[#This Row],[Distribution Date]]) &amp; "/" &amp; YEAR(Table_NFI[[#This Row],[Distribution Date]])</f>
        <v>5/2017</v>
      </c>
      <c r="D61" s="196" t="s">
        <v>420</v>
      </c>
      <c r="E61" s="196" t="s">
        <v>462</v>
      </c>
      <c r="F61" s="196" t="s">
        <v>378</v>
      </c>
      <c r="G61" s="196" t="s">
        <v>309</v>
      </c>
      <c r="H61" s="196" t="s">
        <v>315</v>
      </c>
      <c r="I61" s="181"/>
      <c r="J61" s="531"/>
      <c r="K61" s="531"/>
      <c r="L61" s="531">
        <v>2</v>
      </c>
      <c r="M61" s="531">
        <v>2</v>
      </c>
      <c r="N61" s="531">
        <v>7</v>
      </c>
      <c r="O61" s="531">
        <v>6</v>
      </c>
      <c r="P61" s="531">
        <v>7</v>
      </c>
      <c r="Q61" s="531">
        <v>2</v>
      </c>
      <c r="R61" s="531"/>
      <c r="S61" s="531">
        <v>2</v>
      </c>
      <c r="T61" s="531">
        <v>9</v>
      </c>
      <c r="U61" s="531"/>
      <c r="V61" s="531"/>
      <c r="W61" s="531"/>
      <c r="X61" s="531"/>
      <c r="Y61" s="531"/>
      <c r="Z61" s="531"/>
      <c r="AA61" s="531"/>
      <c r="AB61" s="531"/>
      <c r="AC61" s="532"/>
      <c r="AD61" s="532"/>
      <c r="AE61" s="532"/>
      <c r="AF61" s="532"/>
      <c r="AG61" s="532"/>
      <c r="AH61" s="532"/>
      <c r="AI61" s="532"/>
      <c r="AJ61" s="532"/>
      <c r="AK61" s="532"/>
      <c r="AL61" s="532"/>
      <c r="AM61" s="532"/>
      <c r="AN61" s="532"/>
      <c r="AO61" s="532"/>
      <c r="AP61" s="532">
        <f>IF(Table_NFI[[#This Row],[Winter Clothes Adult]]+Table_NFI[[#This Row],[Winter Clothes Children]]+Table_NFI[[#This Row],[Winter Items Other]]+Table_NFI[[#This Row],[Winter Blanket]]&gt;0,1,0)</f>
        <v>0</v>
      </c>
      <c r="AQ61" s="532"/>
      <c r="AR61" s="532"/>
      <c r="AS61" s="532"/>
      <c r="AT61" s="532"/>
      <c r="AU61" s="532"/>
      <c r="AV61" s="532"/>
      <c r="AW61" s="532"/>
      <c r="AX61" s="203" t="str">
        <f>IFERROR(VLOOKUP(Table_NFI[[#This Row],[Location]],CL,2,0),"")</f>
        <v>MMR001CMP038</v>
      </c>
      <c r="DS61" s="181"/>
    </row>
    <row r="62" spans="2:123" ht="18.75" hidden="1" customHeight="1" x14ac:dyDescent="0.3">
      <c r="B62" s="530">
        <v>42865</v>
      </c>
      <c r="C62" s="530" t="str">
        <f>MONTH(Table_NFI[[#This Row],[Distribution Date]]) &amp; "/" &amp; YEAR(Table_NFI[[#This Row],[Distribution Date]])</f>
        <v>5/2017</v>
      </c>
      <c r="D62" s="196" t="s">
        <v>1256</v>
      </c>
      <c r="E62" s="196" t="s">
        <v>1256</v>
      </c>
      <c r="F62" s="196" t="s">
        <v>378</v>
      </c>
      <c r="G62" s="196" t="s">
        <v>5</v>
      </c>
      <c r="H62" s="196" t="s">
        <v>1269</v>
      </c>
      <c r="I62" s="181"/>
      <c r="J62" s="531"/>
      <c r="K62" s="531"/>
      <c r="L62" s="531"/>
      <c r="M62" s="531"/>
      <c r="N62" s="531">
        <v>54</v>
      </c>
      <c r="O62" s="531">
        <v>6</v>
      </c>
      <c r="P62" s="531">
        <v>108</v>
      </c>
      <c r="Q62" s="531">
        <v>54</v>
      </c>
      <c r="R62" s="531"/>
      <c r="S62" s="531"/>
      <c r="T62" s="531">
        <v>54</v>
      </c>
      <c r="U62" s="531"/>
      <c r="V62" s="531"/>
      <c r="W62" s="531"/>
      <c r="X62" s="531"/>
      <c r="Y62" s="531"/>
      <c r="Z62" s="531"/>
      <c r="AA62" s="531"/>
      <c r="AB62" s="531"/>
      <c r="AC62" s="532"/>
      <c r="AD62" s="532"/>
      <c r="AE62" s="532"/>
      <c r="AF62" s="532"/>
      <c r="AG62" s="532"/>
      <c r="AH62" s="532"/>
      <c r="AI62" s="532"/>
      <c r="AJ62" s="532"/>
      <c r="AK62" s="532"/>
      <c r="AL62" s="532"/>
      <c r="AM62" s="532"/>
      <c r="AN62" s="532"/>
      <c r="AO62" s="532"/>
      <c r="AP62" s="532">
        <f>IF(Table_NFI[[#This Row],[Winter Clothes Adult]]+Table_NFI[[#This Row],[Winter Clothes Children]]+Table_NFI[[#This Row],[Winter Items Other]]+Table_NFI[[#This Row],[Winter Blanket]]&gt;0,1,0)</f>
        <v>0</v>
      </c>
      <c r="AQ62" s="532"/>
      <c r="AR62" s="532"/>
      <c r="AS62" s="532"/>
      <c r="AT62" s="532"/>
      <c r="AU62" s="532"/>
      <c r="AV62" s="532"/>
      <c r="AW62" s="532"/>
      <c r="AX62" s="203" t="str">
        <f>IFERROR(VLOOKUP(Table_NFI[[#This Row],[Location]],CL,2,0),"")</f>
        <v/>
      </c>
      <c r="AY62" s="181" t="s">
        <v>1270</v>
      </c>
      <c r="DS62" s="181"/>
    </row>
    <row r="63" spans="2:123" ht="18.75" hidden="1" customHeight="1" x14ac:dyDescent="0.3">
      <c r="B63" s="530">
        <v>42867</v>
      </c>
      <c r="C63" s="530" t="str">
        <f>MONTH(Table_NFI[[#This Row],[Distribution Date]]) &amp; "/" &amp; YEAR(Table_NFI[[#This Row],[Distribution Date]])</f>
        <v>5/2017</v>
      </c>
      <c r="D63" s="195" t="s">
        <v>1256</v>
      </c>
      <c r="E63" s="196" t="s">
        <v>1256</v>
      </c>
      <c r="F63" s="196" t="s">
        <v>378</v>
      </c>
      <c r="G63" s="196" t="s">
        <v>151</v>
      </c>
      <c r="H63" s="195" t="s">
        <v>801</v>
      </c>
      <c r="I63" s="197"/>
      <c r="J63" s="531"/>
      <c r="K63" s="531"/>
      <c r="L63" s="531"/>
      <c r="M63" s="531"/>
      <c r="N63" s="531"/>
      <c r="O63" s="531"/>
      <c r="P63" s="531">
        <v>350</v>
      </c>
      <c r="Q63" s="531">
        <v>38</v>
      </c>
      <c r="R63" s="531"/>
      <c r="S63" s="531"/>
      <c r="T63" s="531">
        <v>175</v>
      </c>
      <c r="U63" s="531"/>
      <c r="V63" s="531"/>
      <c r="W63" s="531"/>
      <c r="X63" s="531"/>
      <c r="Y63" s="531"/>
      <c r="Z63" s="531"/>
      <c r="AA63" s="531"/>
      <c r="AB63" s="531"/>
      <c r="AC63" s="532"/>
      <c r="AD63" s="532"/>
      <c r="AE63" s="532"/>
      <c r="AF63" s="532"/>
      <c r="AG63" s="532"/>
      <c r="AH63" s="532"/>
      <c r="AI63" s="532"/>
      <c r="AJ63" s="532"/>
      <c r="AK63" s="532"/>
      <c r="AL63" s="532"/>
      <c r="AM63" s="532"/>
      <c r="AN63" s="532"/>
      <c r="AO63" s="532"/>
      <c r="AP63" s="532">
        <f>IF(Table_NFI[[#This Row],[Winter Clothes Adult]]+Table_NFI[[#This Row],[Winter Clothes Children]]+Table_NFI[[#This Row],[Winter Items Other]]+Table_NFI[[#This Row],[Winter Blanket]]&gt;0,1,0)</f>
        <v>0</v>
      </c>
      <c r="AQ63" s="532"/>
      <c r="AR63" s="532"/>
      <c r="AS63" s="532"/>
      <c r="AT63" s="532"/>
      <c r="AU63" s="532"/>
      <c r="AV63" s="532"/>
      <c r="AW63" s="532"/>
      <c r="AX63" s="203" t="str">
        <f>IFERROR(VLOOKUP(Table_NFI[[#This Row],[Location]],CL,2,0),"")</f>
        <v>MMR001CMP213</v>
      </c>
      <c r="AY63" s="197"/>
      <c r="DS63" s="181"/>
    </row>
    <row r="64" spans="2:123" ht="18.75" hidden="1" customHeight="1" x14ac:dyDescent="0.3">
      <c r="B64" s="530">
        <v>42880</v>
      </c>
      <c r="C64" s="530" t="str">
        <f>MONTH(Table_NFI[[#This Row],[Distribution Date]]) &amp; "/" &amp; YEAR(Table_NFI[[#This Row],[Distribution Date]])</f>
        <v>5/2017</v>
      </c>
      <c r="D64" s="195" t="s">
        <v>1256</v>
      </c>
      <c r="E64" s="196" t="s">
        <v>1256</v>
      </c>
      <c r="F64" s="195" t="s">
        <v>506</v>
      </c>
      <c r="G64" s="195" t="s">
        <v>719</v>
      </c>
      <c r="H64" s="195" t="s">
        <v>1058</v>
      </c>
      <c r="I64" s="197"/>
      <c r="J64" s="531"/>
      <c r="K64" s="531"/>
      <c r="L64" s="531"/>
      <c r="M64" s="531"/>
      <c r="N64" s="531">
        <v>57</v>
      </c>
      <c r="O64" s="531"/>
      <c r="P64" s="531"/>
      <c r="Q64" s="531">
        <v>57</v>
      </c>
      <c r="R64" s="531"/>
      <c r="S64" s="531"/>
      <c r="T64" s="531">
        <v>57</v>
      </c>
      <c r="U64" s="531"/>
      <c r="V64" s="531"/>
      <c r="W64" s="531"/>
      <c r="X64" s="531"/>
      <c r="Y64" s="531"/>
      <c r="Z64" s="531"/>
      <c r="AA64" s="531"/>
      <c r="AB64" s="531"/>
      <c r="AC64" s="532"/>
      <c r="AD64" s="532"/>
      <c r="AE64" s="532"/>
      <c r="AF64" s="532"/>
      <c r="AG64" s="532"/>
      <c r="AH64" s="532"/>
      <c r="AI64" s="532"/>
      <c r="AJ64" s="532"/>
      <c r="AK64" s="532"/>
      <c r="AL64" s="532"/>
      <c r="AM64" s="532"/>
      <c r="AN64" s="532"/>
      <c r="AO64" s="532"/>
      <c r="AP64" s="532">
        <f>IF(Table_NFI[[#This Row],[Winter Clothes Adult]]+Table_NFI[[#This Row],[Winter Clothes Children]]+Table_NFI[[#This Row],[Winter Items Other]]+Table_NFI[[#This Row],[Winter Blanket]]&gt;0,1,0)</f>
        <v>0</v>
      </c>
      <c r="AQ64" s="532"/>
      <c r="AR64" s="532"/>
      <c r="AS64" s="532"/>
      <c r="AT64" s="532"/>
      <c r="AU64" s="532"/>
      <c r="AV64" s="532"/>
      <c r="AW64" s="532"/>
      <c r="AX64" s="203" t="str">
        <f>IFERROR(VLOOKUP(Table_NFI[[#This Row],[Location]],CL,2,0),"")</f>
        <v>MMR015CMP218</v>
      </c>
      <c r="AY64" s="197" t="s">
        <v>1271</v>
      </c>
      <c r="DS64" s="181"/>
    </row>
    <row r="65" spans="2:123" ht="18.75" hidden="1" customHeight="1" x14ac:dyDescent="0.3">
      <c r="B65" s="530">
        <v>42881</v>
      </c>
      <c r="C65" s="530" t="str">
        <f>MONTH(Table_NFI[[#This Row],[Distribution Date]]) &amp; "/" &amp; YEAR(Table_NFI[[#This Row],[Distribution Date]])</f>
        <v>5/2017</v>
      </c>
      <c r="D65" s="195" t="s">
        <v>1256</v>
      </c>
      <c r="E65" s="196" t="s">
        <v>1256</v>
      </c>
      <c r="F65" s="195" t="s">
        <v>506</v>
      </c>
      <c r="G65" s="195" t="s">
        <v>146</v>
      </c>
      <c r="H65" s="195" t="s">
        <v>1230</v>
      </c>
      <c r="I65" s="195"/>
      <c r="J65" s="531"/>
      <c r="K65" s="531"/>
      <c r="L65" s="531"/>
      <c r="M65" s="531"/>
      <c r="N65" s="531">
        <v>46</v>
      </c>
      <c r="O65" s="531">
        <v>12</v>
      </c>
      <c r="P65" s="531">
        <v>92</v>
      </c>
      <c r="Q65" s="531">
        <v>46</v>
      </c>
      <c r="R65" s="531"/>
      <c r="S65" s="531"/>
      <c r="T65" s="531">
        <v>46</v>
      </c>
      <c r="U65" s="531"/>
      <c r="V65" s="531"/>
      <c r="W65" s="531"/>
      <c r="X65" s="531"/>
      <c r="Y65" s="531"/>
      <c r="Z65" s="531"/>
      <c r="AA65" s="531"/>
      <c r="AB65" s="531"/>
      <c r="AC65" s="532"/>
      <c r="AD65" s="532"/>
      <c r="AE65" s="532"/>
      <c r="AF65" s="532"/>
      <c r="AG65" s="532"/>
      <c r="AH65" s="532"/>
      <c r="AI65" s="532"/>
      <c r="AJ65" s="532"/>
      <c r="AK65" s="532"/>
      <c r="AL65" s="532"/>
      <c r="AM65" s="532"/>
      <c r="AN65" s="532"/>
      <c r="AO65" s="532"/>
      <c r="AP65" s="532">
        <f>IF(Table_NFI[[#This Row],[Winter Clothes Adult]]+Table_NFI[[#This Row],[Winter Clothes Children]]+Table_NFI[[#This Row],[Winter Items Other]]+Table_NFI[[#This Row],[Winter Blanket]]&gt;0,1,0)</f>
        <v>0</v>
      </c>
      <c r="AQ65" s="532"/>
      <c r="AR65" s="532"/>
      <c r="AS65" s="532"/>
      <c r="AT65" s="532"/>
      <c r="AU65" s="532"/>
      <c r="AV65" s="532"/>
      <c r="AW65" s="532"/>
      <c r="AX65" s="203" t="str">
        <f>IFERROR(VLOOKUP(Table_NFI[[#This Row],[Location]],CL,2,0),"")</f>
        <v>MMR015CMP245</v>
      </c>
      <c r="AY65" s="197" t="s">
        <v>1271</v>
      </c>
      <c r="DS65" s="181"/>
    </row>
    <row r="66" spans="2:123" ht="18.75" hidden="1" customHeight="1" x14ac:dyDescent="0.3">
      <c r="B66" s="530">
        <v>42882</v>
      </c>
      <c r="C66" s="530" t="str">
        <f>MONTH(Table_NFI[[#This Row],[Distribution Date]]) &amp; "/" &amp; YEAR(Table_NFI[[#This Row],[Distribution Date]])</f>
        <v>5/2017</v>
      </c>
      <c r="D66" s="196" t="s">
        <v>1256</v>
      </c>
      <c r="E66" s="196" t="s">
        <v>1256</v>
      </c>
      <c r="F66" s="196" t="s">
        <v>506</v>
      </c>
      <c r="G66" s="196" t="s">
        <v>146</v>
      </c>
      <c r="H66" s="195" t="s">
        <v>1237</v>
      </c>
      <c r="I66" s="195"/>
      <c r="J66" s="531"/>
      <c r="K66" s="531"/>
      <c r="L66" s="531"/>
      <c r="M66" s="531"/>
      <c r="N66" s="531">
        <v>24</v>
      </c>
      <c r="O66" s="531">
        <v>9</v>
      </c>
      <c r="P66" s="531">
        <v>48</v>
      </c>
      <c r="Q66" s="531">
        <v>24</v>
      </c>
      <c r="R66" s="531"/>
      <c r="S66" s="531"/>
      <c r="T66" s="531">
        <v>24</v>
      </c>
      <c r="U66" s="531"/>
      <c r="V66" s="531"/>
      <c r="W66" s="531"/>
      <c r="X66" s="531"/>
      <c r="Y66" s="531"/>
      <c r="Z66" s="531"/>
      <c r="AA66" s="531"/>
      <c r="AB66" s="531"/>
      <c r="AC66" s="532"/>
      <c r="AD66" s="532"/>
      <c r="AE66" s="532"/>
      <c r="AF66" s="532"/>
      <c r="AG66" s="532"/>
      <c r="AH66" s="532"/>
      <c r="AI66" s="532"/>
      <c r="AJ66" s="532"/>
      <c r="AK66" s="532"/>
      <c r="AL66" s="532"/>
      <c r="AM66" s="532"/>
      <c r="AN66" s="532"/>
      <c r="AO66" s="532"/>
      <c r="AP66" s="532">
        <f>IF(Table_NFI[[#This Row],[Winter Clothes Adult]]+Table_NFI[[#This Row],[Winter Clothes Children]]+Table_NFI[[#This Row],[Winter Items Other]]+Table_NFI[[#This Row],[Winter Blanket]]&gt;0,1,0)</f>
        <v>0</v>
      </c>
      <c r="AQ66" s="532"/>
      <c r="AR66" s="532"/>
      <c r="AS66" s="532"/>
      <c r="AT66" s="532"/>
      <c r="AU66" s="532"/>
      <c r="AV66" s="532"/>
      <c r="AW66" s="532"/>
      <c r="AX66" s="203" t="str">
        <f>IFERROR(VLOOKUP(Table_NFI[[#This Row],[Location]],CL,2,0),"")</f>
        <v>MMR015CMP246</v>
      </c>
      <c r="AY66" s="197" t="s">
        <v>1271</v>
      </c>
      <c r="DS66" s="181"/>
    </row>
    <row r="67" spans="2:123" ht="18.75" hidden="1" customHeight="1" x14ac:dyDescent="0.3">
      <c r="B67" s="530">
        <v>42882</v>
      </c>
      <c r="C67" s="530" t="str">
        <f>MONTH(Table_NFI[[#This Row],[Distribution Date]]) &amp; "/" &amp; YEAR(Table_NFI[[#This Row],[Distribution Date]])</f>
        <v>5/2017</v>
      </c>
      <c r="D67" s="196" t="s">
        <v>1256</v>
      </c>
      <c r="E67" s="196" t="s">
        <v>1256</v>
      </c>
      <c r="F67" s="196" t="s">
        <v>506</v>
      </c>
      <c r="G67" s="196" t="s">
        <v>146</v>
      </c>
      <c r="H67" s="195" t="s">
        <v>1230</v>
      </c>
      <c r="I67" s="197"/>
      <c r="J67" s="531"/>
      <c r="K67" s="531"/>
      <c r="L67" s="531"/>
      <c r="M67" s="531"/>
      <c r="N67" s="531"/>
      <c r="O67" s="531">
        <v>24</v>
      </c>
      <c r="P67" s="531"/>
      <c r="Q67" s="531"/>
      <c r="R67" s="531"/>
      <c r="S67" s="531"/>
      <c r="T67" s="531"/>
      <c r="U67" s="531"/>
      <c r="V67" s="531"/>
      <c r="W67" s="531"/>
      <c r="X67" s="531"/>
      <c r="Y67" s="531"/>
      <c r="Z67" s="531"/>
      <c r="AA67" s="531"/>
      <c r="AB67" s="531"/>
      <c r="AC67" s="532"/>
      <c r="AD67" s="532"/>
      <c r="AE67" s="532"/>
      <c r="AF67" s="532"/>
      <c r="AG67" s="532"/>
      <c r="AH67" s="532"/>
      <c r="AI67" s="532"/>
      <c r="AJ67" s="532"/>
      <c r="AK67" s="532"/>
      <c r="AL67" s="532"/>
      <c r="AM67" s="532"/>
      <c r="AN67" s="532"/>
      <c r="AO67" s="532"/>
      <c r="AP67" s="532">
        <f>IF(Table_NFI[[#This Row],[Winter Clothes Adult]]+Table_NFI[[#This Row],[Winter Clothes Children]]+Table_NFI[[#This Row],[Winter Items Other]]+Table_NFI[[#This Row],[Winter Blanket]]&gt;0,1,0)</f>
        <v>0</v>
      </c>
      <c r="AQ67" s="532"/>
      <c r="AR67" s="532"/>
      <c r="AS67" s="532"/>
      <c r="AT67" s="532"/>
      <c r="AU67" s="532"/>
      <c r="AV67" s="532"/>
      <c r="AW67" s="532"/>
      <c r="AX67" s="203" t="str">
        <f>IFERROR(VLOOKUP(Table_NFI[[#This Row],[Location]],CL,2,0),"")</f>
        <v>MMR015CMP245</v>
      </c>
      <c r="AY67" s="197"/>
      <c r="DS67" s="181"/>
    </row>
    <row r="68" spans="2:123" ht="18.75" hidden="1" customHeight="1" x14ac:dyDescent="0.3">
      <c r="B68" s="530">
        <v>42883</v>
      </c>
      <c r="C68" s="530" t="str">
        <f>MONTH(Table_NFI[[#This Row],[Distribution Date]]) &amp; "/" &amp; YEAR(Table_NFI[[#This Row],[Distribution Date]])</f>
        <v>5/2017</v>
      </c>
      <c r="D68" s="196" t="s">
        <v>1256</v>
      </c>
      <c r="E68" s="196" t="s">
        <v>1256</v>
      </c>
      <c r="F68" s="196" t="s">
        <v>506</v>
      </c>
      <c r="G68" s="196" t="s">
        <v>146</v>
      </c>
      <c r="H68" s="195" t="s">
        <v>1590</v>
      </c>
      <c r="I68" s="195"/>
      <c r="J68" s="531"/>
      <c r="K68" s="531"/>
      <c r="L68" s="531"/>
      <c r="M68" s="531"/>
      <c r="N68" s="531">
        <v>143</v>
      </c>
      <c r="O68" s="531">
        <v>62</v>
      </c>
      <c r="P68" s="531">
        <v>286</v>
      </c>
      <c r="Q68" s="531">
        <v>143</v>
      </c>
      <c r="R68" s="531"/>
      <c r="S68" s="531"/>
      <c r="T68" s="531">
        <v>143</v>
      </c>
      <c r="U68" s="531"/>
      <c r="V68" s="531"/>
      <c r="W68" s="531"/>
      <c r="X68" s="531"/>
      <c r="Y68" s="531"/>
      <c r="Z68" s="531"/>
      <c r="AA68" s="531"/>
      <c r="AB68" s="531"/>
      <c r="AC68" s="532"/>
      <c r="AD68" s="532"/>
      <c r="AE68" s="532"/>
      <c r="AF68" s="532"/>
      <c r="AG68" s="532"/>
      <c r="AH68" s="532"/>
      <c r="AI68" s="532"/>
      <c r="AJ68" s="532"/>
      <c r="AK68" s="532"/>
      <c r="AL68" s="532"/>
      <c r="AM68" s="532"/>
      <c r="AN68" s="532"/>
      <c r="AO68" s="532"/>
      <c r="AP68" s="532">
        <f>IF(Table_NFI[[#This Row],[Winter Clothes Adult]]+Table_NFI[[#This Row],[Winter Clothes Children]]+Table_NFI[[#This Row],[Winter Items Other]]+Table_NFI[[#This Row],[Winter Blanket]]&gt;0,1,0)</f>
        <v>0</v>
      </c>
      <c r="AQ68" s="532"/>
      <c r="AR68" s="532"/>
      <c r="AS68" s="532"/>
      <c r="AT68" s="532"/>
      <c r="AU68" s="532"/>
      <c r="AV68" s="532"/>
      <c r="AW68" s="532"/>
      <c r="AX68" s="203" t="str">
        <f>IFERROR(VLOOKUP(Table_NFI[[#This Row],[Location]],CL,2,0),"")</f>
        <v>MMR015CMP220</v>
      </c>
      <c r="AY68" s="197" t="s">
        <v>1271</v>
      </c>
      <c r="DS68" s="181"/>
    </row>
    <row r="69" spans="2:123" ht="18.75" hidden="1" customHeight="1" x14ac:dyDescent="0.3">
      <c r="B69" s="530">
        <v>42885</v>
      </c>
      <c r="C69" s="530" t="str">
        <f>MONTH(Table_NFI[[#This Row],[Distribution Date]]) &amp; "/" &amp; YEAR(Table_NFI[[#This Row],[Distribution Date]])</f>
        <v>5/2017</v>
      </c>
      <c r="D69" s="196" t="s">
        <v>1256</v>
      </c>
      <c r="E69" s="196" t="s">
        <v>1256</v>
      </c>
      <c r="F69" s="196" t="s">
        <v>506</v>
      </c>
      <c r="G69" s="196" t="s">
        <v>297</v>
      </c>
      <c r="H69" s="195" t="s">
        <v>759</v>
      </c>
      <c r="I69" s="195"/>
      <c r="J69" s="531"/>
      <c r="K69" s="531"/>
      <c r="L69" s="531"/>
      <c r="M69" s="531"/>
      <c r="N69" s="531">
        <v>46</v>
      </c>
      <c r="O69" s="531">
        <v>9</v>
      </c>
      <c r="P69" s="531">
        <v>46</v>
      </c>
      <c r="Q69" s="531">
        <v>46</v>
      </c>
      <c r="R69" s="531"/>
      <c r="S69" s="531"/>
      <c r="T69" s="531">
        <v>46</v>
      </c>
      <c r="U69" s="531"/>
      <c r="V69" s="531"/>
      <c r="W69" s="531"/>
      <c r="X69" s="531"/>
      <c r="Y69" s="531"/>
      <c r="Z69" s="531"/>
      <c r="AA69" s="531"/>
      <c r="AB69" s="531"/>
      <c r="AC69" s="532"/>
      <c r="AD69" s="532"/>
      <c r="AE69" s="532"/>
      <c r="AF69" s="532"/>
      <c r="AG69" s="532"/>
      <c r="AH69" s="532"/>
      <c r="AI69" s="532"/>
      <c r="AJ69" s="532"/>
      <c r="AK69" s="532"/>
      <c r="AL69" s="532"/>
      <c r="AM69" s="532"/>
      <c r="AN69" s="532"/>
      <c r="AO69" s="532"/>
      <c r="AP69" s="532">
        <f>IF(Table_NFI[[#This Row],[Winter Clothes Adult]]+Table_NFI[[#This Row],[Winter Clothes Children]]+Table_NFI[[#This Row],[Winter Items Other]]+Table_NFI[[#This Row],[Winter Blanket]]&gt;0,1,0)</f>
        <v>0</v>
      </c>
      <c r="AQ69" s="532"/>
      <c r="AR69" s="532"/>
      <c r="AS69" s="532"/>
      <c r="AT69" s="532"/>
      <c r="AU69" s="532"/>
      <c r="AV69" s="532"/>
      <c r="AW69" s="532"/>
      <c r="AX69" s="203" t="str">
        <f>IFERROR(VLOOKUP(Table_NFI[[#This Row],[Location]],CL,2,0),"")</f>
        <v>MMR015CMP014</v>
      </c>
      <c r="AY69" s="197" t="s">
        <v>1271</v>
      </c>
      <c r="DS69" s="181"/>
    </row>
    <row r="70" spans="2:123" ht="18.75" hidden="1" customHeight="1" x14ac:dyDescent="0.3">
      <c r="B70" s="530">
        <v>42885</v>
      </c>
      <c r="C70" s="530" t="str">
        <f>MONTH(Table_NFI[[#This Row],[Distribution Date]]) &amp; "/" &amp; YEAR(Table_NFI[[#This Row],[Distribution Date]])</f>
        <v>5/2017</v>
      </c>
      <c r="D70" s="196" t="s">
        <v>1256</v>
      </c>
      <c r="E70" s="196" t="s">
        <v>1256</v>
      </c>
      <c r="F70" s="196" t="s">
        <v>506</v>
      </c>
      <c r="G70" s="196" t="s">
        <v>297</v>
      </c>
      <c r="H70" s="195" t="s">
        <v>1189</v>
      </c>
      <c r="I70" s="195"/>
      <c r="J70" s="531"/>
      <c r="K70" s="531"/>
      <c r="L70" s="531"/>
      <c r="M70" s="531"/>
      <c r="N70" s="531">
        <v>25</v>
      </c>
      <c r="O70" s="531">
        <v>5</v>
      </c>
      <c r="P70" s="531">
        <v>25</v>
      </c>
      <c r="Q70" s="531">
        <v>25</v>
      </c>
      <c r="R70" s="531"/>
      <c r="S70" s="531"/>
      <c r="T70" s="531">
        <v>25</v>
      </c>
      <c r="U70" s="531"/>
      <c r="V70" s="531"/>
      <c r="W70" s="531"/>
      <c r="X70" s="531"/>
      <c r="Y70" s="531"/>
      <c r="Z70" s="531"/>
      <c r="AA70" s="531"/>
      <c r="AB70" s="531"/>
      <c r="AC70" s="532"/>
      <c r="AD70" s="532"/>
      <c r="AE70" s="532"/>
      <c r="AF70" s="532"/>
      <c r="AG70" s="532"/>
      <c r="AH70" s="532"/>
      <c r="AI70" s="532"/>
      <c r="AJ70" s="532"/>
      <c r="AK70" s="532"/>
      <c r="AL70" s="532"/>
      <c r="AM70" s="532"/>
      <c r="AN70" s="532"/>
      <c r="AO70" s="532"/>
      <c r="AP70" s="532">
        <f>IF(Table_NFI[[#This Row],[Winter Clothes Adult]]+Table_NFI[[#This Row],[Winter Clothes Children]]+Table_NFI[[#This Row],[Winter Items Other]]+Table_NFI[[#This Row],[Winter Blanket]]&gt;0,1,0)</f>
        <v>0</v>
      </c>
      <c r="AQ70" s="532"/>
      <c r="AR70" s="532"/>
      <c r="AS70" s="532"/>
      <c r="AT70" s="532"/>
      <c r="AU70" s="532"/>
      <c r="AV70" s="532"/>
      <c r="AW70" s="532"/>
      <c r="AX70" s="203" t="str">
        <f>IFERROR(VLOOKUP(Table_NFI[[#This Row],[Location]],CL,2,0),"")</f>
        <v>MMR015CMP232</v>
      </c>
      <c r="AY70" s="197" t="s">
        <v>1271</v>
      </c>
      <c r="DS70" s="181"/>
    </row>
    <row r="71" spans="2:123" ht="18.75" hidden="1" customHeight="1" x14ac:dyDescent="0.3">
      <c r="B71" s="530">
        <v>42885</v>
      </c>
      <c r="C71" s="530" t="str">
        <f>MONTH(Table_NFI[[#This Row],[Distribution Date]]) &amp; "/" &amp; YEAR(Table_NFI[[#This Row],[Distribution Date]])</f>
        <v>5/2017</v>
      </c>
      <c r="D71" s="196" t="s">
        <v>1256</v>
      </c>
      <c r="E71" s="196" t="s">
        <v>1256</v>
      </c>
      <c r="F71" s="196" t="s">
        <v>506</v>
      </c>
      <c r="G71" s="196" t="s">
        <v>297</v>
      </c>
      <c r="H71" s="195" t="s">
        <v>1135</v>
      </c>
      <c r="I71" s="195"/>
      <c r="J71" s="531"/>
      <c r="K71" s="531"/>
      <c r="L71" s="531"/>
      <c r="M71" s="531"/>
      <c r="N71" s="531">
        <v>16</v>
      </c>
      <c r="O71" s="531">
        <v>3</v>
      </c>
      <c r="P71" s="531">
        <v>16</v>
      </c>
      <c r="Q71" s="531">
        <v>16</v>
      </c>
      <c r="R71" s="531"/>
      <c r="S71" s="531"/>
      <c r="T71" s="531">
        <v>16</v>
      </c>
      <c r="U71" s="531"/>
      <c r="V71" s="531"/>
      <c r="W71" s="531"/>
      <c r="X71" s="531"/>
      <c r="Y71" s="531"/>
      <c r="Z71" s="531"/>
      <c r="AA71" s="531"/>
      <c r="AB71" s="531"/>
      <c r="AC71" s="532"/>
      <c r="AD71" s="532"/>
      <c r="AE71" s="532"/>
      <c r="AF71" s="532"/>
      <c r="AG71" s="532"/>
      <c r="AH71" s="532"/>
      <c r="AI71" s="532"/>
      <c r="AJ71" s="532"/>
      <c r="AK71" s="532"/>
      <c r="AL71" s="532"/>
      <c r="AM71" s="532"/>
      <c r="AN71" s="532"/>
      <c r="AO71" s="532"/>
      <c r="AP71" s="532">
        <f>IF(Table_NFI[[#This Row],[Winter Clothes Adult]]+Table_NFI[[#This Row],[Winter Clothes Children]]+Table_NFI[[#This Row],[Winter Items Other]]+Table_NFI[[#This Row],[Winter Blanket]]&gt;0,1,0)</f>
        <v>0</v>
      </c>
      <c r="AQ71" s="532"/>
      <c r="AR71" s="532"/>
      <c r="AS71" s="532"/>
      <c r="AT71" s="532"/>
      <c r="AU71" s="532"/>
      <c r="AV71" s="532"/>
      <c r="AW71" s="532"/>
      <c r="AX71" s="203" t="str">
        <f>IFERROR(VLOOKUP(Table_NFI[[#This Row],[Location]],CL,2,0),"")</f>
        <v>MMR015CMP221</v>
      </c>
      <c r="AY71" s="197" t="s">
        <v>1271</v>
      </c>
      <c r="DS71" s="181"/>
    </row>
    <row r="72" spans="2:123" ht="18.75" hidden="1" customHeight="1" x14ac:dyDescent="0.3">
      <c r="B72" s="530">
        <v>42885</v>
      </c>
      <c r="C72" s="530" t="str">
        <f>MONTH(Table_NFI[[#This Row],[Distribution Date]]) &amp; "/" &amp; YEAR(Table_NFI[[#This Row],[Distribution Date]])</f>
        <v>5/2017</v>
      </c>
      <c r="D72" s="196" t="s">
        <v>1256</v>
      </c>
      <c r="E72" s="196" t="s">
        <v>1256</v>
      </c>
      <c r="F72" s="196" t="s">
        <v>506</v>
      </c>
      <c r="G72" s="196" t="s">
        <v>297</v>
      </c>
      <c r="H72" s="195" t="s">
        <v>1273</v>
      </c>
      <c r="I72" s="195"/>
      <c r="J72" s="531"/>
      <c r="K72" s="531"/>
      <c r="L72" s="531"/>
      <c r="M72" s="531"/>
      <c r="N72" s="531">
        <v>60</v>
      </c>
      <c r="O72" s="531"/>
      <c r="P72" s="531">
        <v>60</v>
      </c>
      <c r="Q72" s="531">
        <v>60</v>
      </c>
      <c r="R72" s="531"/>
      <c r="S72" s="531"/>
      <c r="T72" s="531">
        <v>60</v>
      </c>
      <c r="U72" s="531"/>
      <c r="V72" s="531"/>
      <c r="W72" s="531"/>
      <c r="X72" s="531"/>
      <c r="Y72" s="531"/>
      <c r="Z72" s="531"/>
      <c r="AA72" s="531"/>
      <c r="AB72" s="531"/>
      <c r="AC72" s="532"/>
      <c r="AD72" s="532"/>
      <c r="AE72" s="532"/>
      <c r="AF72" s="532"/>
      <c r="AG72" s="532"/>
      <c r="AH72" s="532"/>
      <c r="AI72" s="532"/>
      <c r="AJ72" s="532"/>
      <c r="AK72" s="532"/>
      <c r="AL72" s="532"/>
      <c r="AM72" s="532"/>
      <c r="AN72" s="532"/>
      <c r="AO72" s="532"/>
      <c r="AP72" s="532">
        <f>IF(Table_NFI[[#This Row],[Winter Clothes Adult]]+Table_NFI[[#This Row],[Winter Clothes Children]]+Table_NFI[[#This Row],[Winter Items Other]]+Table_NFI[[#This Row],[Winter Blanket]]&gt;0,1,0)</f>
        <v>0</v>
      </c>
      <c r="AQ72" s="532"/>
      <c r="AR72" s="532"/>
      <c r="AS72" s="532"/>
      <c r="AT72" s="532"/>
      <c r="AU72" s="532"/>
      <c r="AV72" s="532"/>
      <c r="AW72" s="532"/>
      <c r="AX72" s="203" t="str">
        <f>IFERROR(VLOOKUP(Table_NFI[[#This Row],[Location]],CL,2,0),"")</f>
        <v>MMR015CMP248</v>
      </c>
      <c r="AY72" s="197" t="s">
        <v>1271</v>
      </c>
      <c r="DS72" s="181"/>
    </row>
    <row r="73" spans="2:123" ht="18.75" hidden="1" customHeight="1" x14ac:dyDescent="0.3">
      <c r="B73" s="536">
        <v>42893</v>
      </c>
      <c r="C73" s="536" t="str">
        <f>MONTH(Table_NFI[[#This Row],[Distribution Date]]) &amp; "/" &amp; YEAR(Table_NFI[[#This Row],[Distribution Date]])</f>
        <v>6/2017</v>
      </c>
      <c r="D73" s="534" t="s">
        <v>1256</v>
      </c>
      <c r="E73" s="534" t="s">
        <v>424</v>
      </c>
      <c r="F73" s="534" t="s">
        <v>378</v>
      </c>
      <c r="G73" s="534" t="s">
        <v>5</v>
      </c>
      <c r="H73" s="534" t="s">
        <v>12</v>
      </c>
      <c r="I73" s="537"/>
      <c r="J73" s="538"/>
      <c r="K73" s="538"/>
      <c r="L73" s="538"/>
      <c r="M73" s="538"/>
      <c r="N73" s="538">
        <v>79</v>
      </c>
      <c r="O73" s="538"/>
      <c r="P73" s="538">
        <v>158</v>
      </c>
      <c r="Q73" s="538">
        <v>79</v>
      </c>
      <c r="R73" s="538"/>
      <c r="S73" s="538"/>
      <c r="T73" s="538">
        <v>79</v>
      </c>
      <c r="U73" s="538"/>
      <c r="V73" s="538"/>
      <c r="W73" s="538"/>
      <c r="X73" s="538"/>
      <c r="Y73" s="538"/>
      <c r="Z73" s="538"/>
      <c r="AA73" s="538"/>
      <c r="AB73" s="538"/>
      <c r="AC73" s="539"/>
      <c r="AD73" s="539"/>
      <c r="AE73" s="539"/>
      <c r="AF73" s="539"/>
      <c r="AG73" s="539"/>
      <c r="AH73" s="539"/>
      <c r="AI73" s="539"/>
      <c r="AJ73" s="539"/>
      <c r="AK73" s="539"/>
      <c r="AL73" s="539"/>
      <c r="AM73" s="539"/>
      <c r="AN73" s="539"/>
      <c r="AO73" s="539"/>
      <c r="AP73" s="539">
        <f>IF(Table_NFI[[#This Row],[Winter Clothes Adult]]+Table_NFI[[#This Row],[Winter Clothes Children]]+Table_NFI[[#This Row],[Winter Items Other]]+Table_NFI[[#This Row],[Winter Blanket]]&gt;0,1,0)</f>
        <v>0</v>
      </c>
      <c r="AQ73" s="539"/>
      <c r="AR73" s="539"/>
      <c r="AS73" s="539"/>
      <c r="AT73" s="539"/>
      <c r="AU73" s="539"/>
      <c r="AV73" s="539"/>
      <c r="AW73" s="539"/>
      <c r="AX73" s="540" t="str">
        <f>IFERROR(VLOOKUP(Table_NFI[[#This Row],[Location]],CL,2,0),"")</f>
        <v>MMR001CMP199</v>
      </c>
      <c r="AY73" s="541"/>
      <c r="DS73" s="181"/>
    </row>
    <row r="74" spans="2:123" ht="18.75" hidden="1" customHeight="1" x14ac:dyDescent="0.3">
      <c r="B74" s="536">
        <v>42900</v>
      </c>
      <c r="C74" s="536" t="str">
        <f>MONTH(Table_NFI[[#This Row],[Distribution Date]]) &amp; "/" &amp; YEAR(Table_NFI[[#This Row],[Distribution Date]])</f>
        <v>6/2017</v>
      </c>
      <c r="D74" s="534" t="s">
        <v>1256</v>
      </c>
      <c r="E74" s="534" t="s">
        <v>424</v>
      </c>
      <c r="F74" s="196" t="s">
        <v>378</v>
      </c>
      <c r="G74" s="196" t="s">
        <v>151</v>
      </c>
      <c r="H74" s="534" t="s">
        <v>909</v>
      </c>
      <c r="I74" s="537"/>
      <c r="J74" s="538"/>
      <c r="K74" s="538"/>
      <c r="L74" s="538"/>
      <c r="M74" s="538"/>
      <c r="N74" s="538">
        <v>143</v>
      </c>
      <c r="O74" s="538"/>
      <c r="P74" s="538">
        <v>27</v>
      </c>
      <c r="Q74" s="538">
        <v>83</v>
      </c>
      <c r="R74" s="538"/>
      <c r="S74" s="538"/>
      <c r="T74" s="538">
        <v>143</v>
      </c>
      <c r="U74" s="538"/>
      <c r="V74" s="538"/>
      <c r="W74" s="538"/>
      <c r="X74" s="538"/>
      <c r="Y74" s="538"/>
      <c r="Z74" s="538">
        <v>167</v>
      </c>
      <c r="AA74" s="538"/>
      <c r="AB74" s="538"/>
      <c r="AC74" s="539"/>
      <c r="AD74" s="539"/>
      <c r="AE74" s="539"/>
      <c r="AF74" s="539"/>
      <c r="AG74" s="539"/>
      <c r="AH74" s="539"/>
      <c r="AI74" s="539"/>
      <c r="AJ74" s="539"/>
      <c r="AK74" s="539"/>
      <c r="AL74" s="539"/>
      <c r="AM74" s="539"/>
      <c r="AN74" s="539"/>
      <c r="AO74" s="539"/>
      <c r="AP74" s="539">
        <f>IF(Table_NFI[[#This Row],[Winter Clothes Adult]]+Table_NFI[[#This Row],[Winter Clothes Children]]+Table_NFI[[#This Row],[Winter Items Other]]+Table_NFI[[#This Row],[Winter Blanket]]&gt;0,1,0)</f>
        <v>0</v>
      </c>
      <c r="AQ74" s="539"/>
      <c r="AR74" s="539"/>
      <c r="AS74" s="539"/>
      <c r="AT74" s="539"/>
      <c r="AU74" s="539"/>
      <c r="AV74" s="539"/>
      <c r="AW74" s="539"/>
      <c r="AX74" s="540" t="str">
        <f>IFERROR(VLOOKUP(Table_NFI[[#This Row],[Location]],CL,2,0),"")</f>
        <v>MMR001CMP228</v>
      </c>
      <c r="AY74" s="541"/>
      <c r="DS74" s="181"/>
    </row>
    <row r="75" spans="2:123" ht="18.75" hidden="1" customHeight="1" x14ac:dyDescent="0.3">
      <c r="B75" s="536">
        <v>42900</v>
      </c>
      <c r="C75" s="536" t="str">
        <f>MONTH(Table_NFI[[#This Row],[Distribution Date]]) &amp; "/" &amp; YEAR(Table_NFI[[#This Row],[Distribution Date]])</f>
        <v>6/2017</v>
      </c>
      <c r="D75" s="534" t="s">
        <v>1256</v>
      </c>
      <c r="E75" s="534" t="s">
        <v>424</v>
      </c>
      <c r="F75" s="196" t="s">
        <v>378</v>
      </c>
      <c r="G75" s="196" t="s">
        <v>151</v>
      </c>
      <c r="H75" s="534" t="s">
        <v>160</v>
      </c>
      <c r="I75" s="537"/>
      <c r="J75" s="538"/>
      <c r="K75" s="538"/>
      <c r="L75" s="538"/>
      <c r="M75" s="538"/>
      <c r="N75" s="538">
        <v>40</v>
      </c>
      <c r="O75" s="538"/>
      <c r="P75" s="538"/>
      <c r="Q75" s="538"/>
      <c r="R75" s="538"/>
      <c r="S75" s="538"/>
      <c r="T75" s="538">
        <v>39</v>
      </c>
      <c r="U75" s="538"/>
      <c r="V75" s="538"/>
      <c r="W75" s="538"/>
      <c r="X75" s="538"/>
      <c r="Y75" s="538"/>
      <c r="Z75" s="538">
        <v>139</v>
      </c>
      <c r="AA75" s="538"/>
      <c r="AB75" s="538"/>
      <c r="AC75" s="539"/>
      <c r="AD75" s="539"/>
      <c r="AE75" s="539"/>
      <c r="AF75" s="539"/>
      <c r="AG75" s="539"/>
      <c r="AH75" s="539"/>
      <c r="AI75" s="539"/>
      <c r="AJ75" s="539"/>
      <c r="AK75" s="539"/>
      <c r="AL75" s="539"/>
      <c r="AM75" s="539"/>
      <c r="AN75" s="539"/>
      <c r="AO75" s="539"/>
      <c r="AP75" s="539">
        <f>IF(Table_NFI[[#This Row],[Winter Clothes Adult]]+Table_NFI[[#This Row],[Winter Clothes Children]]+Table_NFI[[#This Row],[Winter Items Other]]+Table_NFI[[#This Row],[Winter Blanket]]&gt;0,1,0)</f>
        <v>0</v>
      </c>
      <c r="AQ75" s="539"/>
      <c r="AR75" s="539"/>
      <c r="AS75" s="539"/>
      <c r="AT75" s="539"/>
      <c r="AU75" s="539"/>
      <c r="AV75" s="539"/>
      <c r="AW75" s="539"/>
      <c r="AX75" s="540" t="str">
        <f>IFERROR(VLOOKUP(Table_NFI[[#This Row],[Location]],CL,2,0),"")</f>
        <v>MMR001CMP133</v>
      </c>
      <c r="AY75" s="541"/>
      <c r="DS75" s="181"/>
    </row>
    <row r="76" spans="2:123" ht="18.75" hidden="1" customHeight="1" x14ac:dyDescent="0.3">
      <c r="B76" s="542">
        <v>42903</v>
      </c>
      <c r="C76" s="542" t="str">
        <f>MONTH(Table_NFI[[#This Row],[Distribution Date]]) &amp; "/" &amp; YEAR(Table_NFI[[#This Row],[Distribution Date]])</f>
        <v>6/2017</v>
      </c>
      <c r="D76" s="534" t="s">
        <v>778</v>
      </c>
      <c r="E76" s="196"/>
      <c r="F76" s="196" t="s">
        <v>378</v>
      </c>
      <c r="G76" s="196" t="s">
        <v>1134</v>
      </c>
      <c r="H76" s="195" t="s">
        <v>1134</v>
      </c>
      <c r="I76" s="537">
        <v>288</v>
      </c>
      <c r="J76" s="538"/>
      <c r="K76" s="538"/>
      <c r="L76" s="538"/>
      <c r="M76" s="538"/>
      <c r="N76" s="538"/>
      <c r="O76" s="538"/>
      <c r="P76" s="538"/>
      <c r="Q76" s="538"/>
      <c r="R76" s="538"/>
      <c r="S76" s="538"/>
      <c r="T76" s="538"/>
      <c r="U76" s="538"/>
      <c r="V76" s="538"/>
      <c r="W76" s="538"/>
      <c r="X76" s="538"/>
      <c r="Y76" s="538"/>
      <c r="Z76" s="538"/>
      <c r="AA76" s="538"/>
      <c r="AB76" s="538"/>
      <c r="AC76" s="539"/>
      <c r="AD76" s="539"/>
      <c r="AE76" s="539"/>
      <c r="AF76" s="539"/>
      <c r="AG76" s="539"/>
      <c r="AH76" s="539"/>
      <c r="AI76" s="539"/>
      <c r="AJ76" s="539"/>
      <c r="AK76" s="539"/>
      <c r="AL76" s="539"/>
      <c r="AM76" s="539"/>
      <c r="AN76" s="539"/>
      <c r="AO76" s="539"/>
      <c r="AP76" s="539">
        <f>IF(Table_NFI[[#This Row],[Winter Clothes Adult]]+Table_NFI[[#This Row],[Winter Clothes Children]]+Table_NFI[[#This Row],[Winter Items Other]]+Table_NFI[[#This Row],[Winter Blanket]]&gt;0,1,0)</f>
        <v>0</v>
      </c>
      <c r="AQ76" s="539"/>
      <c r="AR76" s="539"/>
      <c r="AS76" s="539"/>
      <c r="AT76" s="539"/>
      <c r="AU76" s="539"/>
      <c r="AV76" s="539"/>
      <c r="AW76" s="539"/>
      <c r="AX76" s="540" t="str">
        <f>IFERROR(VLOOKUP(Table_NFI[[#This Row],[Location]],CL,2,0),"")</f>
        <v/>
      </c>
      <c r="AY76" s="534" t="s">
        <v>1374</v>
      </c>
      <c r="DS76" s="181"/>
    </row>
    <row r="77" spans="2:123" ht="18.75" hidden="1" customHeight="1" x14ac:dyDescent="0.3">
      <c r="B77" s="542">
        <v>42903</v>
      </c>
      <c r="C77" s="542" t="str">
        <f>MONTH(Table_NFI[[#This Row],[Distribution Date]]) &amp; "/" &amp; YEAR(Table_NFI[[#This Row],[Distribution Date]])</f>
        <v>6/2017</v>
      </c>
      <c r="D77" s="196" t="s">
        <v>825</v>
      </c>
      <c r="E77" s="196"/>
      <c r="F77" s="196" t="s">
        <v>378</v>
      </c>
      <c r="G77" s="196" t="s">
        <v>1134</v>
      </c>
      <c r="H77" s="195" t="s">
        <v>1134</v>
      </c>
      <c r="I77" s="195"/>
      <c r="J77" s="538"/>
      <c r="K77" s="538"/>
      <c r="L77" s="538"/>
      <c r="M77" s="538"/>
      <c r="N77" s="538">
        <v>255</v>
      </c>
      <c r="O77" s="538">
        <v>255</v>
      </c>
      <c r="P77" s="538">
        <v>255</v>
      </c>
      <c r="Q77" s="538"/>
      <c r="R77" s="538"/>
      <c r="S77" s="538"/>
      <c r="T77" s="538"/>
      <c r="U77" s="538"/>
      <c r="V77" s="538"/>
      <c r="W77" s="538"/>
      <c r="X77" s="538"/>
      <c r="Y77" s="538"/>
      <c r="Z77" s="538"/>
      <c r="AA77" s="538"/>
      <c r="AB77" s="538"/>
      <c r="AC77" s="539"/>
      <c r="AD77" s="539"/>
      <c r="AE77" s="539"/>
      <c r="AF77" s="539"/>
      <c r="AG77" s="539"/>
      <c r="AH77" s="539"/>
      <c r="AI77" s="539"/>
      <c r="AJ77" s="539"/>
      <c r="AK77" s="539"/>
      <c r="AL77" s="539"/>
      <c r="AM77" s="539"/>
      <c r="AN77" s="539"/>
      <c r="AO77" s="539"/>
      <c r="AP77" s="539">
        <f>IF(Table_NFI[[#This Row],[Winter Clothes Adult]]+Table_NFI[[#This Row],[Winter Clothes Children]]+Table_NFI[[#This Row],[Winter Items Other]]+Table_NFI[[#This Row],[Winter Blanket]]&gt;0,1,0)</f>
        <v>0</v>
      </c>
      <c r="AQ77" s="539"/>
      <c r="AR77" s="539"/>
      <c r="AS77" s="539"/>
      <c r="AT77" s="539"/>
      <c r="AU77" s="539"/>
      <c r="AV77" s="539"/>
      <c r="AW77" s="539"/>
      <c r="AX77" s="540" t="str">
        <f>IFERROR(VLOOKUP(Table_NFI[[#This Row],[Location]],CL,2,0),"")</f>
        <v/>
      </c>
      <c r="AY77" s="534" t="s">
        <v>1373</v>
      </c>
      <c r="DS77" s="181"/>
    </row>
    <row r="78" spans="2:123" ht="18.75" hidden="1" customHeight="1" x14ac:dyDescent="0.3">
      <c r="B78" s="536">
        <v>42914</v>
      </c>
      <c r="C78" s="536" t="str">
        <f>MONTH(Table_NFI[[#This Row],[Distribution Date]]) &amp; "/" &amp; YEAR(Table_NFI[[#This Row],[Distribution Date]])</f>
        <v>6/2017</v>
      </c>
      <c r="D78" s="534" t="s">
        <v>1256</v>
      </c>
      <c r="E78" s="534" t="s">
        <v>424</v>
      </c>
      <c r="F78" s="534" t="s">
        <v>378</v>
      </c>
      <c r="G78" s="534" t="s">
        <v>5</v>
      </c>
      <c r="H78" s="534" t="s">
        <v>24</v>
      </c>
      <c r="I78" s="537"/>
      <c r="J78" s="538"/>
      <c r="K78" s="538"/>
      <c r="L78" s="538"/>
      <c r="M78" s="538"/>
      <c r="N78" s="538">
        <v>20</v>
      </c>
      <c r="O78" s="538"/>
      <c r="P78" s="538">
        <v>40</v>
      </c>
      <c r="Q78" s="538">
        <v>20</v>
      </c>
      <c r="R78" s="538"/>
      <c r="S78" s="538"/>
      <c r="T78" s="538">
        <v>20</v>
      </c>
      <c r="U78" s="538"/>
      <c r="V78" s="538"/>
      <c r="W78" s="538"/>
      <c r="X78" s="538"/>
      <c r="Y78" s="538"/>
      <c r="Z78" s="538"/>
      <c r="AA78" s="538"/>
      <c r="AB78" s="538"/>
      <c r="AC78" s="539"/>
      <c r="AD78" s="539"/>
      <c r="AE78" s="539"/>
      <c r="AF78" s="539"/>
      <c r="AG78" s="539"/>
      <c r="AH78" s="539"/>
      <c r="AI78" s="539"/>
      <c r="AJ78" s="539"/>
      <c r="AK78" s="539"/>
      <c r="AL78" s="539"/>
      <c r="AM78" s="539"/>
      <c r="AN78" s="539"/>
      <c r="AO78" s="539"/>
      <c r="AP78" s="539">
        <f>IF(Table_NFI[[#This Row],[Winter Clothes Adult]]+Table_NFI[[#This Row],[Winter Clothes Children]]+Table_NFI[[#This Row],[Winter Items Other]]+Table_NFI[[#This Row],[Winter Blanket]]&gt;0,1,0)</f>
        <v>0</v>
      </c>
      <c r="AQ78" s="539"/>
      <c r="AR78" s="539"/>
      <c r="AS78" s="539"/>
      <c r="AT78" s="539"/>
      <c r="AU78" s="539"/>
      <c r="AV78" s="539"/>
      <c r="AW78" s="539"/>
      <c r="AX78" s="540" t="str">
        <f>IFERROR(VLOOKUP(Table_NFI[[#This Row],[Location]],CL,2,0),"")</f>
        <v>MMR001CMP055</v>
      </c>
      <c r="AY78" s="541"/>
      <c r="DS78" s="181"/>
    </row>
    <row r="79" spans="2:123" ht="18.75" hidden="1" customHeight="1" x14ac:dyDescent="0.3">
      <c r="B79" s="536">
        <v>42915</v>
      </c>
      <c r="C79" s="536" t="str">
        <f>MONTH(Table_NFI[[#This Row],[Distribution Date]]) &amp; "/" &amp; YEAR(Table_NFI[[#This Row],[Distribution Date]])</f>
        <v>6/2017</v>
      </c>
      <c r="D79" s="534" t="s">
        <v>1256</v>
      </c>
      <c r="E79" s="534" t="s">
        <v>424</v>
      </c>
      <c r="F79" s="534" t="s">
        <v>378</v>
      </c>
      <c r="G79" s="534" t="s">
        <v>5</v>
      </c>
      <c r="H79" s="534" t="s">
        <v>20</v>
      </c>
      <c r="I79" s="537"/>
      <c r="J79" s="538"/>
      <c r="K79" s="538"/>
      <c r="L79" s="538"/>
      <c r="M79" s="538"/>
      <c r="N79" s="538"/>
      <c r="O79" s="538"/>
      <c r="P79" s="538"/>
      <c r="Q79" s="538">
        <v>22</v>
      </c>
      <c r="R79" s="538"/>
      <c r="S79" s="538"/>
      <c r="T79" s="538"/>
      <c r="U79" s="538"/>
      <c r="V79" s="538"/>
      <c r="W79" s="538"/>
      <c r="X79" s="538"/>
      <c r="Y79" s="538"/>
      <c r="Z79" s="538"/>
      <c r="AA79" s="538"/>
      <c r="AB79" s="538"/>
      <c r="AC79" s="539"/>
      <c r="AD79" s="539"/>
      <c r="AE79" s="539"/>
      <c r="AF79" s="539"/>
      <c r="AG79" s="539"/>
      <c r="AH79" s="539"/>
      <c r="AI79" s="539"/>
      <c r="AJ79" s="539"/>
      <c r="AK79" s="539"/>
      <c r="AL79" s="539"/>
      <c r="AM79" s="539"/>
      <c r="AN79" s="539"/>
      <c r="AO79" s="539"/>
      <c r="AP79" s="539">
        <f>IF(Table_NFI[[#This Row],[Winter Clothes Adult]]+Table_NFI[[#This Row],[Winter Clothes Children]]+Table_NFI[[#This Row],[Winter Items Other]]+Table_NFI[[#This Row],[Winter Blanket]]&gt;0,1,0)</f>
        <v>0</v>
      </c>
      <c r="AQ79" s="539"/>
      <c r="AR79" s="539"/>
      <c r="AS79" s="539"/>
      <c r="AT79" s="539"/>
      <c r="AU79" s="539"/>
      <c r="AV79" s="539"/>
      <c r="AW79" s="539"/>
      <c r="AX79" s="540" t="str">
        <f>IFERROR(VLOOKUP(Table_NFI[[#This Row],[Location]],CL,2,0),"")</f>
        <v>MMR001CMP054</v>
      </c>
      <c r="AY79" s="541"/>
      <c r="DS79" s="181"/>
    </row>
    <row r="80" spans="2:123" ht="18.75" hidden="1" customHeight="1" x14ac:dyDescent="0.3">
      <c r="B80" s="536">
        <v>42915</v>
      </c>
      <c r="C80" s="536" t="str">
        <f>MONTH(Table_NFI[[#This Row],[Distribution Date]]) &amp; "/" &amp; YEAR(Table_NFI[[#This Row],[Distribution Date]])</f>
        <v>6/2017</v>
      </c>
      <c r="D80" s="534" t="s">
        <v>1256</v>
      </c>
      <c r="E80" s="534" t="s">
        <v>424</v>
      </c>
      <c r="F80" s="534" t="s">
        <v>378</v>
      </c>
      <c r="G80" s="534" t="s">
        <v>5</v>
      </c>
      <c r="H80" s="534" t="s">
        <v>26</v>
      </c>
      <c r="I80" s="537"/>
      <c r="J80" s="538"/>
      <c r="K80" s="538"/>
      <c r="L80" s="538"/>
      <c r="M80" s="538"/>
      <c r="N80" s="538"/>
      <c r="O80" s="538"/>
      <c r="P80" s="538"/>
      <c r="Q80" s="538">
        <v>14</v>
      </c>
      <c r="R80" s="538"/>
      <c r="S80" s="538"/>
      <c r="T80" s="538"/>
      <c r="U80" s="538"/>
      <c r="V80" s="538"/>
      <c r="W80" s="538"/>
      <c r="X80" s="538"/>
      <c r="Y80" s="538"/>
      <c r="Z80" s="538"/>
      <c r="AA80" s="538"/>
      <c r="AB80" s="538"/>
      <c r="AC80" s="539"/>
      <c r="AD80" s="539"/>
      <c r="AE80" s="539"/>
      <c r="AF80" s="539"/>
      <c r="AG80" s="539"/>
      <c r="AH80" s="539"/>
      <c r="AI80" s="539"/>
      <c r="AJ80" s="539"/>
      <c r="AK80" s="539"/>
      <c r="AL80" s="539"/>
      <c r="AM80" s="539"/>
      <c r="AN80" s="539"/>
      <c r="AO80" s="539"/>
      <c r="AP80" s="539">
        <f>IF(Table_NFI[[#This Row],[Winter Clothes Adult]]+Table_NFI[[#This Row],[Winter Clothes Children]]+Table_NFI[[#This Row],[Winter Items Other]]+Table_NFI[[#This Row],[Winter Blanket]]&gt;0,1,0)</f>
        <v>0</v>
      </c>
      <c r="AQ80" s="539"/>
      <c r="AR80" s="539"/>
      <c r="AS80" s="539"/>
      <c r="AT80" s="539"/>
      <c r="AU80" s="539"/>
      <c r="AV80" s="539"/>
      <c r="AW80" s="539"/>
      <c r="AX80" s="540" t="str">
        <f>IFERROR(VLOOKUP(Table_NFI[[#This Row],[Location]],CL,2,0),"")</f>
        <v>MMR001CMP053</v>
      </c>
      <c r="AY80" s="541"/>
      <c r="DS80" s="181"/>
    </row>
    <row r="81" spans="2:123" ht="18.75" hidden="1" customHeight="1" x14ac:dyDescent="0.3">
      <c r="B81" s="543">
        <v>42944</v>
      </c>
      <c r="C81" s="543" t="str">
        <f>MONTH(Table_NFI[[#This Row],[Distribution Date]]) &amp; "/" &amp; YEAR(Table_NFI[[#This Row],[Distribution Date]])</f>
        <v>7/2017</v>
      </c>
      <c r="D81" s="534" t="s">
        <v>420</v>
      </c>
      <c r="E81" s="534" t="s">
        <v>462</v>
      </c>
      <c r="F81" s="534" t="s">
        <v>378</v>
      </c>
      <c r="G81" s="534" t="s">
        <v>237</v>
      </c>
      <c r="H81" s="534" t="s">
        <v>1506</v>
      </c>
      <c r="I81" s="537"/>
      <c r="J81" s="538"/>
      <c r="K81" s="538"/>
      <c r="L81" s="538">
        <v>17</v>
      </c>
      <c r="M81" s="538">
        <v>14</v>
      </c>
      <c r="N81" s="538">
        <v>25</v>
      </c>
      <c r="O81" s="538">
        <v>17</v>
      </c>
      <c r="P81" s="538">
        <v>38</v>
      </c>
      <c r="Q81" s="538">
        <v>17</v>
      </c>
      <c r="R81" s="538"/>
      <c r="S81" s="538">
        <v>17</v>
      </c>
      <c r="T81" s="538">
        <v>26</v>
      </c>
      <c r="U81" s="538"/>
      <c r="V81" s="538"/>
      <c r="W81" s="538"/>
      <c r="X81" s="538"/>
      <c r="Y81" s="538">
        <v>17</v>
      </c>
      <c r="Z81" s="538"/>
      <c r="AA81" s="538"/>
      <c r="AB81" s="538">
        <v>17</v>
      </c>
      <c r="AC81" s="539"/>
      <c r="AD81" s="539"/>
      <c r="AE81" s="539"/>
      <c r="AF81" s="539"/>
      <c r="AG81" s="539"/>
      <c r="AH81" s="539"/>
      <c r="AI81" s="539"/>
      <c r="AJ81" s="539"/>
      <c r="AK81" s="539"/>
      <c r="AL81" s="539"/>
      <c r="AM81" s="539"/>
      <c r="AN81" s="539"/>
      <c r="AO81" s="539"/>
      <c r="AP81" s="539">
        <f>IF(Table_NFI[[#This Row],[Winter Clothes Adult]]+Table_NFI[[#This Row],[Winter Clothes Children]]+Table_NFI[[#This Row],[Winter Items Other]]+Table_NFI[[#This Row],[Winter Blanket]]&gt;0,1,0)</f>
        <v>0</v>
      </c>
      <c r="AQ81" s="539"/>
      <c r="AR81" s="539"/>
      <c r="AS81" s="539"/>
      <c r="AT81" s="539"/>
      <c r="AU81" s="539"/>
      <c r="AV81" s="539"/>
      <c r="AW81" s="539"/>
      <c r="AX81" s="540" t="str">
        <f>IFERROR(VLOOKUP(Table_NFI[[#This Row],[Location]],CL,2,0),"")</f>
        <v>MMR001CMP256</v>
      </c>
      <c r="AY81" s="541"/>
      <c r="DS81" s="181"/>
    </row>
    <row r="82" spans="2:123" ht="18.75" hidden="1" customHeight="1" x14ac:dyDescent="0.3">
      <c r="B82" s="543">
        <v>42948</v>
      </c>
      <c r="C82" s="543" t="str">
        <f>MONTH(Table_NFI[[#This Row],[Distribution Date]]) &amp; "/" &amp; YEAR(Table_NFI[[#This Row],[Distribution Date]])</f>
        <v>8/2017</v>
      </c>
      <c r="D82" s="217" t="s">
        <v>1256</v>
      </c>
      <c r="E82" s="196" t="s">
        <v>1256</v>
      </c>
      <c r="F82" s="217" t="s">
        <v>378</v>
      </c>
      <c r="G82" s="195" t="s">
        <v>185</v>
      </c>
      <c r="H82" s="217" t="s">
        <v>190</v>
      </c>
      <c r="I82" s="537"/>
      <c r="J82" s="538"/>
      <c r="K82" s="538"/>
      <c r="L82" s="538"/>
      <c r="M82" s="538"/>
      <c r="N82" s="538"/>
      <c r="O82" s="538">
        <v>2</v>
      </c>
      <c r="P82" s="538"/>
      <c r="Q82" s="538"/>
      <c r="R82" s="538"/>
      <c r="S82" s="538"/>
      <c r="T82" s="538"/>
      <c r="U82" s="538"/>
      <c r="V82" s="538"/>
      <c r="W82" s="538"/>
      <c r="X82" s="538"/>
      <c r="Y82" s="538"/>
      <c r="Z82" s="538"/>
      <c r="AA82" s="538"/>
      <c r="AB82" s="538"/>
      <c r="AC82" s="539"/>
      <c r="AD82" s="539"/>
      <c r="AE82" s="539"/>
      <c r="AF82" s="539"/>
      <c r="AG82" s="539"/>
      <c r="AH82" s="539"/>
      <c r="AI82" s="539"/>
      <c r="AJ82" s="539"/>
      <c r="AK82" s="539"/>
      <c r="AL82" s="539"/>
      <c r="AM82" s="539"/>
      <c r="AN82" s="539"/>
      <c r="AO82" s="539"/>
      <c r="AP82" s="539">
        <f>IF(Table_NFI[[#This Row],[Winter Clothes Adult]]+Table_NFI[[#This Row],[Winter Clothes Children]]+Table_NFI[[#This Row],[Winter Items Other]]+Table_NFI[[#This Row],[Winter Blanket]]&gt;0,1,0)</f>
        <v>0</v>
      </c>
      <c r="AQ82" s="539"/>
      <c r="AR82" s="539"/>
      <c r="AS82" s="539"/>
      <c r="AT82" s="539"/>
      <c r="AU82" s="539"/>
      <c r="AV82" s="539"/>
      <c r="AW82" s="539"/>
      <c r="AX82" s="540" t="str">
        <f>IFERROR(VLOOKUP(Table_NFI[[#This Row],[Location]],CL,2,0),"")</f>
        <v>MMR001CMP070</v>
      </c>
      <c r="AY82" s="541"/>
      <c r="DS82" s="181"/>
    </row>
    <row r="83" spans="2:123" ht="18.75" hidden="1" customHeight="1" x14ac:dyDescent="0.3">
      <c r="B83" s="543">
        <v>42948</v>
      </c>
      <c r="C83" s="543" t="str">
        <f>MONTH(Table_NFI[[#This Row],[Distribution Date]]) &amp; "/" &amp; YEAR(Table_NFI[[#This Row],[Distribution Date]])</f>
        <v>8/2017</v>
      </c>
      <c r="D83" s="217" t="s">
        <v>1256</v>
      </c>
      <c r="E83" s="196" t="s">
        <v>1256</v>
      </c>
      <c r="F83" s="217" t="s">
        <v>378</v>
      </c>
      <c r="G83" s="217" t="s">
        <v>5</v>
      </c>
      <c r="H83" s="217" t="s">
        <v>24</v>
      </c>
      <c r="I83" s="537"/>
      <c r="J83" s="538"/>
      <c r="K83" s="538"/>
      <c r="L83" s="538"/>
      <c r="M83" s="538"/>
      <c r="N83" s="538"/>
      <c r="O83" s="538">
        <v>2</v>
      </c>
      <c r="P83" s="538"/>
      <c r="Q83" s="538"/>
      <c r="R83" s="538"/>
      <c r="S83" s="538"/>
      <c r="T83" s="538"/>
      <c r="U83" s="538"/>
      <c r="V83" s="538"/>
      <c r="W83" s="538"/>
      <c r="X83" s="538"/>
      <c r="Y83" s="538"/>
      <c r="Z83" s="538"/>
      <c r="AA83" s="538"/>
      <c r="AB83" s="538"/>
      <c r="AC83" s="539"/>
      <c r="AD83" s="539"/>
      <c r="AE83" s="539"/>
      <c r="AF83" s="539"/>
      <c r="AG83" s="539"/>
      <c r="AH83" s="539"/>
      <c r="AI83" s="539"/>
      <c r="AJ83" s="539"/>
      <c r="AK83" s="539"/>
      <c r="AL83" s="539"/>
      <c r="AM83" s="539"/>
      <c r="AN83" s="539"/>
      <c r="AO83" s="539"/>
      <c r="AP83" s="539">
        <f>IF(Table_NFI[[#This Row],[Winter Clothes Adult]]+Table_NFI[[#This Row],[Winter Clothes Children]]+Table_NFI[[#This Row],[Winter Items Other]]+Table_NFI[[#This Row],[Winter Blanket]]&gt;0,1,0)</f>
        <v>0</v>
      </c>
      <c r="AQ83" s="539"/>
      <c r="AR83" s="539"/>
      <c r="AS83" s="539"/>
      <c r="AT83" s="539"/>
      <c r="AU83" s="539"/>
      <c r="AV83" s="539"/>
      <c r="AW83" s="539"/>
      <c r="AX83" s="540" t="str">
        <f>IFERROR(VLOOKUP(Table_NFI[[#This Row],[Location]],CL,2,0),"")</f>
        <v>MMR001CMP055</v>
      </c>
      <c r="AY83" s="541"/>
      <c r="DS83" s="181"/>
    </row>
    <row r="84" spans="2:123" ht="18.75" hidden="1" customHeight="1" x14ac:dyDescent="0.3">
      <c r="B84" s="543">
        <v>42954</v>
      </c>
      <c r="C84" s="543" t="str">
        <f>MONTH(Table_NFI[[#This Row],[Distribution Date]]) &amp; "/" &amp; YEAR(Table_NFI[[#This Row],[Distribution Date]])</f>
        <v>8/2017</v>
      </c>
      <c r="D84" s="217" t="s">
        <v>1256</v>
      </c>
      <c r="E84" s="217" t="s">
        <v>424</v>
      </c>
      <c r="F84" s="217" t="s">
        <v>378</v>
      </c>
      <c r="G84" s="196" t="s">
        <v>301</v>
      </c>
      <c r="H84" s="217" t="s">
        <v>1510</v>
      </c>
      <c r="I84" s="537"/>
      <c r="J84" s="538"/>
      <c r="K84" s="538"/>
      <c r="L84" s="538"/>
      <c r="M84" s="538"/>
      <c r="N84" s="538">
        <v>60</v>
      </c>
      <c r="O84" s="538">
        <v>10</v>
      </c>
      <c r="P84" s="538">
        <v>60</v>
      </c>
      <c r="Q84" s="538"/>
      <c r="R84" s="538">
        <v>60</v>
      </c>
      <c r="S84" s="538">
        <v>30</v>
      </c>
      <c r="T84" s="538">
        <v>60</v>
      </c>
      <c r="U84" s="538"/>
      <c r="V84" s="538"/>
      <c r="W84" s="538"/>
      <c r="X84" s="538"/>
      <c r="Y84" s="538"/>
      <c r="Z84" s="538">
        <v>60</v>
      </c>
      <c r="AA84" s="538"/>
      <c r="AB84" s="538"/>
      <c r="AC84" s="539"/>
      <c r="AD84" s="539"/>
      <c r="AE84" s="539"/>
      <c r="AF84" s="539"/>
      <c r="AG84" s="539"/>
      <c r="AH84" s="539"/>
      <c r="AI84" s="539"/>
      <c r="AJ84" s="539"/>
      <c r="AK84" s="539"/>
      <c r="AL84" s="539"/>
      <c r="AM84" s="539"/>
      <c r="AN84" s="539"/>
      <c r="AO84" s="539"/>
      <c r="AP84" s="539">
        <f>IF(Table_NFI[[#This Row],[Winter Clothes Adult]]+Table_NFI[[#This Row],[Winter Clothes Children]]+Table_NFI[[#This Row],[Winter Items Other]]+Table_NFI[[#This Row],[Winter Blanket]]&gt;0,1,0)</f>
        <v>0</v>
      </c>
      <c r="AQ84" s="539"/>
      <c r="AR84" s="539"/>
      <c r="AS84" s="539"/>
      <c r="AT84" s="539"/>
      <c r="AU84" s="539"/>
      <c r="AV84" s="539"/>
      <c r="AW84" s="539"/>
      <c r="AX84" s="540" t="str">
        <f>IFERROR(VLOOKUP(Table_NFI[[#This Row],[Location]],CL,2,0),"")</f>
        <v/>
      </c>
      <c r="AY84" s="541"/>
      <c r="DS84" s="181"/>
    </row>
    <row r="85" spans="2:123" ht="18.75" hidden="1" customHeight="1" x14ac:dyDescent="0.3">
      <c r="B85" s="536">
        <v>42962</v>
      </c>
      <c r="C85" s="536" t="str">
        <f>MONTH(Table_NFI[[#This Row],[Distribution Date]]) &amp; "/" &amp; YEAR(Table_NFI[[#This Row],[Distribution Date]])</f>
        <v>8/2017</v>
      </c>
      <c r="D85" s="534" t="s">
        <v>1375</v>
      </c>
      <c r="E85" s="195" t="s">
        <v>1375</v>
      </c>
      <c r="F85" s="534" t="s">
        <v>378</v>
      </c>
      <c r="G85" s="196" t="s">
        <v>301</v>
      </c>
      <c r="H85" s="534" t="s">
        <v>1519</v>
      </c>
      <c r="I85" s="537"/>
      <c r="J85" s="538"/>
      <c r="K85" s="538"/>
      <c r="L85" s="538"/>
      <c r="M85" s="538"/>
      <c r="N85" s="538">
        <v>10</v>
      </c>
      <c r="O85" s="538"/>
      <c r="P85" s="538">
        <v>10</v>
      </c>
      <c r="Q85" s="538">
        <v>5</v>
      </c>
      <c r="R85" s="538"/>
      <c r="S85" s="538"/>
      <c r="T85" s="538">
        <v>10</v>
      </c>
      <c r="U85" s="538"/>
      <c r="V85" s="538"/>
      <c r="W85" s="538"/>
      <c r="X85" s="538"/>
      <c r="Y85" s="538"/>
      <c r="Z85" s="538"/>
      <c r="AA85" s="538"/>
      <c r="AB85" s="538"/>
      <c r="AC85" s="539"/>
      <c r="AD85" s="539"/>
      <c r="AE85" s="539"/>
      <c r="AF85" s="539"/>
      <c r="AG85" s="539"/>
      <c r="AH85" s="539"/>
      <c r="AI85" s="539"/>
      <c r="AJ85" s="539"/>
      <c r="AK85" s="539"/>
      <c r="AL85" s="539"/>
      <c r="AM85" s="539"/>
      <c r="AN85" s="539"/>
      <c r="AO85" s="539"/>
      <c r="AP85" s="539">
        <f>IF(Table_NFI[[#This Row],[Winter Clothes Adult]]+Table_NFI[[#This Row],[Winter Clothes Children]]+Table_NFI[[#This Row],[Winter Items Other]]+Table_NFI[[#This Row],[Winter Blanket]]&gt;0,1,0)</f>
        <v>0</v>
      </c>
      <c r="AQ85" s="539"/>
      <c r="AR85" s="539"/>
      <c r="AS85" s="539"/>
      <c r="AT85" s="539"/>
      <c r="AU85" s="539"/>
      <c r="AV85" s="539"/>
      <c r="AW85" s="539"/>
      <c r="AX85" s="540" t="str">
        <f>IFERROR(VLOOKUP(Table_NFI[[#This Row],[Location]],CL,2,0),"")</f>
        <v/>
      </c>
      <c r="AY85" s="541"/>
      <c r="DS85" s="181"/>
    </row>
    <row r="86" spans="2:123" ht="18.75" hidden="1" customHeight="1" x14ac:dyDescent="0.3">
      <c r="B86" s="536">
        <v>42962</v>
      </c>
      <c r="C86" s="536" t="str">
        <f>MONTH(Table_NFI[[#This Row],[Distribution Date]]) &amp; "/" &amp; YEAR(Table_NFI[[#This Row],[Distribution Date]])</f>
        <v>8/2017</v>
      </c>
      <c r="D86" s="534" t="s">
        <v>1375</v>
      </c>
      <c r="E86" s="195" t="s">
        <v>1375</v>
      </c>
      <c r="F86" s="534" t="s">
        <v>378</v>
      </c>
      <c r="G86" s="196" t="s">
        <v>301</v>
      </c>
      <c r="H86" s="534" t="s">
        <v>1518</v>
      </c>
      <c r="I86" s="537"/>
      <c r="J86" s="538"/>
      <c r="K86" s="538"/>
      <c r="L86" s="538"/>
      <c r="M86" s="538"/>
      <c r="N86" s="538">
        <v>4</v>
      </c>
      <c r="O86" s="538"/>
      <c r="P86" s="538">
        <v>4</v>
      </c>
      <c r="Q86" s="538">
        <v>2</v>
      </c>
      <c r="R86" s="538"/>
      <c r="S86" s="538"/>
      <c r="T86" s="538">
        <v>4</v>
      </c>
      <c r="U86" s="538"/>
      <c r="V86" s="538"/>
      <c r="W86" s="538"/>
      <c r="X86" s="538"/>
      <c r="Y86" s="538"/>
      <c r="Z86" s="538"/>
      <c r="AA86" s="538"/>
      <c r="AB86" s="538"/>
      <c r="AC86" s="539"/>
      <c r="AD86" s="539"/>
      <c r="AE86" s="539"/>
      <c r="AF86" s="539"/>
      <c r="AG86" s="539"/>
      <c r="AH86" s="539"/>
      <c r="AI86" s="539"/>
      <c r="AJ86" s="539"/>
      <c r="AK86" s="539"/>
      <c r="AL86" s="539"/>
      <c r="AM86" s="539"/>
      <c r="AN86" s="539"/>
      <c r="AO86" s="539"/>
      <c r="AP86" s="539">
        <f>IF(Table_NFI[[#This Row],[Winter Clothes Adult]]+Table_NFI[[#This Row],[Winter Clothes Children]]+Table_NFI[[#This Row],[Winter Items Other]]+Table_NFI[[#This Row],[Winter Blanket]]&gt;0,1,0)</f>
        <v>0</v>
      </c>
      <c r="AQ86" s="539"/>
      <c r="AR86" s="539"/>
      <c r="AS86" s="539"/>
      <c r="AT86" s="539"/>
      <c r="AU86" s="539"/>
      <c r="AV86" s="539"/>
      <c r="AW86" s="539"/>
      <c r="AX86" s="540" t="str">
        <f>IFERROR(VLOOKUP(Table_NFI[[#This Row],[Location]],CL,2,0),"")</f>
        <v/>
      </c>
      <c r="AY86" s="541"/>
      <c r="DS86" s="181"/>
    </row>
    <row r="87" spans="2:123" ht="18.75" hidden="1" customHeight="1" x14ac:dyDescent="0.3">
      <c r="B87" s="543">
        <v>42962</v>
      </c>
      <c r="C87" s="543" t="str">
        <f>MONTH(Table_NFI[[#This Row],[Distribution Date]]) &amp; "/" &amp; YEAR(Table_NFI[[#This Row],[Distribution Date]])</f>
        <v>8/2017</v>
      </c>
      <c r="D87" s="217" t="s">
        <v>1256</v>
      </c>
      <c r="E87" s="217" t="s">
        <v>1256</v>
      </c>
      <c r="F87" s="196" t="s">
        <v>378</v>
      </c>
      <c r="G87" s="196" t="s">
        <v>151</v>
      </c>
      <c r="H87" s="217" t="s">
        <v>811</v>
      </c>
      <c r="I87" s="537"/>
      <c r="J87" s="538"/>
      <c r="K87" s="538"/>
      <c r="L87" s="538"/>
      <c r="M87" s="538"/>
      <c r="N87" s="538"/>
      <c r="O87" s="538"/>
      <c r="P87" s="538"/>
      <c r="Q87" s="538"/>
      <c r="R87" s="538"/>
      <c r="S87" s="538"/>
      <c r="T87" s="538"/>
      <c r="U87" s="538"/>
      <c r="V87" s="538"/>
      <c r="W87" s="538"/>
      <c r="X87" s="538"/>
      <c r="Y87" s="538"/>
      <c r="Z87" s="538">
        <v>166</v>
      </c>
      <c r="AA87" s="538"/>
      <c r="AB87" s="538"/>
      <c r="AC87" s="539"/>
      <c r="AD87" s="539"/>
      <c r="AE87" s="539"/>
      <c r="AF87" s="539"/>
      <c r="AG87" s="539"/>
      <c r="AH87" s="539"/>
      <c r="AI87" s="539"/>
      <c r="AJ87" s="539"/>
      <c r="AK87" s="539"/>
      <c r="AL87" s="539"/>
      <c r="AM87" s="539"/>
      <c r="AN87" s="539"/>
      <c r="AO87" s="539"/>
      <c r="AP87" s="539">
        <f>IF(Table_NFI[[#This Row],[Winter Clothes Adult]]+Table_NFI[[#This Row],[Winter Clothes Children]]+Table_NFI[[#This Row],[Winter Items Other]]+Table_NFI[[#This Row],[Winter Blanket]]&gt;0,1,0)</f>
        <v>0</v>
      </c>
      <c r="AQ87" s="539"/>
      <c r="AR87" s="539"/>
      <c r="AS87" s="539"/>
      <c r="AT87" s="539"/>
      <c r="AU87" s="539"/>
      <c r="AV87" s="539"/>
      <c r="AW87" s="539"/>
      <c r="AX87" s="540" t="str">
        <f>IFERROR(VLOOKUP(Table_NFI[[#This Row],[Location]],CL,2,0),"")</f>
        <v>MMR001CMP218</v>
      </c>
      <c r="AY87" s="541"/>
      <c r="DS87" s="181"/>
    </row>
    <row r="88" spans="2:123" ht="18.75" hidden="1" customHeight="1" x14ac:dyDescent="0.3">
      <c r="B88" s="543">
        <v>42962</v>
      </c>
      <c r="C88" s="543" t="str">
        <f>MONTH(Table_NFI[[#This Row],[Distribution Date]]) &amp; "/" &amp; YEAR(Table_NFI[[#This Row],[Distribution Date]])</f>
        <v>8/2017</v>
      </c>
      <c r="D88" s="217" t="s">
        <v>1256</v>
      </c>
      <c r="E88" s="217" t="s">
        <v>1256</v>
      </c>
      <c r="F88" s="217" t="s">
        <v>378</v>
      </c>
      <c r="G88" s="196" t="s">
        <v>151</v>
      </c>
      <c r="H88" s="217" t="s">
        <v>1509</v>
      </c>
      <c r="I88" s="537"/>
      <c r="J88" s="538"/>
      <c r="K88" s="538"/>
      <c r="L88" s="538"/>
      <c r="M88" s="538"/>
      <c r="N88" s="538"/>
      <c r="O88" s="538"/>
      <c r="P88" s="538"/>
      <c r="Q88" s="538"/>
      <c r="R88" s="538"/>
      <c r="S88" s="538"/>
      <c r="T88" s="538"/>
      <c r="U88" s="538"/>
      <c r="V88" s="538"/>
      <c r="W88" s="538"/>
      <c r="X88" s="538"/>
      <c r="Y88" s="538"/>
      <c r="Z88" s="538">
        <v>64</v>
      </c>
      <c r="AA88" s="538"/>
      <c r="AB88" s="538"/>
      <c r="AC88" s="539"/>
      <c r="AD88" s="539"/>
      <c r="AE88" s="539"/>
      <c r="AF88" s="539"/>
      <c r="AG88" s="539"/>
      <c r="AH88" s="539"/>
      <c r="AI88" s="539"/>
      <c r="AJ88" s="539"/>
      <c r="AK88" s="539"/>
      <c r="AL88" s="539"/>
      <c r="AM88" s="539"/>
      <c r="AN88" s="539"/>
      <c r="AO88" s="539"/>
      <c r="AP88" s="539">
        <f>IF(Table_NFI[[#This Row],[Winter Clothes Adult]]+Table_NFI[[#This Row],[Winter Clothes Children]]+Table_NFI[[#This Row],[Winter Items Other]]+Table_NFI[[#This Row],[Winter Blanket]]&gt;0,1,0)</f>
        <v>0</v>
      </c>
      <c r="AQ88" s="539"/>
      <c r="AR88" s="539"/>
      <c r="AS88" s="539"/>
      <c r="AT88" s="539"/>
      <c r="AU88" s="539"/>
      <c r="AV88" s="539"/>
      <c r="AW88" s="539"/>
      <c r="AX88" s="540" t="str">
        <f>IFERROR(VLOOKUP(Table_NFI[[#This Row],[Location]],CL,2,0),"")</f>
        <v/>
      </c>
      <c r="AY88" s="541"/>
      <c r="DS88" s="181"/>
    </row>
    <row r="89" spans="2:123" ht="18.75" hidden="1" customHeight="1" x14ac:dyDescent="0.3">
      <c r="B89" s="536">
        <v>42963</v>
      </c>
      <c r="C89" s="536" t="str">
        <f>MONTH(Table_NFI[[#This Row],[Distribution Date]]) &amp; "/" &amp; YEAR(Table_NFI[[#This Row],[Distribution Date]])</f>
        <v>8/2017</v>
      </c>
      <c r="D89" s="534" t="s">
        <v>1375</v>
      </c>
      <c r="E89" s="195" t="s">
        <v>1375</v>
      </c>
      <c r="F89" s="534" t="s">
        <v>378</v>
      </c>
      <c r="G89" s="196" t="s">
        <v>301</v>
      </c>
      <c r="H89" s="534" t="s">
        <v>1517</v>
      </c>
      <c r="I89" s="537"/>
      <c r="J89" s="538"/>
      <c r="K89" s="538"/>
      <c r="L89" s="538"/>
      <c r="M89" s="538"/>
      <c r="N89" s="538">
        <v>14</v>
      </c>
      <c r="O89" s="538"/>
      <c r="P89" s="538">
        <v>14</v>
      </c>
      <c r="Q89" s="538">
        <v>7</v>
      </c>
      <c r="R89" s="538"/>
      <c r="S89" s="538"/>
      <c r="T89" s="538">
        <v>14</v>
      </c>
      <c r="U89" s="538"/>
      <c r="V89" s="538"/>
      <c r="W89" s="538"/>
      <c r="X89" s="538"/>
      <c r="Y89" s="538"/>
      <c r="Z89" s="538"/>
      <c r="AA89" s="538"/>
      <c r="AB89" s="538"/>
      <c r="AC89" s="539"/>
      <c r="AD89" s="539"/>
      <c r="AE89" s="539"/>
      <c r="AF89" s="539"/>
      <c r="AG89" s="539"/>
      <c r="AH89" s="539"/>
      <c r="AI89" s="539"/>
      <c r="AJ89" s="539"/>
      <c r="AK89" s="539"/>
      <c r="AL89" s="539"/>
      <c r="AM89" s="539"/>
      <c r="AN89" s="539"/>
      <c r="AO89" s="539"/>
      <c r="AP89" s="539">
        <f>IF(Table_NFI[[#This Row],[Winter Clothes Adult]]+Table_NFI[[#This Row],[Winter Clothes Children]]+Table_NFI[[#This Row],[Winter Items Other]]+Table_NFI[[#This Row],[Winter Blanket]]&gt;0,1,0)</f>
        <v>0</v>
      </c>
      <c r="AQ89" s="539"/>
      <c r="AR89" s="539"/>
      <c r="AS89" s="539"/>
      <c r="AT89" s="539"/>
      <c r="AU89" s="539"/>
      <c r="AV89" s="539"/>
      <c r="AW89" s="539"/>
      <c r="AX89" s="540" t="str">
        <f>IFERROR(VLOOKUP(Table_NFI[[#This Row],[Location]],CL,2,0),"")</f>
        <v/>
      </c>
      <c r="AY89" s="541"/>
      <c r="DS89" s="181"/>
    </row>
    <row r="90" spans="2:123" ht="18.75" hidden="1" customHeight="1" x14ac:dyDescent="0.3">
      <c r="B90" s="536">
        <v>42963</v>
      </c>
      <c r="C90" s="536" t="str">
        <f>MONTH(Table_NFI[[#This Row],[Distribution Date]]) &amp; "/" &amp; YEAR(Table_NFI[[#This Row],[Distribution Date]])</f>
        <v>8/2017</v>
      </c>
      <c r="D90" s="534" t="s">
        <v>1375</v>
      </c>
      <c r="E90" s="195" t="s">
        <v>1375</v>
      </c>
      <c r="F90" s="534" t="s">
        <v>378</v>
      </c>
      <c r="G90" s="196" t="s">
        <v>301</v>
      </c>
      <c r="H90" s="534" t="s">
        <v>1516</v>
      </c>
      <c r="I90" s="537"/>
      <c r="J90" s="538"/>
      <c r="K90" s="538"/>
      <c r="L90" s="538"/>
      <c r="M90" s="538"/>
      <c r="N90" s="538">
        <v>8</v>
      </c>
      <c r="O90" s="538"/>
      <c r="P90" s="538">
        <v>8</v>
      </c>
      <c r="Q90" s="538">
        <v>4</v>
      </c>
      <c r="R90" s="538"/>
      <c r="S90" s="538"/>
      <c r="T90" s="538">
        <v>8</v>
      </c>
      <c r="U90" s="538"/>
      <c r="V90" s="538"/>
      <c r="W90" s="538"/>
      <c r="X90" s="538"/>
      <c r="Y90" s="538"/>
      <c r="Z90" s="538"/>
      <c r="AA90" s="538"/>
      <c r="AB90" s="538"/>
      <c r="AC90" s="539"/>
      <c r="AD90" s="539"/>
      <c r="AE90" s="539"/>
      <c r="AF90" s="539"/>
      <c r="AG90" s="539"/>
      <c r="AH90" s="539"/>
      <c r="AI90" s="539"/>
      <c r="AJ90" s="539"/>
      <c r="AK90" s="539"/>
      <c r="AL90" s="539"/>
      <c r="AM90" s="539"/>
      <c r="AN90" s="539"/>
      <c r="AO90" s="539"/>
      <c r="AP90" s="539">
        <f>IF(Table_NFI[[#This Row],[Winter Clothes Adult]]+Table_NFI[[#This Row],[Winter Clothes Children]]+Table_NFI[[#This Row],[Winter Items Other]]+Table_NFI[[#This Row],[Winter Blanket]]&gt;0,1,0)</f>
        <v>0</v>
      </c>
      <c r="AQ90" s="539"/>
      <c r="AR90" s="539"/>
      <c r="AS90" s="539"/>
      <c r="AT90" s="539"/>
      <c r="AU90" s="539"/>
      <c r="AV90" s="539"/>
      <c r="AW90" s="539"/>
      <c r="AX90" s="540" t="str">
        <f>IFERROR(VLOOKUP(Table_NFI[[#This Row],[Location]],CL,2,0),"")</f>
        <v/>
      </c>
      <c r="AY90" s="541"/>
      <c r="DS90" s="181"/>
    </row>
    <row r="91" spans="2:123" ht="18.75" hidden="1" customHeight="1" x14ac:dyDescent="0.3">
      <c r="B91" s="536">
        <v>42963</v>
      </c>
      <c r="C91" s="536" t="str">
        <f>MONTH(Table_NFI[[#This Row],[Distribution Date]]) &amp; "/" &amp; YEAR(Table_NFI[[#This Row],[Distribution Date]])</f>
        <v>8/2017</v>
      </c>
      <c r="D91" s="534" t="s">
        <v>1375</v>
      </c>
      <c r="E91" s="195" t="s">
        <v>1375</v>
      </c>
      <c r="F91" s="534" t="s">
        <v>378</v>
      </c>
      <c r="G91" s="534" t="s">
        <v>5</v>
      </c>
      <c r="H91" s="534" t="s">
        <v>1514</v>
      </c>
      <c r="I91" s="537"/>
      <c r="J91" s="538"/>
      <c r="K91" s="538"/>
      <c r="L91" s="538"/>
      <c r="M91" s="538"/>
      <c r="N91" s="538">
        <v>12</v>
      </c>
      <c r="O91" s="538"/>
      <c r="P91" s="538">
        <v>12</v>
      </c>
      <c r="Q91" s="538">
        <v>6</v>
      </c>
      <c r="R91" s="538"/>
      <c r="S91" s="538"/>
      <c r="T91" s="538">
        <v>12</v>
      </c>
      <c r="U91" s="538"/>
      <c r="V91" s="538"/>
      <c r="W91" s="538"/>
      <c r="X91" s="538"/>
      <c r="Y91" s="538"/>
      <c r="Z91" s="538"/>
      <c r="AA91" s="538"/>
      <c r="AB91" s="538"/>
      <c r="AC91" s="539"/>
      <c r="AD91" s="539"/>
      <c r="AE91" s="539"/>
      <c r="AF91" s="539"/>
      <c r="AG91" s="539"/>
      <c r="AH91" s="539"/>
      <c r="AI91" s="539"/>
      <c r="AJ91" s="539"/>
      <c r="AK91" s="539"/>
      <c r="AL91" s="539"/>
      <c r="AM91" s="539"/>
      <c r="AN91" s="539"/>
      <c r="AO91" s="539"/>
      <c r="AP91" s="539">
        <f>IF(Table_NFI[[#This Row],[Winter Clothes Adult]]+Table_NFI[[#This Row],[Winter Clothes Children]]+Table_NFI[[#This Row],[Winter Items Other]]+Table_NFI[[#This Row],[Winter Blanket]]&gt;0,1,0)</f>
        <v>0</v>
      </c>
      <c r="AQ91" s="539"/>
      <c r="AR91" s="539"/>
      <c r="AS91" s="539"/>
      <c r="AT91" s="539"/>
      <c r="AU91" s="539"/>
      <c r="AV91" s="539"/>
      <c r="AW91" s="539"/>
      <c r="AX91" s="540" t="str">
        <f>IFERROR(VLOOKUP(Table_NFI[[#This Row],[Location]],CL,2,0),"")</f>
        <v/>
      </c>
      <c r="AY91" s="541"/>
      <c r="DS91" s="181"/>
    </row>
    <row r="92" spans="2:123" ht="18.75" hidden="1" customHeight="1" x14ac:dyDescent="0.3">
      <c r="B92" s="536">
        <v>42963</v>
      </c>
      <c r="C92" s="536" t="str">
        <f>MONTH(Table_NFI[[#This Row],[Distribution Date]]) &amp; "/" &amp; YEAR(Table_NFI[[#This Row],[Distribution Date]])</f>
        <v>8/2017</v>
      </c>
      <c r="D92" s="534" t="s">
        <v>1375</v>
      </c>
      <c r="E92" s="195" t="s">
        <v>1375</v>
      </c>
      <c r="F92" s="534" t="s">
        <v>378</v>
      </c>
      <c r="G92" s="534" t="s">
        <v>5</v>
      </c>
      <c r="H92" s="534" t="s">
        <v>583</v>
      </c>
      <c r="I92" s="537"/>
      <c r="J92" s="538"/>
      <c r="K92" s="538"/>
      <c r="L92" s="538"/>
      <c r="M92" s="538"/>
      <c r="N92" s="538">
        <v>68</v>
      </c>
      <c r="O92" s="538"/>
      <c r="P92" s="538">
        <v>68</v>
      </c>
      <c r="Q92" s="538">
        <v>34</v>
      </c>
      <c r="R92" s="538"/>
      <c r="S92" s="538"/>
      <c r="T92" s="538">
        <v>68</v>
      </c>
      <c r="U92" s="538"/>
      <c r="V92" s="538"/>
      <c r="W92" s="538"/>
      <c r="X92" s="538"/>
      <c r="Y92" s="538"/>
      <c r="Z92" s="538"/>
      <c r="AA92" s="538"/>
      <c r="AB92" s="538"/>
      <c r="AC92" s="539"/>
      <c r="AD92" s="539"/>
      <c r="AE92" s="539"/>
      <c r="AF92" s="539"/>
      <c r="AG92" s="539"/>
      <c r="AH92" s="539"/>
      <c r="AI92" s="539"/>
      <c r="AJ92" s="539"/>
      <c r="AK92" s="539"/>
      <c r="AL92" s="539"/>
      <c r="AM92" s="539"/>
      <c r="AN92" s="539"/>
      <c r="AO92" s="539"/>
      <c r="AP92" s="539">
        <f>IF(Table_NFI[[#This Row],[Winter Clothes Adult]]+Table_NFI[[#This Row],[Winter Clothes Children]]+Table_NFI[[#This Row],[Winter Items Other]]+Table_NFI[[#This Row],[Winter Blanket]]&gt;0,1,0)</f>
        <v>0</v>
      </c>
      <c r="AQ92" s="539"/>
      <c r="AR92" s="539"/>
      <c r="AS92" s="539"/>
      <c r="AT92" s="539"/>
      <c r="AU92" s="539"/>
      <c r="AV92" s="539"/>
      <c r="AW92" s="539"/>
      <c r="AX92" s="540" t="str">
        <f>IFERROR(VLOOKUP(Table_NFI[[#This Row],[Location]],CL,2,0),"")</f>
        <v/>
      </c>
      <c r="AY92" s="541"/>
      <c r="DS92" s="181"/>
    </row>
    <row r="93" spans="2:123" ht="18.75" hidden="1" customHeight="1" x14ac:dyDescent="0.3">
      <c r="B93" s="536">
        <v>42963</v>
      </c>
      <c r="C93" s="536" t="str">
        <f>MONTH(Table_NFI[[#This Row],[Distribution Date]]) &amp; "/" &amp; YEAR(Table_NFI[[#This Row],[Distribution Date]])</f>
        <v>8/2017</v>
      </c>
      <c r="D93" s="534" t="s">
        <v>1375</v>
      </c>
      <c r="E93" s="195" t="s">
        <v>1375</v>
      </c>
      <c r="F93" s="534" t="s">
        <v>378</v>
      </c>
      <c r="G93" s="534" t="s">
        <v>5</v>
      </c>
      <c r="H93" s="534" t="s">
        <v>1513</v>
      </c>
      <c r="I93" s="537"/>
      <c r="J93" s="538"/>
      <c r="K93" s="538"/>
      <c r="L93" s="538"/>
      <c r="M93" s="538"/>
      <c r="N93" s="538">
        <v>166</v>
      </c>
      <c r="O93" s="538"/>
      <c r="P93" s="538">
        <v>166</v>
      </c>
      <c r="Q93" s="538">
        <v>83</v>
      </c>
      <c r="R93" s="538"/>
      <c r="S93" s="538"/>
      <c r="T93" s="538">
        <v>166</v>
      </c>
      <c r="U93" s="538"/>
      <c r="V93" s="538"/>
      <c r="W93" s="538"/>
      <c r="X93" s="538"/>
      <c r="Y93" s="538"/>
      <c r="Z93" s="538"/>
      <c r="AA93" s="538"/>
      <c r="AB93" s="538"/>
      <c r="AC93" s="539"/>
      <c r="AD93" s="539"/>
      <c r="AE93" s="539"/>
      <c r="AF93" s="539"/>
      <c r="AG93" s="539"/>
      <c r="AH93" s="539"/>
      <c r="AI93" s="539"/>
      <c r="AJ93" s="539"/>
      <c r="AK93" s="539"/>
      <c r="AL93" s="539"/>
      <c r="AM93" s="539"/>
      <c r="AN93" s="539"/>
      <c r="AO93" s="539"/>
      <c r="AP93" s="539">
        <f>IF(Table_NFI[[#This Row],[Winter Clothes Adult]]+Table_NFI[[#This Row],[Winter Clothes Children]]+Table_NFI[[#This Row],[Winter Items Other]]+Table_NFI[[#This Row],[Winter Blanket]]&gt;0,1,0)</f>
        <v>0</v>
      </c>
      <c r="AQ93" s="539"/>
      <c r="AR93" s="539"/>
      <c r="AS93" s="539"/>
      <c r="AT93" s="539"/>
      <c r="AU93" s="539"/>
      <c r="AV93" s="539"/>
      <c r="AW93" s="539"/>
      <c r="AX93" s="540" t="str">
        <f>IFERROR(VLOOKUP(Table_NFI[[#This Row],[Location]],CL,2,0),"")</f>
        <v/>
      </c>
      <c r="AY93" s="541"/>
      <c r="DS93" s="181"/>
    </row>
    <row r="94" spans="2:123" ht="18.75" hidden="1" customHeight="1" x14ac:dyDescent="0.3">
      <c r="B94" s="543">
        <v>42966</v>
      </c>
      <c r="C94" s="543" t="str">
        <f>MONTH(Table_NFI[[#This Row],[Distribution Date]]) &amp; "/" &amp; YEAR(Table_NFI[[#This Row],[Distribution Date]])</f>
        <v>8/2017</v>
      </c>
      <c r="D94" s="534" t="s">
        <v>1375</v>
      </c>
      <c r="E94" s="195" t="s">
        <v>1375</v>
      </c>
      <c r="F94" s="217" t="s">
        <v>378</v>
      </c>
      <c r="G94" s="217" t="s">
        <v>5</v>
      </c>
      <c r="H94" s="217" t="s">
        <v>12</v>
      </c>
      <c r="I94" s="181"/>
      <c r="J94" s="531">
        <v>131</v>
      </c>
      <c r="K94" s="531"/>
      <c r="L94" s="531">
        <v>141</v>
      </c>
      <c r="M94" s="538"/>
      <c r="N94" s="538"/>
      <c r="O94" s="538"/>
      <c r="P94" s="538"/>
      <c r="Q94" s="538"/>
      <c r="R94" s="538"/>
      <c r="S94" s="538"/>
      <c r="T94" s="538"/>
      <c r="U94" s="538"/>
      <c r="V94" s="538"/>
      <c r="W94" s="538"/>
      <c r="X94" s="538"/>
      <c r="Y94" s="538"/>
      <c r="Z94" s="538"/>
      <c r="AA94" s="538"/>
      <c r="AB94" s="538"/>
      <c r="AC94" s="539"/>
      <c r="AD94" s="539"/>
      <c r="AE94" s="539"/>
      <c r="AF94" s="539"/>
      <c r="AG94" s="539"/>
      <c r="AH94" s="539"/>
      <c r="AI94" s="539"/>
      <c r="AJ94" s="539"/>
      <c r="AK94" s="539"/>
      <c r="AL94" s="539"/>
      <c r="AM94" s="539"/>
      <c r="AN94" s="539"/>
      <c r="AO94" s="539"/>
      <c r="AP94" s="539">
        <f>IF(Table_NFI[[#This Row],[Winter Clothes Adult]]+Table_NFI[[#This Row],[Winter Clothes Children]]+Table_NFI[[#This Row],[Winter Items Other]]+Table_NFI[[#This Row],[Winter Blanket]]&gt;0,1,0)</f>
        <v>0</v>
      </c>
      <c r="AQ94" s="539"/>
      <c r="AR94" s="539"/>
      <c r="AS94" s="539"/>
      <c r="AT94" s="539"/>
      <c r="AU94" s="539"/>
      <c r="AV94" s="539"/>
      <c r="AW94" s="539"/>
      <c r="AX94" s="540" t="str">
        <f>IFERROR(VLOOKUP(Table_NFI[[#This Row],[Location]],CL,2,0),"")</f>
        <v>MMR001CMP199</v>
      </c>
      <c r="AY94" s="541"/>
      <c r="DS94" s="181"/>
    </row>
    <row r="95" spans="2:123" ht="18.75" hidden="1" customHeight="1" x14ac:dyDescent="0.3">
      <c r="B95" s="543">
        <v>42976</v>
      </c>
      <c r="C95" s="543" t="str">
        <f>MONTH(Table_NFI[[#This Row],[Distribution Date]]) &amp; "/" &amp; YEAR(Table_NFI[[#This Row],[Distribution Date]])</f>
        <v>8/2017</v>
      </c>
      <c r="D95" s="534" t="s">
        <v>1375</v>
      </c>
      <c r="E95" s="195" t="s">
        <v>1375</v>
      </c>
      <c r="F95" s="217" t="s">
        <v>378</v>
      </c>
      <c r="G95" s="217" t="s">
        <v>237</v>
      </c>
      <c r="H95" s="217" t="s">
        <v>1508</v>
      </c>
      <c r="I95" s="181"/>
      <c r="J95" s="531">
        <v>29</v>
      </c>
      <c r="K95" s="531"/>
      <c r="L95" s="538"/>
      <c r="M95" s="538"/>
      <c r="N95" s="538"/>
      <c r="O95" s="538"/>
      <c r="P95" s="538"/>
      <c r="Q95" s="538"/>
      <c r="R95" s="538"/>
      <c r="S95" s="538"/>
      <c r="T95" s="538"/>
      <c r="U95" s="538"/>
      <c r="V95" s="538"/>
      <c r="W95" s="538"/>
      <c r="X95" s="538"/>
      <c r="Y95" s="538"/>
      <c r="Z95" s="538"/>
      <c r="AA95" s="538"/>
      <c r="AB95" s="538"/>
      <c r="AC95" s="539"/>
      <c r="AD95" s="539"/>
      <c r="AE95" s="539"/>
      <c r="AF95" s="539"/>
      <c r="AG95" s="539"/>
      <c r="AH95" s="539"/>
      <c r="AI95" s="539"/>
      <c r="AJ95" s="539"/>
      <c r="AK95" s="539"/>
      <c r="AL95" s="539"/>
      <c r="AM95" s="539"/>
      <c r="AN95" s="539"/>
      <c r="AO95" s="539"/>
      <c r="AP95" s="539">
        <f>IF(Table_NFI[[#This Row],[Winter Clothes Adult]]+Table_NFI[[#This Row],[Winter Clothes Children]]+Table_NFI[[#This Row],[Winter Items Other]]+Table_NFI[[#This Row],[Winter Blanket]]&gt;0,1,0)</f>
        <v>0</v>
      </c>
      <c r="AQ95" s="539"/>
      <c r="AR95" s="539"/>
      <c r="AS95" s="539"/>
      <c r="AT95" s="539"/>
      <c r="AU95" s="539"/>
      <c r="AV95" s="539"/>
      <c r="AW95" s="539"/>
      <c r="AX95" s="540" t="str">
        <f>IFERROR(VLOOKUP(Table_NFI[[#This Row],[Location]],CL,2,0),"")</f>
        <v/>
      </c>
      <c r="AY95" s="541"/>
      <c r="DS95" s="181"/>
    </row>
    <row r="96" spans="2:123" ht="18.75" hidden="1" customHeight="1" x14ac:dyDescent="0.3">
      <c r="B96" s="536">
        <v>42985</v>
      </c>
      <c r="C96" s="536" t="str">
        <f>MONTH(Table_NFI[[#This Row],[Distribution Date]]) &amp; "/" &amp; YEAR(Table_NFI[[#This Row],[Distribution Date]])</f>
        <v>9/2017</v>
      </c>
      <c r="D96" s="534" t="s">
        <v>420</v>
      </c>
      <c r="E96" s="534" t="s">
        <v>1570</v>
      </c>
      <c r="F96" s="534" t="s">
        <v>378</v>
      </c>
      <c r="G96" s="534" t="s">
        <v>5</v>
      </c>
      <c r="H96" s="534" t="s">
        <v>1526</v>
      </c>
      <c r="I96" s="537"/>
      <c r="J96" s="538"/>
      <c r="K96" s="538"/>
      <c r="L96" s="538"/>
      <c r="M96" s="538"/>
      <c r="N96" s="538"/>
      <c r="O96" s="538">
        <v>15</v>
      </c>
      <c r="P96" s="538"/>
      <c r="Q96" s="538"/>
      <c r="R96" s="538"/>
      <c r="S96" s="538"/>
      <c r="T96" s="538"/>
      <c r="U96" s="538"/>
      <c r="V96" s="538"/>
      <c r="W96" s="538"/>
      <c r="X96" s="538"/>
      <c r="Y96" s="538"/>
      <c r="Z96" s="538"/>
      <c r="AA96" s="538"/>
      <c r="AB96" s="538"/>
      <c r="AC96" s="539"/>
      <c r="AD96" s="539"/>
      <c r="AE96" s="539"/>
      <c r="AF96" s="539"/>
      <c r="AG96" s="539"/>
      <c r="AH96" s="539"/>
      <c r="AI96" s="539"/>
      <c r="AJ96" s="539"/>
      <c r="AK96" s="539"/>
      <c r="AL96" s="539"/>
      <c r="AM96" s="539"/>
      <c r="AN96" s="539"/>
      <c r="AO96" s="539"/>
      <c r="AP96" s="539">
        <f>IF(Table_NFI[[#This Row],[Winter Clothes Adult]]+Table_NFI[[#This Row],[Winter Clothes Children]]+Table_NFI[[#This Row],[Winter Items Other]]+Table_NFI[[#This Row],[Winter Blanket]]&gt;0,1,0)</f>
        <v>0</v>
      </c>
      <c r="AQ96" s="539"/>
      <c r="AR96" s="539"/>
      <c r="AS96" s="539"/>
      <c r="AT96" s="539"/>
      <c r="AU96" s="539"/>
      <c r="AV96" s="539"/>
      <c r="AW96" s="539"/>
      <c r="AX96" s="540" t="str">
        <f>IFERROR(VLOOKUP(Table_NFI[[#This Row],[Location]],CL,2,0),"")</f>
        <v/>
      </c>
      <c r="AY96" s="541"/>
      <c r="DS96" s="181"/>
    </row>
    <row r="97" spans="2:123" ht="18.75" hidden="1" customHeight="1" x14ac:dyDescent="0.3">
      <c r="B97" s="536">
        <v>43007</v>
      </c>
      <c r="C97" s="536" t="str">
        <f>MONTH(Table_NFI[[#This Row],[Distribution Date]]) &amp; "/" &amp; YEAR(Table_NFI[[#This Row],[Distribution Date]])</f>
        <v>9/2017</v>
      </c>
      <c r="D97" s="534" t="s">
        <v>420</v>
      </c>
      <c r="E97" s="534" t="s">
        <v>462</v>
      </c>
      <c r="F97" s="196" t="s">
        <v>378</v>
      </c>
      <c r="G97" s="196" t="s">
        <v>309</v>
      </c>
      <c r="H97" s="534" t="s">
        <v>1528</v>
      </c>
      <c r="I97" s="537"/>
      <c r="J97" s="538"/>
      <c r="K97" s="538"/>
      <c r="L97" s="538">
        <v>4</v>
      </c>
      <c r="M97" s="538">
        <v>4</v>
      </c>
      <c r="N97" s="538">
        <v>6</v>
      </c>
      <c r="O97" s="538">
        <v>4</v>
      </c>
      <c r="P97" s="538">
        <v>4</v>
      </c>
      <c r="Q97" s="538">
        <v>3</v>
      </c>
      <c r="R97" s="538"/>
      <c r="S97" s="538">
        <v>3</v>
      </c>
      <c r="T97" s="538">
        <v>5</v>
      </c>
      <c r="U97" s="538"/>
      <c r="V97" s="538"/>
      <c r="W97" s="538"/>
      <c r="X97" s="538"/>
      <c r="Y97" s="538">
        <v>4</v>
      </c>
      <c r="Z97" s="538"/>
      <c r="AA97" s="538"/>
      <c r="AB97" s="538"/>
      <c r="AC97" s="539"/>
      <c r="AD97" s="539"/>
      <c r="AE97" s="539"/>
      <c r="AF97" s="539"/>
      <c r="AG97" s="539"/>
      <c r="AH97" s="539"/>
      <c r="AI97" s="539"/>
      <c r="AJ97" s="539"/>
      <c r="AK97" s="539"/>
      <c r="AL97" s="539"/>
      <c r="AM97" s="539"/>
      <c r="AN97" s="539"/>
      <c r="AO97" s="539"/>
      <c r="AP97" s="539">
        <f>IF(Table_NFI[[#This Row],[Winter Clothes Adult]]+Table_NFI[[#This Row],[Winter Clothes Children]]+Table_NFI[[#This Row],[Winter Items Other]]+Table_NFI[[#This Row],[Winter Blanket]]&gt;0,1,0)</f>
        <v>0</v>
      </c>
      <c r="AQ97" s="539"/>
      <c r="AR97" s="539"/>
      <c r="AS97" s="539"/>
      <c r="AT97" s="539"/>
      <c r="AU97" s="539"/>
      <c r="AV97" s="539"/>
      <c r="AW97" s="539"/>
      <c r="AX97" s="540" t="str">
        <f>IFERROR(VLOOKUP(Table_NFI[[#This Row],[Location]],CL,2,0),"")</f>
        <v/>
      </c>
      <c r="AY97" s="541"/>
      <c r="DS97" s="181"/>
    </row>
    <row r="98" spans="2:123" ht="18.75" hidden="1" customHeight="1" x14ac:dyDescent="0.3">
      <c r="B98" s="536">
        <v>43007</v>
      </c>
      <c r="C98" s="536" t="str">
        <f>MONTH(Table_NFI[[#This Row],[Distribution Date]]) &amp; "/" &amp; YEAR(Table_NFI[[#This Row],[Distribution Date]])</f>
        <v>9/2017</v>
      </c>
      <c r="D98" s="534" t="s">
        <v>420</v>
      </c>
      <c r="E98" s="534" t="s">
        <v>462</v>
      </c>
      <c r="F98" s="196" t="s">
        <v>378</v>
      </c>
      <c r="G98" s="196" t="s">
        <v>309</v>
      </c>
      <c r="H98" s="534" t="s">
        <v>1529</v>
      </c>
      <c r="I98" s="537"/>
      <c r="J98" s="538"/>
      <c r="K98" s="538"/>
      <c r="L98" s="538">
        <v>3</v>
      </c>
      <c r="M98" s="538">
        <v>3</v>
      </c>
      <c r="N98" s="538">
        <v>6</v>
      </c>
      <c r="O98" s="538">
        <v>3</v>
      </c>
      <c r="P98" s="538">
        <v>8</v>
      </c>
      <c r="Q98" s="538">
        <v>2</v>
      </c>
      <c r="R98" s="538"/>
      <c r="S98" s="538">
        <v>2</v>
      </c>
      <c r="T98" s="538">
        <v>8</v>
      </c>
      <c r="U98" s="538"/>
      <c r="V98" s="538"/>
      <c r="W98" s="538"/>
      <c r="X98" s="538"/>
      <c r="Y98" s="538">
        <v>3</v>
      </c>
      <c r="Z98" s="538"/>
      <c r="AA98" s="538"/>
      <c r="AB98" s="538"/>
      <c r="AC98" s="539"/>
      <c r="AD98" s="539"/>
      <c r="AE98" s="539"/>
      <c r="AF98" s="539"/>
      <c r="AG98" s="539"/>
      <c r="AH98" s="539"/>
      <c r="AI98" s="539"/>
      <c r="AJ98" s="539"/>
      <c r="AK98" s="539"/>
      <c r="AL98" s="539"/>
      <c r="AM98" s="539"/>
      <c r="AN98" s="539"/>
      <c r="AO98" s="539"/>
      <c r="AP98" s="539">
        <f>IF(Table_NFI[[#This Row],[Winter Clothes Adult]]+Table_NFI[[#This Row],[Winter Clothes Children]]+Table_NFI[[#This Row],[Winter Items Other]]+Table_NFI[[#This Row],[Winter Blanket]]&gt;0,1,0)</f>
        <v>0</v>
      </c>
      <c r="AQ98" s="539"/>
      <c r="AR98" s="539"/>
      <c r="AS98" s="539"/>
      <c r="AT98" s="539"/>
      <c r="AU98" s="539"/>
      <c r="AV98" s="539"/>
      <c r="AW98" s="539"/>
      <c r="AX98" s="540" t="str">
        <f>IFERROR(VLOOKUP(Table_NFI[[#This Row],[Location]],CL,2,0),"")</f>
        <v/>
      </c>
      <c r="AY98" s="541"/>
      <c r="DS98" s="181"/>
    </row>
    <row r="99" spans="2:123" ht="18.75" hidden="1" customHeight="1" x14ac:dyDescent="0.3">
      <c r="B99" s="536">
        <v>43008</v>
      </c>
      <c r="C99" s="536" t="str">
        <f>MONTH(Table_NFI[[#This Row],[Distribution Date]]) &amp; "/" &amp; YEAR(Table_NFI[[#This Row],[Distribution Date]])</f>
        <v>9/2017</v>
      </c>
      <c r="D99" s="534" t="s">
        <v>1375</v>
      </c>
      <c r="E99" s="195" t="s">
        <v>1375</v>
      </c>
      <c r="F99" s="534" t="s">
        <v>378</v>
      </c>
      <c r="G99" s="534" t="s">
        <v>1134</v>
      </c>
      <c r="H99" s="534" t="s">
        <v>1525</v>
      </c>
      <c r="I99" s="537"/>
      <c r="J99" s="538">
        <v>31</v>
      </c>
      <c r="K99" s="538"/>
      <c r="L99" s="538"/>
      <c r="M99" s="538"/>
      <c r="N99" s="538"/>
      <c r="O99" s="538"/>
      <c r="P99" s="538"/>
      <c r="Q99" s="538"/>
      <c r="R99" s="538"/>
      <c r="S99" s="538"/>
      <c r="T99" s="538"/>
      <c r="U99" s="538"/>
      <c r="V99" s="538"/>
      <c r="W99" s="538"/>
      <c r="X99" s="538"/>
      <c r="Y99" s="538"/>
      <c r="Z99" s="538"/>
      <c r="AA99" s="538"/>
      <c r="AB99" s="538"/>
      <c r="AC99" s="539"/>
      <c r="AD99" s="539"/>
      <c r="AE99" s="539"/>
      <c r="AF99" s="539"/>
      <c r="AG99" s="539"/>
      <c r="AH99" s="539"/>
      <c r="AI99" s="539"/>
      <c r="AJ99" s="539"/>
      <c r="AK99" s="539"/>
      <c r="AL99" s="539"/>
      <c r="AM99" s="539"/>
      <c r="AN99" s="539"/>
      <c r="AO99" s="539"/>
      <c r="AP99" s="539">
        <f>IF(Table_NFI[[#This Row],[Winter Clothes Adult]]+Table_NFI[[#This Row],[Winter Clothes Children]]+Table_NFI[[#This Row],[Winter Items Other]]+Table_NFI[[#This Row],[Winter Blanket]]&gt;0,1,0)</f>
        <v>0</v>
      </c>
      <c r="AQ99" s="539"/>
      <c r="AR99" s="539"/>
      <c r="AS99" s="539"/>
      <c r="AT99" s="539"/>
      <c r="AU99" s="539"/>
      <c r="AV99" s="539"/>
      <c r="AW99" s="539"/>
      <c r="AX99" s="540" t="str">
        <f>IFERROR(VLOOKUP(Table_NFI[[#This Row],[Location]],CL,2,0),"")</f>
        <v/>
      </c>
      <c r="AY99" s="541"/>
      <c r="DS99" s="181"/>
    </row>
    <row r="100" spans="2:123" ht="18.75" hidden="1" customHeight="1" x14ac:dyDescent="0.3">
      <c r="B100" s="536">
        <v>43010</v>
      </c>
      <c r="C100" s="536" t="str">
        <f>MONTH(Table_NFI[[#This Row],[Distribution Date]]) &amp; "/" &amp; YEAR(Table_NFI[[#This Row],[Distribution Date]])</f>
        <v>10/2017</v>
      </c>
      <c r="D100" s="534" t="s">
        <v>462</v>
      </c>
      <c r="E100" s="534" t="s">
        <v>420</v>
      </c>
      <c r="F100" s="534" t="s">
        <v>378</v>
      </c>
      <c r="G100" s="534" t="s">
        <v>237</v>
      </c>
      <c r="H100" s="217" t="s">
        <v>262</v>
      </c>
      <c r="I100" s="537"/>
      <c r="J100" s="538"/>
      <c r="K100" s="538"/>
      <c r="L100" s="531">
        <v>1</v>
      </c>
      <c r="M100" s="531">
        <v>1</v>
      </c>
      <c r="N100" s="531">
        <v>3</v>
      </c>
      <c r="O100" s="531">
        <v>1</v>
      </c>
      <c r="P100" s="531" t="s">
        <v>541</v>
      </c>
      <c r="Q100" s="531">
        <v>1</v>
      </c>
      <c r="R100" s="538"/>
      <c r="S100" s="531">
        <v>1</v>
      </c>
      <c r="T100" s="531">
        <v>3</v>
      </c>
      <c r="U100" s="538"/>
      <c r="V100" s="538"/>
      <c r="W100" s="538"/>
      <c r="X100" s="538"/>
      <c r="Y100" s="531">
        <v>1</v>
      </c>
      <c r="Z100" s="538"/>
      <c r="AA100" s="538"/>
      <c r="AB100" s="538"/>
      <c r="AC100" s="539"/>
      <c r="AD100" s="539"/>
      <c r="AE100" s="539"/>
      <c r="AF100" s="539"/>
      <c r="AG100" s="539"/>
      <c r="AH100" s="539"/>
      <c r="AI100" s="539"/>
      <c r="AJ100" s="539"/>
      <c r="AK100" s="539"/>
      <c r="AL100" s="539"/>
      <c r="AM100" s="539"/>
      <c r="AN100" s="539"/>
      <c r="AO100" s="539"/>
      <c r="AP100" s="539">
        <f>IF(Table_NFI[[#This Row],[Winter Clothes Adult]]+Table_NFI[[#This Row],[Winter Clothes Children]]+Table_NFI[[#This Row],[Winter Items Other]]+Table_NFI[[#This Row],[Winter Blanket]]&gt;0,1,0)</f>
        <v>0</v>
      </c>
      <c r="AQ100" s="539"/>
      <c r="AR100" s="539"/>
      <c r="AS100" s="539"/>
      <c r="AT100" s="539"/>
      <c r="AU100" s="539"/>
      <c r="AV100" s="539"/>
      <c r="AW100" s="539"/>
      <c r="AX100" s="540" t="str">
        <f>IFERROR(VLOOKUP(Table_NFI[[#This Row],[Location]],CL,2,0),"")</f>
        <v>MMR001CMP020</v>
      </c>
      <c r="AY100" s="541"/>
      <c r="DS100" s="181"/>
    </row>
    <row r="101" spans="2:123" ht="18.75" hidden="1" customHeight="1" x14ac:dyDescent="0.3">
      <c r="B101" s="536">
        <v>43010</v>
      </c>
      <c r="C101" s="536" t="str">
        <f>MONTH(Table_NFI[[#This Row],[Distribution Date]]) &amp; "/" &amp; YEAR(Table_NFI[[#This Row],[Distribution Date]])</f>
        <v>10/2017</v>
      </c>
      <c r="D101" s="534" t="s">
        <v>462</v>
      </c>
      <c r="E101" s="534" t="s">
        <v>420</v>
      </c>
      <c r="F101" s="534" t="s">
        <v>378</v>
      </c>
      <c r="G101" s="534" t="s">
        <v>309</v>
      </c>
      <c r="H101" s="217" t="s">
        <v>317</v>
      </c>
      <c r="I101" s="537"/>
      <c r="J101" s="538"/>
      <c r="K101" s="538"/>
      <c r="L101" s="531">
        <v>4</v>
      </c>
      <c r="M101" s="531">
        <v>4</v>
      </c>
      <c r="N101" s="531">
        <v>6</v>
      </c>
      <c r="O101" s="531">
        <v>4</v>
      </c>
      <c r="P101" s="531">
        <v>4</v>
      </c>
      <c r="Q101" s="531">
        <v>3</v>
      </c>
      <c r="R101" s="538"/>
      <c r="S101" s="531">
        <v>3</v>
      </c>
      <c r="T101" s="531">
        <v>5</v>
      </c>
      <c r="U101" s="538"/>
      <c r="V101" s="538"/>
      <c r="W101" s="538"/>
      <c r="X101" s="538"/>
      <c r="Y101" s="531">
        <v>4</v>
      </c>
      <c r="Z101" s="538"/>
      <c r="AA101" s="538"/>
      <c r="AB101" s="538"/>
      <c r="AC101" s="539"/>
      <c r="AD101" s="539"/>
      <c r="AE101" s="539"/>
      <c r="AF101" s="539"/>
      <c r="AG101" s="539"/>
      <c r="AH101" s="539"/>
      <c r="AI101" s="539"/>
      <c r="AJ101" s="539"/>
      <c r="AK101" s="539"/>
      <c r="AL101" s="539"/>
      <c r="AM101" s="539"/>
      <c r="AN101" s="539"/>
      <c r="AO101" s="539"/>
      <c r="AP101" s="539">
        <f>IF(Table_NFI[[#This Row],[Winter Clothes Adult]]+Table_NFI[[#This Row],[Winter Clothes Children]]+Table_NFI[[#This Row],[Winter Items Other]]+Table_NFI[[#This Row],[Winter Blanket]]&gt;0,1,0)</f>
        <v>0</v>
      </c>
      <c r="AQ101" s="539"/>
      <c r="AR101" s="539"/>
      <c r="AS101" s="539"/>
      <c r="AT101" s="539"/>
      <c r="AU101" s="539"/>
      <c r="AV101" s="539"/>
      <c r="AW101" s="539"/>
      <c r="AX101" s="540" t="str">
        <f>IFERROR(VLOOKUP(Table_NFI[[#This Row],[Location]],CL,2,0),"")</f>
        <v>MMR001CMP032</v>
      </c>
      <c r="AY101" s="541"/>
      <c r="DS101" s="181"/>
    </row>
    <row r="102" spans="2:123" ht="18.75" hidden="1" customHeight="1" x14ac:dyDescent="0.3">
      <c r="B102" s="536">
        <v>43010</v>
      </c>
      <c r="C102" s="536" t="str">
        <f>MONTH(Table_NFI[[#This Row],[Distribution Date]]) &amp; "/" &amp; YEAR(Table_NFI[[#This Row],[Distribution Date]])</f>
        <v>10/2017</v>
      </c>
      <c r="D102" s="534" t="s">
        <v>462</v>
      </c>
      <c r="E102" s="534" t="s">
        <v>420</v>
      </c>
      <c r="F102" s="196" t="s">
        <v>378</v>
      </c>
      <c r="G102" s="534" t="s">
        <v>309</v>
      </c>
      <c r="H102" s="217" t="s">
        <v>315</v>
      </c>
      <c r="I102" s="537"/>
      <c r="J102" s="538"/>
      <c r="K102" s="538"/>
      <c r="L102" s="531">
        <v>2</v>
      </c>
      <c r="M102" s="531">
        <v>2</v>
      </c>
      <c r="N102" s="531">
        <v>3</v>
      </c>
      <c r="O102" s="531">
        <v>2</v>
      </c>
      <c r="P102" s="531">
        <v>5</v>
      </c>
      <c r="Q102" s="531">
        <v>1</v>
      </c>
      <c r="R102" s="538"/>
      <c r="S102" s="531">
        <v>1</v>
      </c>
      <c r="T102" s="531">
        <v>5</v>
      </c>
      <c r="U102" s="538"/>
      <c r="V102" s="538"/>
      <c r="W102" s="538"/>
      <c r="X102" s="538"/>
      <c r="Y102" s="531">
        <v>2</v>
      </c>
      <c r="Z102" s="538"/>
      <c r="AA102" s="538"/>
      <c r="AB102" s="538"/>
      <c r="AC102" s="539"/>
      <c r="AD102" s="539"/>
      <c r="AE102" s="539"/>
      <c r="AF102" s="539"/>
      <c r="AG102" s="539"/>
      <c r="AH102" s="539"/>
      <c r="AI102" s="539"/>
      <c r="AJ102" s="539"/>
      <c r="AK102" s="539"/>
      <c r="AL102" s="539"/>
      <c r="AM102" s="539"/>
      <c r="AN102" s="539"/>
      <c r="AO102" s="539"/>
      <c r="AP102" s="539">
        <f>IF(Table_NFI[[#This Row],[Winter Clothes Adult]]+Table_NFI[[#This Row],[Winter Clothes Children]]+Table_NFI[[#This Row],[Winter Items Other]]+Table_NFI[[#This Row],[Winter Blanket]]&gt;0,1,0)</f>
        <v>0</v>
      </c>
      <c r="AQ102" s="539"/>
      <c r="AR102" s="539"/>
      <c r="AS102" s="539"/>
      <c r="AT102" s="539"/>
      <c r="AU102" s="539"/>
      <c r="AV102" s="539"/>
      <c r="AW102" s="539"/>
      <c r="AX102" s="540" t="str">
        <f>IFERROR(VLOOKUP(Table_NFI[[#This Row],[Location]],CL,2,0),"")</f>
        <v>MMR001CMP038</v>
      </c>
      <c r="AY102" s="541"/>
      <c r="DS102" s="181"/>
    </row>
    <row r="103" spans="2:123" ht="18.75" hidden="1" customHeight="1" x14ac:dyDescent="0.3">
      <c r="B103" s="530">
        <v>43025</v>
      </c>
      <c r="C103" s="530" t="str">
        <f>MONTH(Table_NFI[[#This Row],[Distribution Date]]) &amp; "/" &amp; YEAR(Table_NFI[[#This Row],[Distribution Date]])</f>
        <v>10/2017</v>
      </c>
      <c r="D103" s="196" t="s">
        <v>1459</v>
      </c>
      <c r="E103" s="196" t="s">
        <v>420</v>
      </c>
      <c r="F103" s="196" t="s">
        <v>378</v>
      </c>
      <c r="G103" s="195" t="s">
        <v>185</v>
      </c>
      <c r="H103" s="196" t="s">
        <v>196</v>
      </c>
      <c r="I103" s="181"/>
      <c r="J103" s="531"/>
      <c r="K103" s="531"/>
      <c r="L103" s="531"/>
      <c r="M103" s="531"/>
      <c r="N103" s="531"/>
      <c r="O103" s="531"/>
      <c r="P103" s="531">
        <v>3170</v>
      </c>
      <c r="Q103" s="531"/>
      <c r="R103" s="531"/>
      <c r="S103" s="531"/>
      <c r="T103" s="531"/>
      <c r="U103" s="531"/>
      <c r="V103" s="531">
        <v>2536</v>
      </c>
      <c r="W103" s="531"/>
      <c r="X103" s="531"/>
      <c r="Y103" s="531"/>
      <c r="Z103" s="531"/>
      <c r="AA103" s="531"/>
      <c r="AB103" s="531"/>
      <c r="AC103" s="532"/>
      <c r="AD103" s="532"/>
      <c r="AE103" s="532"/>
      <c r="AF103" s="532"/>
      <c r="AG103" s="532"/>
      <c r="AH103" s="532"/>
      <c r="AI103" s="532"/>
      <c r="AJ103" s="532"/>
      <c r="AK103" s="532"/>
      <c r="AL103" s="532"/>
      <c r="AM103" s="532"/>
      <c r="AN103" s="532"/>
      <c r="AO103" s="532"/>
      <c r="AP103" s="532">
        <f>IF(Table_NFI[[#This Row],[Winter Clothes Adult]]+Table_NFI[[#This Row],[Winter Clothes Children]]+Table_NFI[[#This Row],[Winter Items Other]]+Table_NFI[[#This Row],[Winter Blanket]]&gt;0,1,0)</f>
        <v>1</v>
      </c>
      <c r="AQ103" s="532"/>
      <c r="AR103" s="532"/>
      <c r="AS103" s="532"/>
      <c r="AT103" s="532"/>
      <c r="AU103" s="532"/>
      <c r="AV103" s="532"/>
      <c r="AW103" s="532"/>
      <c r="AX103" s="203" t="str">
        <f>IFERROR(VLOOKUP(Table_NFI[[#This Row],[Location]],CL,2,0),"")</f>
        <v>MMR001CMP121</v>
      </c>
      <c r="AY103" s="181" t="s">
        <v>1531</v>
      </c>
      <c r="DS103" s="181"/>
    </row>
    <row r="104" spans="2:123" ht="18.75" hidden="1" customHeight="1" x14ac:dyDescent="0.3">
      <c r="B104" s="530">
        <v>43026</v>
      </c>
      <c r="C104" s="530" t="str">
        <f>MONTH(Table_NFI[[#This Row],[Distribution Date]]) &amp; "/" &amp; YEAR(Table_NFI[[#This Row],[Distribution Date]])</f>
        <v>10/2017</v>
      </c>
      <c r="D104" s="196" t="s">
        <v>1459</v>
      </c>
      <c r="E104" s="196" t="s">
        <v>420</v>
      </c>
      <c r="F104" s="196" t="s">
        <v>378</v>
      </c>
      <c r="G104" s="196" t="s">
        <v>309</v>
      </c>
      <c r="H104" s="196" t="s">
        <v>353</v>
      </c>
      <c r="I104" s="181"/>
      <c r="J104" s="531"/>
      <c r="K104" s="531"/>
      <c r="L104" s="531"/>
      <c r="M104" s="531"/>
      <c r="N104" s="531"/>
      <c r="O104" s="531"/>
      <c r="P104" s="531">
        <v>182</v>
      </c>
      <c r="Q104" s="531"/>
      <c r="R104" s="531"/>
      <c r="S104" s="531"/>
      <c r="T104" s="531"/>
      <c r="U104" s="531">
        <v>137</v>
      </c>
      <c r="V104" s="531">
        <v>264</v>
      </c>
      <c r="W104" s="531"/>
      <c r="X104" s="531"/>
      <c r="Y104" s="531"/>
      <c r="Z104" s="531"/>
      <c r="AA104" s="531"/>
      <c r="AB104" s="531"/>
      <c r="AC104" s="532"/>
      <c r="AD104" s="532"/>
      <c r="AE104" s="532"/>
      <c r="AF104" s="532"/>
      <c r="AG104" s="532"/>
      <c r="AH104" s="532"/>
      <c r="AI104" s="532"/>
      <c r="AJ104" s="532"/>
      <c r="AK104" s="532"/>
      <c r="AL104" s="532"/>
      <c r="AM104" s="532"/>
      <c r="AN104" s="532"/>
      <c r="AO104" s="532"/>
      <c r="AP104" s="532">
        <f>IF(Table_NFI[[#This Row],[Winter Clothes Adult]]+Table_NFI[[#This Row],[Winter Clothes Children]]+Table_NFI[[#This Row],[Winter Items Other]]+Table_NFI[[#This Row],[Winter Blanket]]&gt;0,1,0)</f>
        <v>1</v>
      </c>
      <c r="AQ104" s="532"/>
      <c r="AR104" s="532"/>
      <c r="AS104" s="532"/>
      <c r="AT104" s="532"/>
      <c r="AU104" s="532"/>
      <c r="AV104" s="532"/>
      <c r="AW104" s="532"/>
      <c r="AX104" s="203" t="str">
        <f>IFERROR(VLOOKUP(Table_NFI[[#This Row],[Location]],CL,2,0),"")</f>
        <v>MMR001CMP160</v>
      </c>
      <c r="AY104" s="181" t="s">
        <v>1531</v>
      </c>
      <c r="DS104" s="181"/>
    </row>
    <row r="105" spans="2:123" ht="18.75" hidden="1" customHeight="1" x14ac:dyDescent="0.3">
      <c r="B105" s="530">
        <v>43027</v>
      </c>
      <c r="C105" s="530" t="str">
        <f>MONTH(Table_NFI[[#This Row],[Distribution Date]]) &amp; "/" &amp; YEAR(Table_NFI[[#This Row],[Distribution Date]])</f>
        <v>10/2017</v>
      </c>
      <c r="D105" s="196" t="s">
        <v>1459</v>
      </c>
      <c r="E105" s="196" t="s">
        <v>420</v>
      </c>
      <c r="F105" s="196" t="s">
        <v>378</v>
      </c>
      <c r="G105" s="195" t="s">
        <v>185</v>
      </c>
      <c r="H105" s="196" t="s">
        <v>192</v>
      </c>
      <c r="I105" s="181"/>
      <c r="J105" s="531"/>
      <c r="K105" s="531"/>
      <c r="L105" s="531"/>
      <c r="M105" s="531"/>
      <c r="N105" s="531"/>
      <c r="O105" s="531"/>
      <c r="P105" s="531">
        <v>196</v>
      </c>
      <c r="Q105" s="531"/>
      <c r="R105" s="531"/>
      <c r="S105" s="531"/>
      <c r="T105" s="531"/>
      <c r="U105" s="531">
        <v>195</v>
      </c>
      <c r="V105" s="531">
        <v>214</v>
      </c>
      <c r="W105" s="531"/>
      <c r="X105" s="531"/>
      <c r="Y105" s="531"/>
      <c r="Z105" s="531"/>
      <c r="AA105" s="531"/>
      <c r="AB105" s="531"/>
      <c r="AC105" s="532"/>
      <c r="AD105" s="532"/>
      <c r="AE105" s="532"/>
      <c r="AF105" s="532"/>
      <c r="AG105" s="532"/>
      <c r="AH105" s="532"/>
      <c r="AI105" s="532"/>
      <c r="AJ105" s="532"/>
      <c r="AK105" s="532"/>
      <c r="AL105" s="532"/>
      <c r="AM105" s="532"/>
      <c r="AN105" s="532"/>
      <c r="AO105" s="532"/>
      <c r="AP105" s="532">
        <f>IF(Table_NFI[[#This Row],[Winter Clothes Adult]]+Table_NFI[[#This Row],[Winter Clothes Children]]+Table_NFI[[#This Row],[Winter Items Other]]+Table_NFI[[#This Row],[Winter Blanket]]&gt;0,1,0)</f>
        <v>1</v>
      </c>
      <c r="AQ105" s="532"/>
      <c r="AR105" s="532"/>
      <c r="AS105" s="532"/>
      <c r="AT105" s="532"/>
      <c r="AU105" s="532"/>
      <c r="AV105" s="532"/>
      <c r="AW105" s="532"/>
      <c r="AX105" s="203" t="str">
        <f>IFERROR(VLOOKUP(Table_NFI[[#This Row],[Location]],CL,2,0),"")</f>
        <v>MMR001CMP123</v>
      </c>
      <c r="AY105" s="181" t="s">
        <v>1531</v>
      </c>
      <c r="DS105" s="181"/>
    </row>
    <row r="106" spans="2:123" ht="18.75" hidden="1" customHeight="1" x14ac:dyDescent="0.3">
      <c r="B106" s="530">
        <v>43028</v>
      </c>
      <c r="C106" s="530" t="str">
        <f>MONTH(Table_NFI[[#This Row],[Distribution Date]]) &amp; "/" &amp; YEAR(Table_NFI[[#This Row],[Distribution Date]])</f>
        <v>10/2017</v>
      </c>
      <c r="D106" s="196" t="s">
        <v>1459</v>
      </c>
      <c r="E106" s="196" t="s">
        <v>420</v>
      </c>
      <c r="F106" s="196" t="s">
        <v>378</v>
      </c>
      <c r="G106" s="196" t="s">
        <v>309</v>
      </c>
      <c r="H106" s="196" t="s">
        <v>333</v>
      </c>
      <c r="I106" s="181"/>
      <c r="J106" s="531"/>
      <c r="K106" s="531"/>
      <c r="L106" s="531"/>
      <c r="M106" s="531"/>
      <c r="N106" s="531"/>
      <c r="O106" s="531"/>
      <c r="P106" s="531">
        <v>304</v>
      </c>
      <c r="Q106" s="531"/>
      <c r="R106" s="531"/>
      <c r="S106" s="531"/>
      <c r="T106" s="531"/>
      <c r="U106" s="531">
        <v>348</v>
      </c>
      <c r="V106" s="531">
        <v>269</v>
      </c>
      <c r="W106" s="531"/>
      <c r="X106" s="531"/>
      <c r="Y106" s="531"/>
      <c r="Z106" s="531"/>
      <c r="AA106" s="531"/>
      <c r="AB106" s="531"/>
      <c r="AC106" s="532"/>
      <c r="AD106" s="532"/>
      <c r="AE106" s="532"/>
      <c r="AF106" s="532"/>
      <c r="AG106" s="532"/>
      <c r="AH106" s="532"/>
      <c r="AI106" s="532"/>
      <c r="AJ106" s="532"/>
      <c r="AK106" s="532"/>
      <c r="AL106" s="532"/>
      <c r="AM106" s="532"/>
      <c r="AN106" s="532"/>
      <c r="AO106" s="532"/>
      <c r="AP106" s="532">
        <f>IF(Table_NFI[[#This Row],[Winter Clothes Adult]]+Table_NFI[[#This Row],[Winter Clothes Children]]+Table_NFI[[#This Row],[Winter Items Other]]+Table_NFI[[#This Row],[Winter Blanket]]&gt;0,1,0)</f>
        <v>1</v>
      </c>
      <c r="AQ106" s="532"/>
      <c r="AR106" s="532"/>
      <c r="AS106" s="532"/>
      <c r="AT106" s="532"/>
      <c r="AU106" s="532"/>
      <c r="AV106" s="532"/>
      <c r="AW106" s="532"/>
      <c r="AX106" s="203" t="str">
        <f>IFERROR(VLOOKUP(Table_NFI[[#This Row],[Location]],CL,2,0),"")</f>
        <v>MMR001CMP113</v>
      </c>
      <c r="AY106" s="181" t="s">
        <v>1531</v>
      </c>
      <c r="DS106" s="181"/>
    </row>
    <row r="107" spans="2:123" ht="18.75" hidden="1" customHeight="1" x14ac:dyDescent="0.3">
      <c r="B107" s="530">
        <v>43035</v>
      </c>
      <c r="C107" s="530" t="str">
        <f>MONTH(Table_NFI[[#This Row],[Distribution Date]]) &amp; "/" &amp; YEAR(Table_NFI[[#This Row],[Distribution Date]])</f>
        <v>10/2017</v>
      </c>
      <c r="D107" s="196" t="s">
        <v>1256</v>
      </c>
      <c r="E107" s="217" t="s">
        <v>1256</v>
      </c>
      <c r="F107" s="196" t="s">
        <v>378</v>
      </c>
      <c r="G107" s="195" t="s">
        <v>185</v>
      </c>
      <c r="H107" s="544" t="s">
        <v>1532</v>
      </c>
      <c r="I107" s="181">
        <v>69</v>
      </c>
      <c r="J107" s="531"/>
      <c r="K107" s="531"/>
      <c r="L107" s="531"/>
      <c r="M107" s="531"/>
      <c r="N107" s="531"/>
      <c r="O107" s="531"/>
      <c r="P107" s="531"/>
      <c r="Q107" s="531"/>
      <c r="R107" s="531"/>
      <c r="S107" s="531"/>
      <c r="T107" s="531"/>
      <c r="U107" s="531"/>
      <c r="V107" s="531"/>
      <c r="W107" s="531"/>
      <c r="X107" s="531"/>
      <c r="Y107" s="531"/>
      <c r="Z107" s="531"/>
      <c r="AA107" s="531"/>
      <c r="AB107" s="531"/>
      <c r="AC107" s="532"/>
      <c r="AD107" s="532"/>
      <c r="AE107" s="532"/>
      <c r="AF107" s="532"/>
      <c r="AG107" s="532"/>
      <c r="AH107" s="532"/>
      <c r="AI107" s="532"/>
      <c r="AJ107" s="532"/>
      <c r="AK107" s="532"/>
      <c r="AL107" s="532"/>
      <c r="AM107" s="532"/>
      <c r="AN107" s="532"/>
      <c r="AO107" s="532"/>
      <c r="AP107" s="532">
        <f>IF(Table_NFI[[#This Row],[Winter Clothes Adult]]+Table_NFI[[#This Row],[Winter Clothes Children]]+Table_NFI[[#This Row],[Winter Items Other]]+Table_NFI[[#This Row],[Winter Blanket]]&gt;0,1,0)</f>
        <v>0</v>
      </c>
      <c r="AQ107" s="532"/>
      <c r="AR107" s="532"/>
      <c r="AS107" s="532"/>
      <c r="AT107" s="532"/>
      <c r="AU107" s="532"/>
      <c r="AV107" s="532"/>
      <c r="AW107" s="532"/>
      <c r="AX107" s="203" t="str">
        <f>IFERROR(VLOOKUP(Table_NFI[[#This Row],[Location]],CL,2,0),"")</f>
        <v/>
      </c>
      <c r="DS107" s="181"/>
    </row>
    <row r="108" spans="2:123" ht="18.75" hidden="1" customHeight="1" x14ac:dyDescent="0.3">
      <c r="B108" s="530">
        <v>43066</v>
      </c>
      <c r="C108" s="530" t="str">
        <f>MONTH(Table_NFI[[#This Row],[Distribution Date]]) &amp; "/" &amp; YEAR(Table_NFI[[#This Row],[Distribution Date]])</f>
        <v>11/2017</v>
      </c>
      <c r="D108" s="196" t="s">
        <v>1549</v>
      </c>
      <c r="E108" s="196" t="s">
        <v>1549</v>
      </c>
      <c r="F108" s="196" t="s">
        <v>506</v>
      </c>
      <c r="G108" s="196" t="s">
        <v>297</v>
      </c>
      <c r="H108" s="196" t="s">
        <v>1273</v>
      </c>
      <c r="I108" s="181"/>
      <c r="J108" s="531"/>
      <c r="K108" s="531"/>
      <c r="L108" s="531"/>
      <c r="M108" s="531"/>
      <c r="N108" s="531"/>
      <c r="O108" s="531"/>
      <c r="P108" s="531"/>
      <c r="Q108" s="531"/>
      <c r="R108" s="531"/>
      <c r="S108" s="531"/>
      <c r="T108" s="531"/>
      <c r="U108" s="531"/>
      <c r="V108" s="531"/>
      <c r="W108" s="531">
        <v>60</v>
      </c>
      <c r="X108" s="531"/>
      <c r="Y108" s="531"/>
      <c r="Z108" s="531"/>
      <c r="AA108" s="531"/>
      <c r="AB108" s="531"/>
      <c r="AC108" s="532"/>
      <c r="AD108" s="532"/>
      <c r="AE108" s="532"/>
      <c r="AF108" s="532"/>
      <c r="AG108" s="532"/>
      <c r="AH108" s="532"/>
      <c r="AI108" s="532"/>
      <c r="AJ108" s="532"/>
      <c r="AK108" s="532"/>
      <c r="AL108" s="532"/>
      <c r="AM108" s="532"/>
      <c r="AN108" s="532"/>
      <c r="AO108" s="532"/>
      <c r="AP108" s="532">
        <f>IF(Table_NFI[[#This Row],[Winter Clothes Adult]]+Table_NFI[[#This Row],[Winter Clothes Children]]+Table_NFI[[#This Row],[Winter Items Other]]+Table_NFI[[#This Row],[Winter Blanket]]&gt;0,1,0)</f>
        <v>1</v>
      </c>
      <c r="AQ108" s="532"/>
      <c r="AR108" s="532"/>
      <c r="AS108" s="532"/>
      <c r="AT108" s="532"/>
      <c r="AU108" s="532"/>
      <c r="AV108" s="532"/>
      <c r="AW108" s="532"/>
      <c r="AX108" s="203" t="str">
        <f>IFERROR(VLOOKUP(Table_NFI[[#This Row],[Location]],CL,2,0),"")</f>
        <v>MMR015CMP248</v>
      </c>
      <c r="DS108" s="181"/>
    </row>
    <row r="109" spans="2:123" ht="18.75" hidden="1" customHeight="1" x14ac:dyDescent="0.3">
      <c r="B109" s="530">
        <v>43066</v>
      </c>
      <c r="C109" s="530" t="str">
        <f>MONTH(Table_NFI[[#This Row],[Distribution Date]]) &amp; "/" &amp; YEAR(Table_NFI[[#This Row],[Distribution Date]])</f>
        <v>11/2017</v>
      </c>
      <c r="D109" s="196" t="s">
        <v>1549</v>
      </c>
      <c r="E109" s="196" t="s">
        <v>1549</v>
      </c>
      <c r="F109" s="196" t="s">
        <v>506</v>
      </c>
      <c r="G109" s="196" t="s">
        <v>297</v>
      </c>
      <c r="H109" s="196" t="s">
        <v>759</v>
      </c>
      <c r="I109" s="181"/>
      <c r="J109" s="531"/>
      <c r="K109" s="531"/>
      <c r="L109" s="531"/>
      <c r="M109" s="531"/>
      <c r="N109" s="531"/>
      <c r="O109" s="531"/>
      <c r="P109" s="531"/>
      <c r="Q109" s="531"/>
      <c r="R109" s="531"/>
      <c r="S109" s="531"/>
      <c r="T109" s="531"/>
      <c r="U109" s="531"/>
      <c r="V109" s="531"/>
      <c r="W109" s="531">
        <v>46</v>
      </c>
      <c r="X109" s="531"/>
      <c r="Y109" s="531"/>
      <c r="Z109" s="531"/>
      <c r="AA109" s="531"/>
      <c r="AB109" s="531"/>
      <c r="AC109" s="532"/>
      <c r="AD109" s="532"/>
      <c r="AE109" s="532"/>
      <c r="AF109" s="532"/>
      <c r="AG109" s="532"/>
      <c r="AH109" s="532"/>
      <c r="AI109" s="532"/>
      <c r="AJ109" s="532"/>
      <c r="AK109" s="532"/>
      <c r="AL109" s="532"/>
      <c r="AM109" s="532"/>
      <c r="AN109" s="532"/>
      <c r="AO109" s="532"/>
      <c r="AP109" s="532">
        <f>IF(Table_NFI[[#This Row],[Winter Clothes Adult]]+Table_NFI[[#This Row],[Winter Clothes Children]]+Table_NFI[[#This Row],[Winter Items Other]]+Table_NFI[[#This Row],[Winter Blanket]]&gt;0,1,0)</f>
        <v>1</v>
      </c>
      <c r="AQ109" s="532"/>
      <c r="AR109" s="532"/>
      <c r="AS109" s="532"/>
      <c r="AT109" s="532"/>
      <c r="AU109" s="532"/>
      <c r="AV109" s="532"/>
      <c r="AW109" s="532"/>
      <c r="AX109" s="203" t="str">
        <f>IFERROR(VLOOKUP(Table_NFI[[#This Row],[Location]],CL,2,0),"")</f>
        <v>MMR015CMP014</v>
      </c>
      <c r="DS109" s="181"/>
    </row>
    <row r="110" spans="2:123" ht="18.75" hidden="1" customHeight="1" x14ac:dyDescent="0.3">
      <c r="B110" s="530">
        <v>43067</v>
      </c>
      <c r="C110" s="530" t="str">
        <f>MONTH(Table_NFI[[#This Row],[Distribution Date]]) &amp; "/" &amp; YEAR(Table_NFI[[#This Row],[Distribution Date]])</f>
        <v>11/2017</v>
      </c>
      <c r="D110" s="196" t="s">
        <v>420</v>
      </c>
      <c r="E110" s="196" t="s">
        <v>462</v>
      </c>
      <c r="F110" s="196" t="s">
        <v>378</v>
      </c>
      <c r="G110" s="195" t="s">
        <v>237</v>
      </c>
      <c r="H110" s="196" t="s">
        <v>1506</v>
      </c>
      <c r="I110" s="181"/>
      <c r="J110" s="531"/>
      <c r="K110" s="531"/>
      <c r="L110" s="531"/>
      <c r="M110" s="531"/>
      <c r="N110" s="531"/>
      <c r="O110" s="531"/>
      <c r="P110" s="531">
        <v>50</v>
      </c>
      <c r="Q110" s="531"/>
      <c r="R110" s="531"/>
      <c r="S110" s="531"/>
      <c r="T110" s="531"/>
      <c r="U110" s="531">
        <v>36</v>
      </c>
      <c r="V110" s="531">
        <v>13</v>
      </c>
      <c r="W110" s="531"/>
      <c r="X110" s="531"/>
      <c r="Y110" s="531"/>
      <c r="Z110" s="531"/>
      <c r="AA110" s="531"/>
      <c r="AB110" s="531"/>
      <c r="AC110" s="181"/>
      <c r="AD110" s="532"/>
      <c r="AE110" s="532"/>
      <c r="AF110" s="532"/>
      <c r="AG110" s="532"/>
      <c r="AH110" s="532"/>
      <c r="AI110" s="532"/>
      <c r="AJ110" s="532"/>
      <c r="AK110" s="532"/>
      <c r="AL110" s="532"/>
      <c r="AM110" s="532"/>
      <c r="AN110" s="532"/>
      <c r="AO110" s="532"/>
      <c r="AP110" s="532">
        <f>IF(Table_NFI[[#This Row],[Winter Clothes Adult]]+Table_NFI[[#This Row],[Winter Clothes Children]]+Table_NFI[[#This Row],[Winter Items Other]]+Table_NFI[[#This Row],[Winter Blanket]]&gt;0,1,0)</f>
        <v>1</v>
      </c>
      <c r="AQ110" s="532"/>
      <c r="AR110" s="532"/>
      <c r="AS110" s="532"/>
      <c r="AT110" s="532"/>
      <c r="AU110" s="532"/>
      <c r="AV110" s="532"/>
      <c r="AW110" s="532"/>
      <c r="AX110" s="203" t="str">
        <f>IFERROR(VLOOKUP(Table_NFI[[#This Row],[Location]],CL,2,0),"")</f>
        <v>MMR001CMP256</v>
      </c>
      <c r="DS110" s="181"/>
    </row>
    <row r="111" spans="2:123" ht="18.75" hidden="1" customHeight="1" x14ac:dyDescent="0.3">
      <c r="B111" s="530">
        <v>43068</v>
      </c>
      <c r="C111" s="530" t="str">
        <f>MONTH(Table_NFI[[#This Row],[Distribution Date]]) &amp; "/" &amp; YEAR(Table_NFI[[#This Row],[Distribution Date]])</f>
        <v>11/2017</v>
      </c>
      <c r="D111" s="196" t="s">
        <v>1549</v>
      </c>
      <c r="E111" s="196" t="s">
        <v>1549</v>
      </c>
      <c r="F111" s="196" t="s">
        <v>506</v>
      </c>
      <c r="G111" s="196" t="s">
        <v>230</v>
      </c>
      <c r="H111" s="196" t="s">
        <v>901</v>
      </c>
      <c r="I111" s="181"/>
      <c r="J111" s="531"/>
      <c r="K111" s="531"/>
      <c r="L111" s="531"/>
      <c r="M111" s="531"/>
      <c r="N111" s="531"/>
      <c r="O111" s="531"/>
      <c r="P111" s="531"/>
      <c r="Q111" s="531"/>
      <c r="R111" s="531"/>
      <c r="S111" s="531"/>
      <c r="T111" s="531"/>
      <c r="U111" s="531"/>
      <c r="V111" s="531"/>
      <c r="W111" s="531">
        <v>43</v>
      </c>
      <c r="X111" s="531"/>
      <c r="Y111" s="531"/>
      <c r="Z111" s="531"/>
      <c r="AA111" s="531"/>
      <c r="AB111" s="531"/>
      <c r="AC111" s="532"/>
      <c r="AD111" s="532"/>
      <c r="AE111" s="532"/>
      <c r="AF111" s="532"/>
      <c r="AG111" s="532"/>
      <c r="AH111" s="532"/>
      <c r="AI111" s="532"/>
      <c r="AJ111" s="532"/>
      <c r="AK111" s="532"/>
      <c r="AL111" s="532"/>
      <c r="AM111" s="532"/>
      <c r="AN111" s="532"/>
      <c r="AO111" s="532"/>
      <c r="AP111" s="532">
        <f>IF(Table_NFI[[#This Row],[Winter Clothes Adult]]+Table_NFI[[#This Row],[Winter Clothes Children]]+Table_NFI[[#This Row],[Winter Items Other]]+Table_NFI[[#This Row],[Winter Blanket]]&gt;0,1,0)</f>
        <v>1</v>
      </c>
      <c r="AQ111" s="532"/>
      <c r="AR111" s="532"/>
      <c r="AS111" s="532"/>
      <c r="AT111" s="532"/>
      <c r="AU111" s="532"/>
      <c r="AV111" s="532"/>
      <c r="AW111" s="532"/>
      <c r="AX111" s="203" t="str">
        <f>IFERROR(VLOOKUP(Table_NFI[[#This Row],[Location]],CL,2,0),"")</f>
        <v>MMR015CMP213</v>
      </c>
      <c r="DS111" s="181"/>
    </row>
    <row r="112" spans="2:123" ht="18.75" hidden="1" customHeight="1" x14ac:dyDescent="0.3">
      <c r="B112" s="530">
        <v>43068</v>
      </c>
      <c r="C112" s="530" t="str">
        <f>MONTH(Table_NFI[[#This Row],[Distribution Date]]) &amp; "/" &amp; YEAR(Table_NFI[[#This Row],[Distribution Date]])</f>
        <v>11/2017</v>
      </c>
      <c r="D112" s="196" t="s">
        <v>1549</v>
      </c>
      <c r="E112" s="196" t="s">
        <v>1549</v>
      </c>
      <c r="F112" s="196" t="s">
        <v>506</v>
      </c>
      <c r="G112" s="196" t="s">
        <v>230</v>
      </c>
      <c r="H112" s="196" t="s">
        <v>911</v>
      </c>
      <c r="I112" s="181"/>
      <c r="J112" s="531"/>
      <c r="K112" s="531"/>
      <c r="L112" s="531"/>
      <c r="M112" s="531"/>
      <c r="N112" s="531"/>
      <c r="O112" s="531"/>
      <c r="P112" s="531"/>
      <c r="Q112" s="531"/>
      <c r="R112" s="531"/>
      <c r="S112" s="531"/>
      <c r="T112" s="531"/>
      <c r="U112" s="531"/>
      <c r="V112" s="531"/>
      <c r="W112" s="531">
        <v>22</v>
      </c>
      <c r="X112" s="531"/>
      <c r="Y112" s="531"/>
      <c r="Z112" s="531"/>
      <c r="AA112" s="531"/>
      <c r="AB112" s="531"/>
      <c r="AC112" s="532"/>
      <c r="AD112" s="532"/>
      <c r="AE112" s="532"/>
      <c r="AF112" s="532"/>
      <c r="AG112" s="532"/>
      <c r="AH112" s="532"/>
      <c r="AI112" s="532"/>
      <c r="AJ112" s="532"/>
      <c r="AK112" s="532"/>
      <c r="AL112" s="532"/>
      <c r="AM112" s="532"/>
      <c r="AN112" s="532"/>
      <c r="AO112" s="532"/>
      <c r="AP112" s="532">
        <f>IF(Table_NFI[[#This Row],[Winter Clothes Adult]]+Table_NFI[[#This Row],[Winter Clothes Children]]+Table_NFI[[#This Row],[Winter Items Other]]+Table_NFI[[#This Row],[Winter Blanket]]&gt;0,1,0)</f>
        <v>1</v>
      </c>
      <c r="AQ112" s="532"/>
      <c r="AR112" s="532"/>
      <c r="AS112" s="532"/>
      <c r="AT112" s="532"/>
      <c r="AU112" s="532"/>
      <c r="AV112" s="532"/>
      <c r="AW112" s="532"/>
      <c r="AX112" s="203" t="str">
        <f>IFERROR(VLOOKUP(Table_NFI[[#This Row],[Location]],CL,2,0),"")</f>
        <v>MMR015CMP216</v>
      </c>
      <c r="DS112" s="181"/>
    </row>
    <row r="113" spans="2:124" ht="18.75" hidden="1" customHeight="1" x14ac:dyDescent="0.3">
      <c r="B113" s="530">
        <v>43075</v>
      </c>
      <c r="C113" s="530" t="str">
        <f>MONTH(Table_NFI[[#This Row],[Distribution Date]]) &amp; "/" &amp; YEAR(Table_NFI[[#This Row],[Distribution Date]])</f>
        <v>12/2017</v>
      </c>
      <c r="D113" s="196" t="s">
        <v>825</v>
      </c>
      <c r="E113" s="196"/>
      <c r="F113" s="196" t="s">
        <v>378</v>
      </c>
      <c r="G113" s="195" t="s">
        <v>185</v>
      </c>
      <c r="H113" s="196" t="s">
        <v>186</v>
      </c>
      <c r="I113" s="181"/>
      <c r="J113" s="531"/>
      <c r="K113" s="531"/>
      <c r="L113" s="531"/>
      <c r="M113" s="531"/>
      <c r="N113" s="531"/>
      <c r="O113" s="531"/>
      <c r="P113" s="531"/>
      <c r="Q113" s="531"/>
      <c r="R113" s="531"/>
      <c r="S113" s="531"/>
      <c r="T113" s="531"/>
      <c r="U113" s="531"/>
      <c r="V113" s="531"/>
      <c r="W113" s="531"/>
      <c r="X113" s="531">
        <v>93</v>
      </c>
      <c r="Y113" s="531"/>
      <c r="Z113" s="531"/>
      <c r="AA113" s="531"/>
      <c r="AB113" s="531"/>
      <c r="AC113" s="532"/>
      <c r="AD113" s="532"/>
      <c r="AE113" s="532"/>
      <c r="AF113" s="532"/>
      <c r="AG113" s="532"/>
      <c r="AH113" s="532"/>
      <c r="AI113" s="532"/>
      <c r="AJ113" s="532"/>
      <c r="AK113" s="532"/>
      <c r="AL113" s="532"/>
      <c r="AM113" s="532"/>
      <c r="AN113" s="532"/>
      <c r="AO113" s="532"/>
      <c r="AP113" s="532">
        <f>IF(Table_NFI[[#This Row],[Winter Clothes Adult]]+Table_NFI[[#This Row],[Winter Clothes Children]]+Table_NFI[[#This Row],[Winter Items Other]]+Table_NFI[[#This Row],[Winter Blanket]]&gt;0,1,0)</f>
        <v>1</v>
      </c>
      <c r="AQ113" s="532"/>
      <c r="AR113" s="532"/>
      <c r="AS113" s="532"/>
      <c r="AT113" s="532"/>
      <c r="AU113" s="532"/>
      <c r="AV113" s="532"/>
      <c r="AW113" s="532"/>
      <c r="AX113" s="203" t="str">
        <f>IFERROR(VLOOKUP(Table_NFI[[#This Row],[Location]],CL,2,0),"")</f>
        <v>MMR001CMP071</v>
      </c>
      <c r="DS113" s="181"/>
    </row>
    <row r="114" spans="2:124" ht="18.75" hidden="1" customHeight="1" x14ac:dyDescent="0.3">
      <c r="B114" s="530">
        <v>43075</v>
      </c>
      <c r="C114" s="530" t="str">
        <f>MONTH(Table_NFI[[#This Row],[Distribution Date]]) &amp; "/" &amp; YEAR(Table_NFI[[#This Row],[Distribution Date]])</f>
        <v>12/2017</v>
      </c>
      <c r="D114" s="196" t="s">
        <v>825</v>
      </c>
      <c r="E114" s="196"/>
      <c r="F114" s="196" t="s">
        <v>378</v>
      </c>
      <c r="G114" s="195" t="s">
        <v>185</v>
      </c>
      <c r="H114" s="196" t="s">
        <v>223</v>
      </c>
      <c r="I114" s="181"/>
      <c r="J114" s="531"/>
      <c r="K114" s="531"/>
      <c r="L114" s="531"/>
      <c r="M114" s="531"/>
      <c r="N114" s="531"/>
      <c r="O114" s="531"/>
      <c r="P114" s="531"/>
      <c r="Q114" s="531"/>
      <c r="R114" s="531"/>
      <c r="S114" s="531"/>
      <c r="T114" s="531"/>
      <c r="U114" s="531"/>
      <c r="V114" s="531"/>
      <c r="W114" s="531"/>
      <c r="X114" s="531">
        <v>143</v>
      </c>
      <c r="Y114" s="531"/>
      <c r="Z114" s="531"/>
      <c r="AA114" s="531"/>
      <c r="AB114" s="531"/>
      <c r="AC114" s="532"/>
      <c r="AD114" s="532"/>
      <c r="AE114" s="532"/>
      <c r="AF114" s="532"/>
      <c r="AG114" s="532"/>
      <c r="AH114" s="532"/>
      <c r="AI114" s="532"/>
      <c r="AJ114" s="532"/>
      <c r="AK114" s="532"/>
      <c r="AL114" s="532"/>
      <c r="AM114" s="532"/>
      <c r="AN114" s="532"/>
      <c r="AO114" s="532"/>
      <c r="AP114" s="532">
        <f>IF(Table_NFI[[#This Row],[Winter Clothes Adult]]+Table_NFI[[#This Row],[Winter Clothes Children]]+Table_NFI[[#This Row],[Winter Items Other]]+Table_NFI[[#This Row],[Winter Blanket]]&gt;0,1,0)</f>
        <v>1</v>
      </c>
      <c r="AQ114" s="532"/>
      <c r="AR114" s="532"/>
      <c r="AS114" s="532"/>
      <c r="AT114" s="532"/>
      <c r="AU114" s="532"/>
      <c r="AV114" s="532"/>
      <c r="AW114" s="532"/>
      <c r="AX114" s="203" t="str">
        <f>IFERROR(VLOOKUP(Table_NFI[[#This Row],[Location]],CL,2,0),"")</f>
        <v>MMR001CMP069</v>
      </c>
      <c r="DS114" s="181"/>
    </row>
    <row r="115" spans="2:124" ht="18.75" hidden="1" customHeight="1" x14ac:dyDescent="0.3">
      <c r="B115" s="530">
        <v>43075</v>
      </c>
      <c r="C115" s="530" t="str">
        <f>MONTH(Table_NFI[[#This Row],[Distribution Date]]) &amp; "/" &amp; YEAR(Table_NFI[[#This Row],[Distribution Date]])</f>
        <v>12/2017</v>
      </c>
      <c r="D115" s="196" t="s">
        <v>825</v>
      </c>
      <c r="E115" s="196"/>
      <c r="F115" s="196" t="s">
        <v>378</v>
      </c>
      <c r="G115" s="195" t="s">
        <v>185</v>
      </c>
      <c r="H115" s="196" t="s">
        <v>190</v>
      </c>
      <c r="I115" s="181"/>
      <c r="J115" s="531"/>
      <c r="K115" s="531"/>
      <c r="L115" s="531"/>
      <c r="M115" s="531"/>
      <c r="N115" s="531"/>
      <c r="O115" s="531"/>
      <c r="P115" s="531"/>
      <c r="Q115" s="531"/>
      <c r="R115" s="531"/>
      <c r="S115" s="531"/>
      <c r="T115" s="531"/>
      <c r="U115" s="531"/>
      <c r="V115" s="531"/>
      <c r="W115" s="531"/>
      <c r="X115" s="531">
        <v>474</v>
      </c>
      <c r="Y115" s="531"/>
      <c r="Z115" s="531"/>
      <c r="AA115" s="531"/>
      <c r="AB115" s="531"/>
      <c r="AC115" s="532"/>
      <c r="AD115" s="532"/>
      <c r="AE115" s="532"/>
      <c r="AF115" s="532"/>
      <c r="AG115" s="532"/>
      <c r="AH115" s="532"/>
      <c r="AI115" s="532"/>
      <c r="AJ115" s="532"/>
      <c r="AK115" s="532"/>
      <c r="AL115" s="532"/>
      <c r="AM115" s="532"/>
      <c r="AN115" s="532"/>
      <c r="AO115" s="532"/>
      <c r="AP115" s="532">
        <f>IF(Table_NFI[[#This Row],[Winter Clothes Adult]]+Table_NFI[[#This Row],[Winter Clothes Children]]+Table_NFI[[#This Row],[Winter Items Other]]+Table_NFI[[#This Row],[Winter Blanket]]&gt;0,1,0)</f>
        <v>1</v>
      </c>
      <c r="AQ115" s="532"/>
      <c r="AR115" s="532"/>
      <c r="AS115" s="532"/>
      <c r="AT115" s="532"/>
      <c r="AU115" s="532"/>
      <c r="AV115" s="532"/>
      <c r="AW115" s="532"/>
      <c r="AX115" s="203" t="str">
        <f>IFERROR(VLOOKUP(Table_NFI[[#This Row],[Location]],CL,2,0),"")</f>
        <v>MMR001CMP070</v>
      </c>
      <c r="AZ115" s="524"/>
      <c r="DS115" s="181"/>
      <c r="DT115" s="181"/>
    </row>
    <row r="116" spans="2:124" ht="18.75" hidden="1" customHeight="1" x14ac:dyDescent="0.3">
      <c r="B116" s="530">
        <v>43075</v>
      </c>
      <c r="C116" s="530" t="str">
        <f>MONTH(Table_NFI[[#This Row],[Distribution Date]]) &amp; "/" &amp; YEAR(Table_NFI[[#This Row],[Distribution Date]])</f>
        <v>12/2017</v>
      </c>
      <c r="D116" s="196" t="s">
        <v>825</v>
      </c>
      <c r="E116" s="196"/>
      <c r="F116" s="196" t="s">
        <v>378</v>
      </c>
      <c r="G116" s="195" t="s">
        <v>185</v>
      </c>
      <c r="H116" s="196" t="s">
        <v>229</v>
      </c>
      <c r="I116" s="181"/>
      <c r="J116" s="531"/>
      <c r="K116" s="531"/>
      <c r="L116" s="531"/>
      <c r="M116" s="531"/>
      <c r="N116" s="531"/>
      <c r="O116" s="531"/>
      <c r="P116" s="531"/>
      <c r="Q116" s="531"/>
      <c r="R116" s="531"/>
      <c r="S116" s="531"/>
      <c r="T116" s="531"/>
      <c r="U116" s="531"/>
      <c r="V116" s="531"/>
      <c r="W116" s="531"/>
      <c r="X116" s="531">
        <v>122</v>
      </c>
      <c r="Y116" s="531"/>
      <c r="Z116" s="531"/>
      <c r="AA116" s="531"/>
      <c r="AB116" s="531"/>
      <c r="AC116" s="532"/>
      <c r="AD116" s="532"/>
      <c r="AE116" s="532"/>
      <c r="AF116" s="532"/>
      <c r="AG116" s="532"/>
      <c r="AH116" s="532"/>
      <c r="AI116" s="532"/>
      <c r="AJ116" s="532"/>
      <c r="AK116" s="532"/>
      <c r="AL116" s="532"/>
      <c r="AM116" s="532"/>
      <c r="AN116" s="532"/>
      <c r="AO116" s="532"/>
      <c r="AP116" s="532">
        <f>IF(Table_NFI[[#This Row],[Winter Clothes Adult]]+Table_NFI[[#This Row],[Winter Clothes Children]]+Table_NFI[[#This Row],[Winter Items Other]]+Table_NFI[[#This Row],[Winter Blanket]]&gt;0,1,0)</f>
        <v>1</v>
      </c>
      <c r="AQ116" s="532"/>
      <c r="AR116" s="532"/>
      <c r="AS116" s="532"/>
      <c r="AT116" s="532"/>
      <c r="AU116" s="532"/>
      <c r="AV116" s="532"/>
      <c r="AW116" s="532"/>
      <c r="AX116" s="203" t="str">
        <f>IFERROR(VLOOKUP(Table_NFI[[#This Row],[Location]],CL,2,0),"")</f>
        <v>MMR001CMP072</v>
      </c>
      <c r="AZ116" s="524"/>
      <c r="DS116" s="181"/>
      <c r="DT116" s="181"/>
    </row>
    <row r="117" spans="2:124" ht="18.75" hidden="1" customHeight="1" x14ac:dyDescent="0.3">
      <c r="B117" s="530">
        <v>43075</v>
      </c>
      <c r="C117" s="530" t="str">
        <f>MONTH(Table_NFI[[#This Row],[Distribution Date]]) &amp; "/" &amp; YEAR(Table_NFI[[#This Row],[Distribution Date]])</f>
        <v>12/2017</v>
      </c>
      <c r="D117" s="196" t="s">
        <v>825</v>
      </c>
      <c r="E117" s="196"/>
      <c r="F117" s="196" t="s">
        <v>378</v>
      </c>
      <c r="G117" s="195" t="s">
        <v>185</v>
      </c>
      <c r="H117" s="196" t="s">
        <v>225</v>
      </c>
      <c r="I117" s="181"/>
      <c r="J117" s="531"/>
      <c r="K117" s="531"/>
      <c r="L117" s="531"/>
      <c r="M117" s="531"/>
      <c r="N117" s="531"/>
      <c r="O117" s="531"/>
      <c r="P117" s="531"/>
      <c r="Q117" s="531"/>
      <c r="R117" s="531"/>
      <c r="S117" s="531"/>
      <c r="T117" s="531"/>
      <c r="U117" s="531"/>
      <c r="V117" s="531"/>
      <c r="W117" s="531"/>
      <c r="X117" s="531">
        <v>101</v>
      </c>
      <c r="Y117" s="531"/>
      <c r="Z117" s="531"/>
      <c r="AA117" s="531"/>
      <c r="AB117" s="531"/>
      <c r="AC117" s="532"/>
      <c r="AD117" s="532"/>
      <c r="AE117" s="532"/>
      <c r="AF117" s="532"/>
      <c r="AG117" s="532"/>
      <c r="AH117" s="532"/>
      <c r="AI117" s="532"/>
      <c r="AJ117" s="532"/>
      <c r="AK117" s="532"/>
      <c r="AL117" s="532"/>
      <c r="AM117" s="532"/>
      <c r="AN117" s="532"/>
      <c r="AO117" s="532"/>
      <c r="AP117" s="532">
        <f>IF(Table_NFI[[#This Row],[Winter Clothes Adult]]+Table_NFI[[#This Row],[Winter Clothes Children]]+Table_NFI[[#This Row],[Winter Items Other]]+Table_NFI[[#This Row],[Winter Blanket]]&gt;0,1,0)</f>
        <v>1</v>
      </c>
      <c r="AQ117" s="532"/>
      <c r="AR117" s="532"/>
      <c r="AS117" s="532"/>
      <c r="AT117" s="532"/>
      <c r="AU117" s="532"/>
      <c r="AV117" s="532"/>
      <c r="AW117" s="532"/>
      <c r="AX117" s="203" t="str">
        <f>IFERROR(VLOOKUP(Table_NFI[[#This Row],[Location]],CL,2,0),"")</f>
        <v>MMR001CMP073</v>
      </c>
      <c r="AZ117" s="524"/>
      <c r="DS117" s="181"/>
      <c r="DT117" s="181"/>
    </row>
    <row r="118" spans="2:124" ht="18.75" hidden="1" customHeight="1" x14ac:dyDescent="0.3">
      <c r="B118" s="530">
        <v>43078</v>
      </c>
      <c r="C118" s="530" t="str">
        <f>MONTH(Table_NFI[[#This Row],[Distribution Date]]) &amp; "/" &amp; YEAR(Table_NFI[[#This Row],[Distribution Date]])</f>
        <v>12/2017</v>
      </c>
      <c r="D118" s="196" t="s">
        <v>1549</v>
      </c>
      <c r="E118" s="196" t="s">
        <v>1549</v>
      </c>
      <c r="F118" s="196" t="s">
        <v>506</v>
      </c>
      <c r="G118" s="196" t="s">
        <v>297</v>
      </c>
      <c r="H118" s="196" t="s">
        <v>1550</v>
      </c>
      <c r="I118" s="181"/>
      <c r="J118" s="531"/>
      <c r="K118" s="531"/>
      <c r="L118" s="531">
        <v>15</v>
      </c>
      <c r="M118" s="531"/>
      <c r="N118" s="531"/>
      <c r="O118" s="531"/>
      <c r="P118" s="531"/>
      <c r="Q118" s="531"/>
      <c r="R118" s="531"/>
      <c r="S118" s="531"/>
      <c r="T118" s="531"/>
      <c r="U118" s="531"/>
      <c r="V118" s="531"/>
      <c r="W118" s="531">
        <v>15</v>
      </c>
      <c r="X118" s="531"/>
      <c r="Y118" s="531"/>
      <c r="Z118" s="531"/>
      <c r="AA118" s="531"/>
      <c r="AB118" s="531"/>
      <c r="AC118" s="532"/>
      <c r="AD118" s="532"/>
      <c r="AE118" s="532"/>
      <c r="AF118" s="532"/>
      <c r="AG118" s="532"/>
      <c r="AH118" s="532"/>
      <c r="AI118" s="532"/>
      <c r="AJ118" s="532"/>
      <c r="AK118" s="532"/>
      <c r="AL118" s="532"/>
      <c r="AM118" s="532"/>
      <c r="AN118" s="532"/>
      <c r="AO118" s="532"/>
      <c r="AP118" s="532">
        <f>IF(Table_NFI[[#This Row],[Winter Clothes Adult]]+Table_NFI[[#This Row],[Winter Clothes Children]]+Table_NFI[[#This Row],[Winter Items Other]]+Table_NFI[[#This Row],[Winter Blanket]]&gt;0,1,0)</f>
        <v>1</v>
      </c>
      <c r="AQ118" s="532"/>
      <c r="AR118" s="532"/>
      <c r="AS118" s="532"/>
      <c r="AT118" s="532"/>
      <c r="AU118" s="532"/>
      <c r="AV118" s="532"/>
      <c r="AW118" s="532"/>
      <c r="AX118" s="203" t="str">
        <f>IFERROR(VLOOKUP(Table_NFI[[#This Row],[Location]],CL,2,0),"")</f>
        <v/>
      </c>
      <c r="AZ118" s="524"/>
      <c r="DS118" s="181"/>
      <c r="DT118" s="181"/>
    </row>
    <row r="119" spans="2:124" ht="18.75" hidden="1" customHeight="1" x14ac:dyDescent="0.3">
      <c r="B119" s="542">
        <v>43090</v>
      </c>
      <c r="C119" s="542" t="str">
        <f>MONTH(Table_NFI[[#This Row],[Distribution Date]]) &amp; "/" &amp; YEAR(Table_NFI[[#This Row],[Distribution Date]])</f>
        <v>12/2017</v>
      </c>
      <c r="D119" s="196" t="s">
        <v>1560</v>
      </c>
      <c r="E119" s="196" t="s">
        <v>1561</v>
      </c>
      <c r="F119" s="196" t="s">
        <v>506</v>
      </c>
      <c r="G119" s="196" t="s">
        <v>288</v>
      </c>
      <c r="H119" s="196" t="s">
        <v>915</v>
      </c>
      <c r="I119" s="181"/>
      <c r="J119" s="531"/>
      <c r="K119" s="531">
        <v>10</v>
      </c>
      <c r="L119" s="531"/>
      <c r="M119" s="531"/>
      <c r="N119" s="531"/>
      <c r="O119" s="531"/>
      <c r="P119" s="531"/>
      <c r="Q119" s="531"/>
      <c r="R119" s="531"/>
      <c r="S119" s="531"/>
      <c r="T119" s="531"/>
      <c r="U119" s="531"/>
      <c r="V119" s="531"/>
      <c r="W119" s="531"/>
      <c r="X119" s="531"/>
      <c r="Y119" s="531"/>
      <c r="Z119" s="531"/>
      <c r="AA119" s="531"/>
      <c r="AB119" s="531"/>
      <c r="AC119" s="532"/>
      <c r="AD119" s="532"/>
      <c r="AE119" s="532"/>
      <c r="AF119" s="532"/>
      <c r="AG119" s="532"/>
      <c r="AH119" s="532"/>
      <c r="AI119" s="532"/>
      <c r="AJ119" s="532"/>
      <c r="AK119" s="532"/>
      <c r="AL119" s="532"/>
      <c r="AM119" s="532"/>
      <c r="AN119" s="532"/>
      <c r="AO119" s="532"/>
      <c r="AP119" s="532">
        <f>IF(Table_NFI[[#This Row],[Winter Clothes Adult]]+Table_NFI[[#This Row],[Winter Clothes Children]]+Table_NFI[[#This Row],[Winter Items Other]]+Table_NFI[[#This Row],[Winter Blanket]]&gt;0,1,0)</f>
        <v>0</v>
      </c>
      <c r="AQ119" s="532"/>
      <c r="AR119" s="532"/>
      <c r="AS119" s="532"/>
      <c r="AT119" s="532"/>
      <c r="AU119" s="532"/>
      <c r="AV119" s="532"/>
      <c r="AW119" s="532"/>
      <c r="AX119" s="203" t="str">
        <f>IFERROR(VLOOKUP(Table_NFI[[#This Row],[Location]],CL,2,0),"")</f>
        <v>MMR015CMP215</v>
      </c>
      <c r="AZ119" s="524"/>
      <c r="DS119" s="181"/>
      <c r="DT119" s="181"/>
    </row>
    <row r="120" spans="2:124" ht="18.75" hidden="1" customHeight="1" x14ac:dyDescent="0.3">
      <c r="B120" s="542">
        <v>43095</v>
      </c>
      <c r="C120" s="542" t="str">
        <f>MONTH(Table_NFI[[#This Row],[Distribution Date]]) &amp; "/" &amp; YEAR(Table_NFI[[#This Row],[Distribution Date]])</f>
        <v>12/2017</v>
      </c>
      <c r="D120" s="196" t="s">
        <v>1560</v>
      </c>
      <c r="E120" s="196" t="s">
        <v>1561</v>
      </c>
      <c r="F120" s="196" t="s">
        <v>506</v>
      </c>
      <c r="G120" s="196" t="s">
        <v>288</v>
      </c>
      <c r="H120" s="196" t="s">
        <v>915</v>
      </c>
      <c r="I120" s="181"/>
      <c r="J120" s="531"/>
      <c r="K120" s="531">
        <v>8</v>
      </c>
      <c r="L120" s="531"/>
      <c r="M120" s="531"/>
      <c r="N120" s="531"/>
      <c r="O120" s="531"/>
      <c r="P120" s="531"/>
      <c r="Q120" s="531"/>
      <c r="R120" s="531"/>
      <c r="S120" s="531"/>
      <c r="T120" s="531"/>
      <c r="U120" s="531"/>
      <c r="V120" s="531"/>
      <c r="W120" s="531"/>
      <c r="X120" s="531"/>
      <c r="Y120" s="531"/>
      <c r="Z120" s="531"/>
      <c r="AA120" s="531"/>
      <c r="AB120" s="531"/>
      <c r="AC120" s="532"/>
      <c r="AD120" s="532"/>
      <c r="AE120" s="532"/>
      <c r="AF120" s="532"/>
      <c r="AG120" s="532"/>
      <c r="AH120" s="532"/>
      <c r="AI120" s="532"/>
      <c r="AJ120" s="532"/>
      <c r="AK120" s="532"/>
      <c r="AL120" s="532"/>
      <c r="AM120" s="532"/>
      <c r="AN120" s="532"/>
      <c r="AO120" s="532"/>
      <c r="AP120" s="532">
        <f>IF(Table_NFI[[#This Row],[Winter Clothes Adult]]+Table_NFI[[#This Row],[Winter Clothes Children]]+Table_NFI[[#This Row],[Winter Items Other]]+Table_NFI[[#This Row],[Winter Blanket]]&gt;0,1,0)</f>
        <v>0</v>
      </c>
      <c r="AQ120" s="532"/>
      <c r="AR120" s="532"/>
      <c r="AS120" s="532"/>
      <c r="AT120" s="532"/>
      <c r="AU120" s="532"/>
      <c r="AV120" s="532"/>
      <c r="AW120" s="532"/>
      <c r="AX120" s="203" t="str">
        <f>IFERROR(VLOOKUP(Table_NFI[[#This Row],[Location]],CL,2,0),"")</f>
        <v>MMR015CMP215</v>
      </c>
      <c r="AZ120" s="524"/>
      <c r="DS120" s="181"/>
      <c r="DT120" s="181"/>
    </row>
    <row r="121" spans="2:124" ht="18.75" hidden="1" customHeight="1" x14ac:dyDescent="0.3">
      <c r="B121" s="542">
        <v>43096</v>
      </c>
      <c r="C121" s="542" t="str">
        <f>MONTH(Table_NFI[[#This Row],[Distribution Date]]) &amp; "/" &amp; YEAR(Table_NFI[[#This Row],[Distribution Date]])</f>
        <v>12/2017</v>
      </c>
      <c r="D121" s="196" t="s">
        <v>825</v>
      </c>
      <c r="E121" s="196"/>
      <c r="F121" s="196" t="s">
        <v>378</v>
      </c>
      <c r="G121" s="195" t="s">
        <v>5</v>
      </c>
      <c r="H121" s="196" t="s">
        <v>6</v>
      </c>
      <c r="I121" s="181"/>
      <c r="J121" s="531"/>
      <c r="K121" s="531"/>
      <c r="L121" s="531"/>
      <c r="M121" s="531"/>
      <c r="N121" s="531"/>
      <c r="O121" s="531"/>
      <c r="P121" s="531"/>
      <c r="Q121" s="531"/>
      <c r="R121" s="531"/>
      <c r="S121" s="531"/>
      <c r="T121" s="531"/>
      <c r="U121" s="531"/>
      <c r="V121" s="531"/>
      <c r="W121" s="531"/>
      <c r="X121" s="531">
        <v>257</v>
      </c>
      <c r="Y121" s="531"/>
      <c r="Z121" s="531"/>
      <c r="AA121" s="531"/>
      <c r="AB121" s="531"/>
      <c r="AC121" s="532"/>
      <c r="AD121" s="532"/>
      <c r="AE121" s="532"/>
      <c r="AF121" s="532"/>
      <c r="AG121" s="532"/>
      <c r="AH121" s="532"/>
      <c r="AI121" s="532"/>
      <c r="AJ121" s="532"/>
      <c r="AK121" s="532"/>
      <c r="AL121" s="532"/>
      <c r="AM121" s="532"/>
      <c r="AN121" s="532"/>
      <c r="AO121" s="532"/>
      <c r="AP121" s="532">
        <f>IF(Table_NFI[[#This Row],[Winter Clothes Adult]]+Table_NFI[[#This Row],[Winter Clothes Children]]+Table_NFI[[#This Row],[Winter Items Other]]+Table_NFI[[#This Row],[Winter Blanket]]&gt;0,1,0)</f>
        <v>1</v>
      </c>
      <c r="AQ121" s="532"/>
      <c r="AR121" s="532"/>
      <c r="AS121" s="532"/>
      <c r="AT121" s="532"/>
      <c r="AU121" s="532"/>
      <c r="AV121" s="532"/>
      <c r="AW121" s="532"/>
      <c r="AX121" s="203" t="str">
        <f>IFERROR(VLOOKUP(Table_NFI[[#This Row],[Location]],CL,2,0),"")</f>
        <v>MMR001CMP050</v>
      </c>
      <c r="AZ121" s="524"/>
      <c r="DS121" s="181"/>
      <c r="DT121" s="181"/>
    </row>
    <row r="122" spans="2:124" ht="18.75" hidden="1" customHeight="1" x14ac:dyDescent="0.3">
      <c r="B122" s="542">
        <v>43096</v>
      </c>
      <c r="C122" s="542" t="str">
        <f>MONTH(Table_NFI[[#This Row],[Distribution Date]]) &amp; "/" &amp; YEAR(Table_NFI[[#This Row],[Distribution Date]])</f>
        <v>12/2017</v>
      </c>
      <c r="D122" s="196" t="s">
        <v>825</v>
      </c>
      <c r="E122" s="196"/>
      <c r="F122" s="196" t="s">
        <v>378</v>
      </c>
      <c r="G122" s="195" t="s">
        <v>5</v>
      </c>
      <c r="H122" s="196" t="s">
        <v>18</v>
      </c>
      <c r="I122" s="181"/>
      <c r="J122" s="531"/>
      <c r="K122" s="531"/>
      <c r="L122" s="531"/>
      <c r="M122" s="531"/>
      <c r="N122" s="531"/>
      <c r="O122" s="531"/>
      <c r="P122" s="531"/>
      <c r="Q122" s="531"/>
      <c r="R122" s="531"/>
      <c r="S122" s="531"/>
      <c r="T122" s="531"/>
      <c r="U122" s="531"/>
      <c r="V122" s="531"/>
      <c r="W122" s="531"/>
      <c r="X122" s="531">
        <v>130</v>
      </c>
      <c r="Y122" s="531"/>
      <c r="Z122" s="531"/>
      <c r="AA122" s="531"/>
      <c r="AB122" s="531"/>
      <c r="AC122" s="532"/>
      <c r="AD122" s="532"/>
      <c r="AE122" s="532"/>
      <c r="AF122" s="532"/>
      <c r="AG122" s="532"/>
      <c r="AH122" s="532"/>
      <c r="AI122" s="532"/>
      <c r="AJ122" s="532"/>
      <c r="AK122" s="532"/>
      <c r="AL122" s="532"/>
      <c r="AM122" s="532"/>
      <c r="AN122" s="532"/>
      <c r="AO122" s="532"/>
      <c r="AP122" s="532">
        <f>IF(Table_NFI[[#This Row],[Winter Clothes Adult]]+Table_NFI[[#This Row],[Winter Clothes Children]]+Table_NFI[[#This Row],[Winter Items Other]]+Table_NFI[[#This Row],[Winter Blanket]]&gt;0,1,0)</f>
        <v>1</v>
      </c>
      <c r="AQ122" s="532"/>
      <c r="AR122" s="532"/>
      <c r="AS122" s="532"/>
      <c r="AT122" s="532"/>
      <c r="AU122" s="532"/>
      <c r="AV122" s="532"/>
      <c r="AW122" s="532"/>
      <c r="AX122" s="203" t="str">
        <f>IFERROR(VLOOKUP(Table_NFI[[#This Row],[Location]],CL,2,0),"")</f>
        <v>MMR001CMP049</v>
      </c>
      <c r="AZ122" s="524"/>
      <c r="DS122" s="181"/>
      <c r="DT122" s="181"/>
    </row>
    <row r="123" spans="2:124" ht="18.75" hidden="1" customHeight="1" x14ac:dyDescent="0.3">
      <c r="B123" s="542">
        <v>43096</v>
      </c>
      <c r="C123" s="542" t="str">
        <f>MONTH(Table_NFI[[#This Row],[Distribution Date]]) &amp; "/" &amp; YEAR(Table_NFI[[#This Row],[Distribution Date]])</f>
        <v>12/2017</v>
      </c>
      <c r="D123" s="196" t="s">
        <v>825</v>
      </c>
      <c r="E123" s="196"/>
      <c r="F123" s="196" t="s">
        <v>378</v>
      </c>
      <c r="G123" s="195" t="s">
        <v>5</v>
      </c>
      <c r="H123" s="196" t="s">
        <v>20</v>
      </c>
      <c r="I123" s="181"/>
      <c r="J123" s="531"/>
      <c r="K123" s="531"/>
      <c r="L123" s="531"/>
      <c r="M123" s="531"/>
      <c r="N123" s="531"/>
      <c r="O123" s="531"/>
      <c r="P123" s="531"/>
      <c r="Q123" s="531"/>
      <c r="R123" s="531"/>
      <c r="S123" s="531"/>
      <c r="T123" s="531"/>
      <c r="U123" s="531"/>
      <c r="V123" s="531"/>
      <c r="W123" s="531"/>
      <c r="X123" s="531">
        <v>21</v>
      </c>
      <c r="Y123" s="531"/>
      <c r="Z123" s="531"/>
      <c r="AA123" s="531"/>
      <c r="AB123" s="531"/>
      <c r="AC123" s="532"/>
      <c r="AD123" s="532"/>
      <c r="AE123" s="532"/>
      <c r="AF123" s="532"/>
      <c r="AG123" s="532"/>
      <c r="AH123" s="532"/>
      <c r="AI123" s="532"/>
      <c r="AJ123" s="532"/>
      <c r="AK123" s="532"/>
      <c r="AL123" s="532"/>
      <c r="AM123" s="532"/>
      <c r="AN123" s="532"/>
      <c r="AO123" s="532"/>
      <c r="AP123" s="532">
        <f>IF(Table_NFI[[#This Row],[Winter Clothes Adult]]+Table_NFI[[#This Row],[Winter Clothes Children]]+Table_NFI[[#This Row],[Winter Items Other]]+Table_NFI[[#This Row],[Winter Blanket]]&gt;0,1,0)</f>
        <v>1</v>
      </c>
      <c r="AQ123" s="532"/>
      <c r="AR123" s="532"/>
      <c r="AS123" s="532"/>
      <c r="AT123" s="532"/>
      <c r="AU123" s="532"/>
      <c r="AV123" s="532"/>
      <c r="AW123" s="532"/>
      <c r="AX123" s="203" t="str">
        <f>IFERROR(VLOOKUP(Table_NFI[[#This Row],[Location]],CL,2,0),"")</f>
        <v>MMR001CMP054</v>
      </c>
      <c r="AZ123" s="524"/>
      <c r="DS123" s="181"/>
      <c r="DT123" s="181"/>
    </row>
    <row r="124" spans="2:124" ht="18.75" hidden="1" customHeight="1" x14ac:dyDescent="0.3">
      <c r="B124" s="542">
        <v>43096</v>
      </c>
      <c r="C124" s="542" t="str">
        <f>MONTH(Table_NFI[[#This Row],[Distribution Date]]) &amp; "/" &amp; YEAR(Table_NFI[[#This Row],[Distribution Date]])</f>
        <v>12/2017</v>
      </c>
      <c r="D124" s="196" t="s">
        <v>825</v>
      </c>
      <c r="E124" s="196"/>
      <c r="F124" s="196" t="s">
        <v>378</v>
      </c>
      <c r="G124" s="195" t="s">
        <v>5</v>
      </c>
      <c r="H124" s="196" t="s">
        <v>364</v>
      </c>
      <c r="I124" s="181"/>
      <c r="J124" s="531"/>
      <c r="K124" s="531"/>
      <c r="L124" s="531"/>
      <c r="M124" s="531"/>
      <c r="N124" s="531"/>
      <c r="O124" s="531"/>
      <c r="P124" s="531"/>
      <c r="Q124" s="531"/>
      <c r="R124" s="531"/>
      <c r="S124" s="531"/>
      <c r="T124" s="531"/>
      <c r="U124" s="531"/>
      <c r="V124" s="531"/>
      <c r="W124" s="531"/>
      <c r="X124" s="531">
        <v>144</v>
      </c>
      <c r="Y124" s="531"/>
      <c r="Z124" s="531"/>
      <c r="AA124" s="531"/>
      <c r="AB124" s="531"/>
      <c r="AC124" s="532"/>
      <c r="AD124" s="532"/>
      <c r="AE124" s="532"/>
      <c r="AF124" s="532"/>
      <c r="AG124" s="532"/>
      <c r="AH124" s="532"/>
      <c r="AI124" s="532"/>
      <c r="AJ124" s="532"/>
      <c r="AK124" s="532"/>
      <c r="AL124" s="532"/>
      <c r="AM124" s="532"/>
      <c r="AN124" s="532"/>
      <c r="AO124" s="532"/>
      <c r="AP124" s="532">
        <f>IF(Table_NFI[[#This Row],[Winter Clothes Adult]]+Table_NFI[[#This Row],[Winter Clothes Children]]+Table_NFI[[#This Row],[Winter Items Other]]+Table_NFI[[#This Row],[Winter Blanket]]&gt;0,1,0)</f>
        <v>1</v>
      </c>
      <c r="AQ124" s="532"/>
      <c r="AR124" s="532"/>
      <c r="AS124" s="532"/>
      <c r="AT124" s="532"/>
      <c r="AU124" s="532"/>
      <c r="AV124" s="532"/>
      <c r="AW124" s="532"/>
      <c r="AX124" s="203" t="str">
        <f>IFERROR(VLOOKUP(Table_NFI[[#This Row],[Location]],CL,2,0),"")</f>
        <v>MMR001CMP193</v>
      </c>
      <c r="AZ124" s="524"/>
      <c r="DS124" s="181"/>
      <c r="DT124" s="181"/>
    </row>
    <row r="125" spans="2:124" ht="18.75" hidden="1" customHeight="1" x14ac:dyDescent="0.3">
      <c r="B125" s="542">
        <v>43096</v>
      </c>
      <c r="C125" s="542" t="str">
        <f>MONTH(Table_NFI[[#This Row],[Distribution Date]]) &amp; "/" &amp; YEAR(Table_NFI[[#This Row],[Distribution Date]])</f>
        <v>12/2017</v>
      </c>
      <c r="D125" s="196" t="s">
        <v>825</v>
      </c>
      <c r="E125" s="196"/>
      <c r="F125" s="196" t="s">
        <v>378</v>
      </c>
      <c r="G125" s="195" t="s">
        <v>5</v>
      </c>
      <c r="H125" s="196" t="s">
        <v>24</v>
      </c>
      <c r="I125" s="181"/>
      <c r="J125" s="531"/>
      <c r="K125" s="531"/>
      <c r="L125" s="531"/>
      <c r="M125" s="531"/>
      <c r="N125" s="531"/>
      <c r="O125" s="531"/>
      <c r="P125" s="531"/>
      <c r="Q125" s="531"/>
      <c r="R125" s="531"/>
      <c r="S125" s="531"/>
      <c r="T125" s="531"/>
      <c r="U125" s="531"/>
      <c r="V125" s="531"/>
      <c r="W125" s="531"/>
      <c r="X125" s="531">
        <v>20</v>
      </c>
      <c r="Y125" s="531"/>
      <c r="Z125" s="531"/>
      <c r="AA125" s="531"/>
      <c r="AB125" s="531"/>
      <c r="AC125" s="532"/>
      <c r="AD125" s="532"/>
      <c r="AE125" s="532"/>
      <c r="AF125" s="532"/>
      <c r="AG125" s="532"/>
      <c r="AH125" s="532"/>
      <c r="AI125" s="532"/>
      <c r="AJ125" s="532"/>
      <c r="AK125" s="532"/>
      <c r="AL125" s="532"/>
      <c r="AM125" s="532"/>
      <c r="AN125" s="532"/>
      <c r="AO125" s="532"/>
      <c r="AP125" s="532">
        <f>IF(Table_NFI[[#This Row],[Winter Clothes Adult]]+Table_NFI[[#This Row],[Winter Clothes Children]]+Table_NFI[[#This Row],[Winter Items Other]]+Table_NFI[[#This Row],[Winter Blanket]]&gt;0,1,0)</f>
        <v>1</v>
      </c>
      <c r="AQ125" s="532"/>
      <c r="AR125" s="532"/>
      <c r="AS125" s="532"/>
      <c r="AT125" s="532"/>
      <c r="AU125" s="532"/>
      <c r="AV125" s="532"/>
      <c r="AW125" s="532"/>
      <c r="AX125" s="203" t="str">
        <f>IFERROR(VLOOKUP(Table_NFI[[#This Row],[Location]],CL,2,0),"")</f>
        <v>MMR001CMP055</v>
      </c>
      <c r="AZ125" s="524"/>
      <c r="DS125" s="181"/>
      <c r="DT125" s="181"/>
    </row>
    <row r="126" spans="2:124" ht="18.75" hidden="1" customHeight="1" x14ac:dyDescent="0.3">
      <c r="B126" s="542">
        <v>43096</v>
      </c>
      <c r="C126" s="542" t="str">
        <f>MONTH(Table_NFI[[#This Row],[Distribution Date]]) &amp; "/" &amp; YEAR(Table_NFI[[#This Row],[Distribution Date]])</f>
        <v>12/2017</v>
      </c>
      <c r="D126" s="196" t="s">
        <v>825</v>
      </c>
      <c r="E126" s="196"/>
      <c r="F126" s="196" t="s">
        <v>378</v>
      </c>
      <c r="G126" s="195" t="s">
        <v>5</v>
      </c>
      <c r="H126" s="196" t="s">
        <v>26</v>
      </c>
      <c r="I126" s="181"/>
      <c r="J126" s="531"/>
      <c r="K126" s="531"/>
      <c r="L126" s="531"/>
      <c r="M126" s="531"/>
      <c r="N126" s="531"/>
      <c r="O126" s="531"/>
      <c r="P126" s="531"/>
      <c r="Q126" s="531"/>
      <c r="R126" s="531"/>
      <c r="S126" s="531"/>
      <c r="T126" s="531"/>
      <c r="U126" s="531"/>
      <c r="V126" s="531"/>
      <c r="W126" s="531"/>
      <c r="X126" s="531">
        <v>14</v>
      </c>
      <c r="Y126" s="531"/>
      <c r="Z126" s="531"/>
      <c r="AA126" s="531"/>
      <c r="AB126" s="531"/>
      <c r="AC126" s="532"/>
      <c r="AD126" s="532"/>
      <c r="AE126" s="532"/>
      <c r="AF126" s="532"/>
      <c r="AG126" s="532"/>
      <c r="AH126" s="532"/>
      <c r="AI126" s="532"/>
      <c r="AJ126" s="532"/>
      <c r="AK126" s="532"/>
      <c r="AL126" s="532"/>
      <c r="AM126" s="532"/>
      <c r="AN126" s="532"/>
      <c r="AO126" s="532"/>
      <c r="AP126" s="532">
        <f>IF(Table_NFI[[#This Row],[Winter Clothes Adult]]+Table_NFI[[#This Row],[Winter Clothes Children]]+Table_NFI[[#This Row],[Winter Items Other]]+Table_NFI[[#This Row],[Winter Blanket]]&gt;0,1,0)</f>
        <v>1</v>
      </c>
      <c r="AQ126" s="532"/>
      <c r="AR126" s="532"/>
      <c r="AS126" s="532"/>
      <c r="AT126" s="532"/>
      <c r="AU126" s="532"/>
      <c r="AV126" s="532"/>
      <c r="AW126" s="532"/>
      <c r="AX126" s="203" t="str">
        <f>IFERROR(VLOOKUP(Table_NFI[[#This Row],[Location]],CL,2,0),"")</f>
        <v>MMR001CMP053</v>
      </c>
      <c r="AZ126" s="524"/>
      <c r="DS126" s="181"/>
      <c r="DT126" s="181"/>
    </row>
    <row r="127" spans="2:124" ht="18.75" hidden="1" customHeight="1" x14ac:dyDescent="0.3">
      <c r="B127" s="542">
        <v>43096</v>
      </c>
      <c r="C127" s="542" t="str">
        <f>MONTH(Table_NFI[[#This Row],[Distribution Date]]) &amp; "/" &amp; YEAR(Table_NFI[[#This Row],[Distribution Date]])</f>
        <v>12/2017</v>
      </c>
      <c r="D127" s="196" t="s">
        <v>825</v>
      </c>
      <c r="E127" s="196"/>
      <c r="F127" s="196" t="s">
        <v>378</v>
      </c>
      <c r="G127" s="195" t="s">
        <v>5</v>
      </c>
      <c r="H127" s="196" t="s">
        <v>8</v>
      </c>
      <c r="I127" s="181"/>
      <c r="J127" s="531"/>
      <c r="K127" s="531"/>
      <c r="L127" s="531"/>
      <c r="M127" s="531"/>
      <c r="N127" s="531"/>
      <c r="O127" s="531"/>
      <c r="P127" s="531"/>
      <c r="Q127" s="531"/>
      <c r="R127" s="531"/>
      <c r="S127" s="531"/>
      <c r="T127" s="531"/>
      <c r="U127" s="531"/>
      <c r="V127" s="531"/>
      <c r="W127" s="531"/>
      <c r="X127" s="531">
        <v>13</v>
      </c>
      <c r="Y127" s="531"/>
      <c r="Z127" s="531"/>
      <c r="AA127" s="531"/>
      <c r="AB127" s="531"/>
      <c r="AC127" s="532"/>
      <c r="AD127" s="532"/>
      <c r="AE127" s="532"/>
      <c r="AF127" s="532"/>
      <c r="AG127" s="532"/>
      <c r="AH127" s="532"/>
      <c r="AI127" s="532"/>
      <c r="AJ127" s="532"/>
      <c r="AK127" s="532"/>
      <c r="AL127" s="532"/>
      <c r="AM127" s="532"/>
      <c r="AN127" s="532"/>
      <c r="AO127" s="532"/>
      <c r="AP127" s="532">
        <f>IF(Table_NFI[[#This Row],[Winter Clothes Adult]]+Table_NFI[[#This Row],[Winter Clothes Children]]+Table_NFI[[#This Row],[Winter Items Other]]+Table_NFI[[#This Row],[Winter Blanket]]&gt;0,1,0)</f>
        <v>1</v>
      </c>
      <c r="AQ127" s="532"/>
      <c r="AR127" s="532"/>
      <c r="AS127" s="532"/>
      <c r="AT127" s="532"/>
      <c r="AU127" s="532"/>
      <c r="AV127" s="532"/>
      <c r="AW127" s="532"/>
      <c r="AX127" s="203" t="str">
        <f>IFERROR(VLOOKUP(Table_NFI[[#This Row],[Location]],CL,2,0),"")</f>
        <v>MMR001CMP051</v>
      </c>
      <c r="AZ127" s="524"/>
      <c r="DS127" s="181"/>
      <c r="DT127" s="181"/>
    </row>
    <row r="128" spans="2:124" ht="18.75" hidden="1" customHeight="1" x14ac:dyDescent="0.3">
      <c r="B128" s="542">
        <v>43096</v>
      </c>
      <c r="C128" s="542" t="str">
        <f>MONTH(Table_NFI[[#This Row],[Distribution Date]]) &amp; "/" &amp; YEAR(Table_NFI[[#This Row],[Distribution Date]])</f>
        <v>12/2017</v>
      </c>
      <c r="D128" s="196" t="s">
        <v>825</v>
      </c>
      <c r="E128" s="196"/>
      <c r="F128" s="196" t="s">
        <v>378</v>
      </c>
      <c r="G128" s="195" t="s">
        <v>5</v>
      </c>
      <c r="H128" s="196" t="s">
        <v>14</v>
      </c>
      <c r="I128" s="181"/>
      <c r="J128" s="531"/>
      <c r="K128" s="531"/>
      <c r="L128" s="531"/>
      <c r="M128" s="531"/>
      <c r="N128" s="531"/>
      <c r="O128" s="531"/>
      <c r="P128" s="531"/>
      <c r="Q128" s="531"/>
      <c r="R128" s="531"/>
      <c r="S128" s="531"/>
      <c r="T128" s="531"/>
      <c r="U128" s="531"/>
      <c r="V128" s="531"/>
      <c r="W128" s="531"/>
      <c r="X128" s="531">
        <v>39</v>
      </c>
      <c r="Y128" s="531"/>
      <c r="Z128" s="531"/>
      <c r="AA128" s="531"/>
      <c r="AB128" s="531"/>
      <c r="AC128" s="532"/>
      <c r="AD128" s="532"/>
      <c r="AE128" s="532"/>
      <c r="AF128" s="532"/>
      <c r="AG128" s="532"/>
      <c r="AH128" s="532"/>
      <c r="AI128" s="532"/>
      <c r="AJ128" s="532"/>
      <c r="AK128" s="532"/>
      <c r="AL128" s="532"/>
      <c r="AM128" s="532"/>
      <c r="AN128" s="532"/>
      <c r="AO128" s="532"/>
      <c r="AP128" s="532">
        <f>IF(Table_NFI[[#This Row],[Winter Clothes Adult]]+Table_NFI[[#This Row],[Winter Clothes Children]]+Table_NFI[[#This Row],[Winter Items Other]]+Table_NFI[[#This Row],[Winter Blanket]]&gt;0,1,0)</f>
        <v>1</v>
      </c>
      <c r="AQ128" s="532"/>
      <c r="AR128" s="532"/>
      <c r="AS128" s="532"/>
      <c r="AT128" s="532"/>
      <c r="AU128" s="532"/>
      <c r="AV128" s="532"/>
      <c r="AW128" s="532"/>
      <c r="AX128" s="203" t="str">
        <f>IFERROR(VLOOKUP(Table_NFI[[#This Row],[Location]],CL,2,0),"")</f>
        <v>MMR001CMP052</v>
      </c>
      <c r="AZ128" s="524"/>
      <c r="DS128" s="181"/>
      <c r="DT128" s="181"/>
    </row>
    <row r="129" spans="2:124" ht="18.75" hidden="1" customHeight="1" x14ac:dyDescent="0.3">
      <c r="B129" s="542">
        <v>43096</v>
      </c>
      <c r="C129" s="542" t="str">
        <f>MONTH(Table_NFI[[#This Row],[Distribution Date]]) &amp; "/" &amp; YEAR(Table_NFI[[#This Row],[Distribution Date]])</f>
        <v>12/2017</v>
      </c>
      <c r="D129" s="196" t="s">
        <v>825</v>
      </c>
      <c r="E129" s="196"/>
      <c r="F129" s="196" t="s">
        <v>378</v>
      </c>
      <c r="G129" s="195" t="s">
        <v>5</v>
      </c>
      <c r="H129" s="196" t="s">
        <v>22</v>
      </c>
      <c r="I129" s="181"/>
      <c r="J129" s="531"/>
      <c r="K129" s="531"/>
      <c r="L129" s="531"/>
      <c r="M129" s="531"/>
      <c r="N129" s="531"/>
      <c r="O129" s="531"/>
      <c r="P129" s="531"/>
      <c r="Q129" s="531"/>
      <c r="R129" s="531"/>
      <c r="S129" s="531"/>
      <c r="T129" s="531"/>
      <c r="U129" s="531"/>
      <c r="V129" s="531"/>
      <c r="W129" s="531"/>
      <c r="X129" s="531">
        <v>508</v>
      </c>
      <c r="Y129" s="531"/>
      <c r="Z129" s="531"/>
      <c r="AA129" s="531"/>
      <c r="AB129" s="531"/>
      <c r="AC129" s="532"/>
      <c r="AD129" s="532"/>
      <c r="AE129" s="532"/>
      <c r="AF129" s="532"/>
      <c r="AG129" s="532"/>
      <c r="AH129" s="532"/>
      <c r="AI129" s="532"/>
      <c r="AJ129" s="532"/>
      <c r="AK129" s="532"/>
      <c r="AL129" s="532"/>
      <c r="AM129" s="532"/>
      <c r="AN129" s="532"/>
      <c r="AO129" s="532"/>
      <c r="AP129" s="532">
        <f>IF(Table_NFI[[#This Row],[Winter Clothes Adult]]+Table_NFI[[#This Row],[Winter Clothes Children]]+Table_NFI[[#This Row],[Winter Items Other]]+Table_NFI[[#This Row],[Winter Blanket]]&gt;0,1,0)</f>
        <v>1</v>
      </c>
      <c r="AQ129" s="532"/>
      <c r="AR129" s="532"/>
      <c r="AS129" s="532"/>
      <c r="AT129" s="532"/>
      <c r="AU129" s="532"/>
      <c r="AV129" s="532"/>
      <c r="AW129" s="532"/>
      <c r="AX129" s="203" t="str">
        <f>IFERROR(VLOOKUP(Table_NFI[[#This Row],[Location]],CL,2,0),"")</f>
        <v>MMR001CMP047</v>
      </c>
      <c r="AZ129" s="524"/>
      <c r="DS129" s="181"/>
      <c r="DT129" s="181"/>
    </row>
    <row r="130" spans="2:124" ht="18.75" hidden="1" customHeight="1" x14ac:dyDescent="0.3">
      <c r="B130" s="542">
        <v>43096</v>
      </c>
      <c r="C130" s="542" t="str">
        <f>MONTH(Table_NFI[[#This Row],[Distribution Date]]) &amp; "/" &amp; YEAR(Table_NFI[[#This Row],[Distribution Date]])</f>
        <v>12/2017</v>
      </c>
      <c r="D130" s="196" t="s">
        <v>825</v>
      </c>
      <c r="E130" s="196"/>
      <c r="F130" s="196" t="s">
        <v>378</v>
      </c>
      <c r="G130" s="195" t="s">
        <v>185</v>
      </c>
      <c r="H130" s="196" t="s">
        <v>207</v>
      </c>
      <c r="I130" s="181"/>
      <c r="J130" s="531"/>
      <c r="K130" s="531"/>
      <c r="L130" s="531"/>
      <c r="M130" s="531"/>
      <c r="N130" s="531"/>
      <c r="O130" s="531"/>
      <c r="P130" s="531"/>
      <c r="Q130" s="531"/>
      <c r="R130" s="531"/>
      <c r="S130" s="531"/>
      <c r="T130" s="531"/>
      <c r="U130" s="531"/>
      <c r="V130" s="531"/>
      <c r="W130" s="531"/>
      <c r="X130" s="531">
        <v>5</v>
      </c>
      <c r="Y130" s="531"/>
      <c r="Z130" s="531"/>
      <c r="AA130" s="531"/>
      <c r="AB130" s="531"/>
      <c r="AC130" s="532"/>
      <c r="AD130" s="532"/>
      <c r="AE130" s="532"/>
      <c r="AF130" s="532"/>
      <c r="AG130" s="532"/>
      <c r="AH130" s="532"/>
      <c r="AI130" s="532"/>
      <c r="AJ130" s="532"/>
      <c r="AK130" s="532"/>
      <c r="AL130" s="532"/>
      <c r="AM130" s="532"/>
      <c r="AN130" s="532"/>
      <c r="AO130" s="532"/>
      <c r="AP130" s="532">
        <f>IF(Table_NFI[[#This Row],[Winter Clothes Adult]]+Table_NFI[[#This Row],[Winter Clothes Children]]+Table_NFI[[#This Row],[Winter Items Other]]+Table_NFI[[#This Row],[Winter Blanket]]&gt;0,1,0)</f>
        <v>1</v>
      </c>
      <c r="AQ130" s="532"/>
      <c r="AR130" s="532"/>
      <c r="AS130" s="532"/>
      <c r="AT130" s="532"/>
      <c r="AU130" s="532"/>
      <c r="AV130" s="532"/>
      <c r="AW130" s="532"/>
      <c r="AX130" s="203" t="str">
        <f>IFERROR(VLOOKUP(Table_NFI[[#This Row],[Location]],CL,2,0),"")</f>
        <v>MMR001CMP058</v>
      </c>
      <c r="AZ130" s="524"/>
      <c r="DS130" s="181"/>
      <c r="DT130" s="181"/>
    </row>
    <row r="131" spans="2:124" ht="18.75" hidden="1" customHeight="1" x14ac:dyDescent="0.3">
      <c r="B131" s="542">
        <v>43096</v>
      </c>
      <c r="C131" s="542" t="str">
        <f>MONTH(Table_NFI[[#This Row],[Distribution Date]]) &amp; "/" &amp; YEAR(Table_NFI[[#This Row],[Distribution Date]])</f>
        <v>12/2017</v>
      </c>
      <c r="D131" s="196" t="s">
        <v>825</v>
      </c>
      <c r="E131" s="196"/>
      <c r="F131" s="196" t="s">
        <v>378</v>
      </c>
      <c r="G131" s="195" t="s">
        <v>185</v>
      </c>
      <c r="H131" s="196" t="s">
        <v>202</v>
      </c>
      <c r="I131" s="181"/>
      <c r="J131" s="531"/>
      <c r="K131" s="531"/>
      <c r="L131" s="531"/>
      <c r="M131" s="531"/>
      <c r="N131" s="531"/>
      <c r="O131" s="531"/>
      <c r="P131" s="531"/>
      <c r="Q131" s="531"/>
      <c r="R131" s="531"/>
      <c r="S131" s="531"/>
      <c r="T131" s="531"/>
      <c r="U131" s="531"/>
      <c r="V131" s="531"/>
      <c r="W131" s="531"/>
      <c r="X131" s="531">
        <v>223</v>
      </c>
      <c r="Y131" s="531"/>
      <c r="Z131" s="531"/>
      <c r="AA131" s="531"/>
      <c r="AB131" s="531"/>
      <c r="AC131" s="532"/>
      <c r="AD131" s="532"/>
      <c r="AE131" s="532"/>
      <c r="AF131" s="532"/>
      <c r="AG131" s="532"/>
      <c r="AH131" s="532"/>
      <c r="AI131" s="532"/>
      <c r="AJ131" s="532"/>
      <c r="AK131" s="532"/>
      <c r="AL131" s="532"/>
      <c r="AM131" s="532"/>
      <c r="AN131" s="532"/>
      <c r="AO131" s="532"/>
      <c r="AP131" s="532">
        <f>IF(Table_NFI[[#This Row],[Winter Clothes Adult]]+Table_NFI[[#This Row],[Winter Clothes Children]]+Table_NFI[[#This Row],[Winter Items Other]]+Table_NFI[[#This Row],[Winter Blanket]]&gt;0,1,0)</f>
        <v>1</v>
      </c>
      <c r="AQ131" s="532"/>
      <c r="AR131" s="532"/>
      <c r="AS131" s="532"/>
      <c r="AT131" s="532"/>
      <c r="AU131" s="532"/>
      <c r="AV131" s="532"/>
      <c r="AW131" s="532"/>
      <c r="AX131" s="203" t="str">
        <f>IFERROR(VLOOKUP(Table_NFI[[#This Row],[Location]],CL,2,0),"")</f>
        <v>MMR001CMP062</v>
      </c>
      <c r="AZ131" s="524"/>
      <c r="DS131" s="181"/>
      <c r="DT131" s="181"/>
    </row>
    <row r="132" spans="2:124" ht="18.75" hidden="1" customHeight="1" x14ac:dyDescent="0.3">
      <c r="B132" s="542">
        <v>43096</v>
      </c>
      <c r="C132" s="542" t="str">
        <f>MONTH(Table_NFI[[#This Row],[Distribution Date]]) &amp; "/" &amp; YEAR(Table_NFI[[#This Row],[Distribution Date]])</f>
        <v>12/2017</v>
      </c>
      <c r="D132" s="196" t="s">
        <v>825</v>
      </c>
      <c r="E132" s="196"/>
      <c r="F132" s="196" t="s">
        <v>378</v>
      </c>
      <c r="G132" s="195" t="s">
        <v>185</v>
      </c>
      <c r="H132" s="196" t="s">
        <v>209</v>
      </c>
      <c r="I132" s="181"/>
      <c r="J132" s="531"/>
      <c r="K132" s="531"/>
      <c r="L132" s="531"/>
      <c r="M132" s="531"/>
      <c r="N132" s="531"/>
      <c r="O132" s="531"/>
      <c r="P132" s="531"/>
      <c r="Q132" s="531"/>
      <c r="R132" s="531"/>
      <c r="S132" s="531"/>
      <c r="T132" s="531"/>
      <c r="U132" s="531"/>
      <c r="V132" s="531"/>
      <c r="W132" s="531"/>
      <c r="X132" s="531">
        <v>383</v>
      </c>
      <c r="Y132" s="531"/>
      <c r="Z132" s="531"/>
      <c r="AA132" s="531"/>
      <c r="AB132" s="531"/>
      <c r="AC132" s="532"/>
      <c r="AD132" s="532"/>
      <c r="AE132" s="532"/>
      <c r="AF132" s="532"/>
      <c r="AG132" s="532"/>
      <c r="AH132" s="532"/>
      <c r="AI132" s="532"/>
      <c r="AJ132" s="532"/>
      <c r="AK132" s="532"/>
      <c r="AL132" s="532"/>
      <c r="AM132" s="532"/>
      <c r="AN132" s="532"/>
      <c r="AO132" s="532"/>
      <c r="AP132" s="532">
        <f>IF(Table_NFI[[#This Row],[Winter Clothes Adult]]+Table_NFI[[#This Row],[Winter Clothes Children]]+Table_NFI[[#This Row],[Winter Items Other]]+Table_NFI[[#This Row],[Winter Blanket]]&gt;0,1,0)</f>
        <v>1</v>
      </c>
      <c r="AQ132" s="532"/>
      <c r="AR132" s="532"/>
      <c r="AS132" s="532"/>
      <c r="AT132" s="532"/>
      <c r="AU132" s="532"/>
      <c r="AV132" s="532"/>
      <c r="AW132" s="532"/>
      <c r="AX132" s="203" t="str">
        <f>IFERROR(VLOOKUP(Table_NFI[[#This Row],[Location]],CL,2,0),"")</f>
        <v>MMR001CMP056</v>
      </c>
      <c r="AZ132" s="524"/>
      <c r="DS132" s="181"/>
      <c r="DT132" s="181"/>
    </row>
    <row r="133" spans="2:124" ht="18.75" hidden="1" customHeight="1" x14ac:dyDescent="0.3">
      <c r="B133" s="542">
        <v>43096</v>
      </c>
      <c r="C133" s="542" t="str">
        <f>MONTH(Table_NFI[[#This Row],[Distribution Date]]) &amp; "/" &amp; YEAR(Table_NFI[[#This Row],[Distribution Date]])</f>
        <v>12/2017</v>
      </c>
      <c r="D133" s="196" t="s">
        <v>825</v>
      </c>
      <c r="E133" s="196"/>
      <c r="F133" s="196" t="s">
        <v>378</v>
      </c>
      <c r="G133" s="195" t="s">
        <v>237</v>
      </c>
      <c r="H133" s="196" t="s">
        <v>252</v>
      </c>
      <c r="I133" s="181"/>
      <c r="J133" s="531"/>
      <c r="K133" s="531"/>
      <c r="L133" s="531"/>
      <c r="M133" s="531"/>
      <c r="N133" s="531"/>
      <c r="O133" s="531"/>
      <c r="P133" s="531"/>
      <c r="Q133" s="531"/>
      <c r="R133" s="531"/>
      <c r="S133" s="531"/>
      <c r="T133" s="531"/>
      <c r="U133" s="531"/>
      <c r="V133" s="531"/>
      <c r="W133" s="531"/>
      <c r="X133" s="531">
        <v>202</v>
      </c>
      <c r="Y133" s="531"/>
      <c r="Z133" s="531"/>
      <c r="AA133" s="531"/>
      <c r="AB133" s="531"/>
      <c r="AC133" s="532"/>
      <c r="AD133" s="532"/>
      <c r="AE133" s="532"/>
      <c r="AF133" s="532"/>
      <c r="AG133" s="532"/>
      <c r="AH133" s="532"/>
      <c r="AI133" s="532"/>
      <c r="AJ133" s="532"/>
      <c r="AK133" s="532"/>
      <c r="AL133" s="532"/>
      <c r="AM133" s="532"/>
      <c r="AN133" s="532"/>
      <c r="AO133" s="532"/>
      <c r="AP133" s="532">
        <f>IF(Table_NFI[[#This Row],[Winter Clothes Adult]]+Table_NFI[[#This Row],[Winter Clothes Children]]+Table_NFI[[#This Row],[Winter Items Other]]+Table_NFI[[#This Row],[Winter Blanket]]&gt;0,1,0)</f>
        <v>1</v>
      </c>
      <c r="AQ133" s="532"/>
      <c r="AR133" s="532"/>
      <c r="AS133" s="532"/>
      <c r="AT133" s="532"/>
      <c r="AU133" s="532"/>
      <c r="AV133" s="532"/>
      <c r="AW133" s="532"/>
      <c r="AX133" s="203" t="str">
        <f>IFERROR(VLOOKUP(Table_NFI[[#This Row],[Location]],CL,2,0),"")</f>
        <v>MMR001CMP018</v>
      </c>
      <c r="AZ133" s="524"/>
      <c r="DS133" s="181"/>
      <c r="DT133" s="181"/>
    </row>
    <row r="134" spans="2:124" ht="18.75" hidden="1" customHeight="1" x14ac:dyDescent="0.3">
      <c r="B134" s="542">
        <v>43096</v>
      </c>
      <c r="C134" s="542" t="str">
        <f>MONTH(Table_NFI[[#This Row],[Distribution Date]]) &amp; "/" &amp; YEAR(Table_NFI[[#This Row],[Distribution Date]])</f>
        <v>12/2017</v>
      </c>
      <c r="D134" s="196" t="s">
        <v>825</v>
      </c>
      <c r="E134" s="196"/>
      <c r="F134" s="196" t="s">
        <v>378</v>
      </c>
      <c r="G134" s="195" t="s">
        <v>237</v>
      </c>
      <c r="H134" s="196" t="s">
        <v>254</v>
      </c>
      <c r="I134" s="181"/>
      <c r="J134" s="531"/>
      <c r="K134" s="531"/>
      <c r="L134" s="531"/>
      <c r="M134" s="531"/>
      <c r="N134" s="531"/>
      <c r="O134" s="531"/>
      <c r="P134" s="531"/>
      <c r="Q134" s="531"/>
      <c r="R134" s="531"/>
      <c r="S134" s="531"/>
      <c r="T134" s="531"/>
      <c r="U134" s="531"/>
      <c r="V134" s="531"/>
      <c r="W134" s="531"/>
      <c r="X134" s="531">
        <v>86</v>
      </c>
      <c r="Y134" s="531"/>
      <c r="Z134" s="531"/>
      <c r="AA134" s="531"/>
      <c r="AB134" s="531"/>
      <c r="AC134" s="532"/>
      <c r="AD134" s="532"/>
      <c r="AE134" s="532"/>
      <c r="AF134" s="532"/>
      <c r="AG134" s="532"/>
      <c r="AH134" s="532"/>
      <c r="AI134" s="532"/>
      <c r="AJ134" s="532"/>
      <c r="AK134" s="532"/>
      <c r="AL134" s="532"/>
      <c r="AM134" s="532"/>
      <c r="AN134" s="532"/>
      <c r="AO134" s="532"/>
      <c r="AP134" s="532">
        <f>IF(Table_NFI[[#This Row],[Winter Clothes Adult]]+Table_NFI[[#This Row],[Winter Clothes Children]]+Table_NFI[[#This Row],[Winter Items Other]]+Table_NFI[[#This Row],[Winter Blanket]]&gt;0,1,0)</f>
        <v>1</v>
      </c>
      <c r="AQ134" s="532"/>
      <c r="AR134" s="532"/>
      <c r="AS134" s="532"/>
      <c r="AT134" s="532"/>
      <c r="AU134" s="532"/>
      <c r="AV134" s="532"/>
      <c r="AW134" s="532"/>
      <c r="AX134" s="203" t="str">
        <f>IFERROR(VLOOKUP(Table_NFI[[#This Row],[Location]],CL,2,0),"")</f>
        <v>MMR001CMP019</v>
      </c>
      <c r="AZ134" s="524"/>
      <c r="DS134" s="181"/>
      <c r="DT134" s="181"/>
    </row>
    <row r="135" spans="2:124" ht="18.75" hidden="1" customHeight="1" x14ac:dyDescent="0.3">
      <c r="B135" s="542">
        <v>43096</v>
      </c>
      <c r="C135" s="542" t="str">
        <f>MONTH(Table_NFI[[#This Row],[Distribution Date]]) &amp; "/" &amp; YEAR(Table_NFI[[#This Row],[Distribution Date]])</f>
        <v>12/2017</v>
      </c>
      <c r="D135" s="196" t="s">
        <v>825</v>
      </c>
      <c r="E135" s="196"/>
      <c r="F135" s="196" t="s">
        <v>378</v>
      </c>
      <c r="G135" s="195" t="s">
        <v>237</v>
      </c>
      <c r="H135" s="196" t="s">
        <v>256</v>
      </c>
      <c r="I135" s="181"/>
      <c r="J135" s="531"/>
      <c r="K135" s="531"/>
      <c r="L135" s="531"/>
      <c r="M135" s="531"/>
      <c r="N135" s="531"/>
      <c r="O135" s="531"/>
      <c r="P135" s="531"/>
      <c r="Q135" s="531"/>
      <c r="R135" s="531"/>
      <c r="S135" s="531"/>
      <c r="T135" s="531"/>
      <c r="U135" s="531"/>
      <c r="V135" s="531"/>
      <c r="W135" s="531"/>
      <c r="X135" s="531">
        <v>17</v>
      </c>
      <c r="Y135" s="531"/>
      <c r="Z135" s="531"/>
      <c r="AA135" s="531"/>
      <c r="AB135" s="531"/>
      <c r="AC135" s="532"/>
      <c r="AD135" s="532"/>
      <c r="AE135" s="532"/>
      <c r="AF135" s="532"/>
      <c r="AG135" s="532"/>
      <c r="AH135" s="532"/>
      <c r="AI135" s="532"/>
      <c r="AJ135" s="532"/>
      <c r="AK135" s="532"/>
      <c r="AL135" s="532"/>
      <c r="AM135" s="532"/>
      <c r="AN135" s="532"/>
      <c r="AO135" s="532"/>
      <c r="AP135" s="532">
        <f>IF(Table_NFI[[#This Row],[Winter Clothes Adult]]+Table_NFI[[#This Row],[Winter Clothes Children]]+Table_NFI[[#This Row],[Winter Items Other]]+Table_NFI[[#This Row],[Winter Blanket]]&gt;0,1,0)</f>
        <v>1</v>
      </c>
      <c r="AQ135" s="532"/>
      <c r="AR135" s="532"/>
      <c r="AS135" s="532"/>
      <c r="AT135" s="532"/>
      <c r="AU135" s="532"/>
      <c r="AV135" s="532"/>
      <c r="AW135" s="532"/>
      <c r="AX135" s="203" t="str">
        <f>IFERROR(VLOOKUP(Table_NFI[[#This Row],[Location]],CL,2,0),"")</f>
        <v>MMR001CMP013</v>
      </c>
      <c r="AZ135" s="524"/>
      <c r="DS135" s="181"/>
      <c r="DT135" s="181"/>
    </row>
    <row r="136" spans="2:124" ht="18.75" hidden="1" customHeight="1" x14ac:dyDescent="0.3">
      <c r="B136" s="542">
        <v>43096</v>
      </c>
      <c r="C136" s="542" t="str">
        <f>MONTH(Table_NFI[[#This Row],[Distribution Date]]) &amp; "/" &amp; YEAR(Table_NFI[[#This Row],[Distribution Date]])</f>
        <v>12/2017</v>
      </c>
      <c r="D136" s="196" t="s">
        <v>825</v>
      </c>
      <c r="E136" s="196"/>
      <c r="F136" s="196" t="s">
        <v>378</v>
      </c>
      <c r="G136" s="195" t="s">
        <v>237</v>
      </c>
      <c r="H136" s="196" t="s">
        <v>240</v>
      </c>
      <c r="I136" s="181"/>
      <c r="J136" s="531"/>
      <c r="K136" s="531"/>
      <c r="L136" s="531"/>
      <c r="M136" s="531"/>
      <c r="N136" s="531"/>
      <c r="O136" s="531"/>
      <c r="P136" s="531"/>
      <c r="Q136" s="531"/>
      <c r="R136" s="531"/>
      <c r="S136" s="531"/>
      <c r="T136" s="531"/>
      <c r="U136" s="531"/>
      <c r="V136" s="531"/>
      <c r="W136" s="531"/>
      <c r="X136" s="531">
        <v>30</v>
      </c>
      <c r="Y136" s="531"/>
      <c r="Z136" s="531"/>
      <c r="AA136" s="531"/>
      <c r="AB136" s="531"/>
      <c r="AC136" s="532"/>
      <c r="AD136" s="532"/>
      <c r="AE136" s="532"/>
      <c r="AF136" s="532"/>
      <c r="AG136" s="532"/>
      <c r="AH136" s="532"/>
      <c r="AI136" s="532"/>
      <c r="AJ136" s="532"/>
      <c r="AK136" s="532"/>
      <c r="AL136" s="532"/>
      <c r="AM136" s="532"/>
      <c r="AN136" s="532"/>
      <c r="AO136" s="532"/>
      <c r="AP136" s="532">
        <f>IF(Table_NFI[[#This Row],[Winter Clothes Adult]]+Table_NFI[[#This Row],[Winter Clothes Children]]+Table_NFI[[#This Row],[Winter Items Other]]+Table_NFI[[#This Row],[Winter Blanket]]&gt;0,1,0)</f>
        <v>1</v>
      </c>
      <c r="AQ136" s="532"/>
      <c r="AR136" s="532"/>
      <c r="AS136" s="532"/>
      <c r="AT136" s="532"/>
      <c r="AU136" s="532"/>
      <c r="AV136" s="532"/>
      <c r="AW136" s="532"/>
      <c r="AX136" s="203" t="str">
        <f>IFERROR(VLOOKUP(Table_NFI[[#This Row],[Location]],CL,2,0),"")</f>
        <v>MMR001CMP015</v>
      </c>
      <c r="AZ136" s="524"/>
      <c r="DS136" s="181"/>
      <c r="DT136" s="181"/>
    </row>
    <row r="137" spans="2:124" ht="18.75" hidden="1" customHeight="1" x14ac:dyDescent="0.3">
      <c r="B137" s="542">
        <v>43096</v>
      </c>
      <c r="C137" s="542" t="str">
        <f>MONTH(Table_NFI[[#This Row],[Distribution Date]]) &amp; "/" &amp; YEAR(Table_NFI[[#This Row],[Distribution Date]])</f>
        <v>12/2017</v>
      </c>
      <c r="D137" s="196" t="s">
        <v>825</v>
      </c>
      <c r="E137" s="196"/>
      <c r="F137" s="196" t="s">
        <v>378</v>
      </c>
      <c r="G137" s="195" t="s">
        <v>237</v>
      </c>
      <c r="H137" s="196" t="s">
        <v>284</v>
      </c>
      <c r="I137" s="181"/>
      <c r="J137" s="531"/>
      <c r="K137" s="531"/>
      <c r="L137" s="531"/>
      <c r="M137" s="531"/>
      <c r="N137" s="531"/>
      <c r="O137" s="531"/>
      <c r="P137" s="531"/>
      <c r="Q137" s="531"/>
      <c r="R137" s="531"/>
      <c r="S137" s="531"/>
      <c r="T137" s="531"/>
      <c r="U137" s="531"/>
      <c r="V137" s="531"/>
      <c r="W137" s="531"/>
      <c r="X137" s="531">
        <v>86</v>
      </c>
      <c r="Y137" s="531"/>
      <c r="Z137" s="531"/>
      <c r="AA137" s="531"/>
      <c r="AB137" s="531"/>
      <c r="AC137" s="532"/>
      <c r="AD137" s="532"/>
      <c r="AE137" s="532"/>
      <c r="AF137" s="532"/>
      <c r="AG137" s="532"/>
      <c r="AH137" s="532"/>
      <c r="AI137" s="532"/>
      <c r="AJ137" s="532"/>
      <c r="AK137" s="532"/>
      <c r="AL137" s="532"/>
      <c r="AM137" s="532"/>
      <c r="AN137" s="532"/>
      <c r="AO137" s="532"/>
      <c r="AP137" s="532">
        <f>IF(Table_NFI[[#This Row],[Winter Clothes Adult]]+Table_NFI[[#This Row],[Winter Clothes Children]]+Table_NFI[[#This Row],[Winter Items Other]]+Table_NFI[[#This Row],[Winter Blanket]]&gt;0,1,0)</f>
        <v>1</v>
      </c>
      <c r="AQ137" s="532"/>
      <c r="AR137" s="532"/>
      <c r="AS137" s="532"/>
      <c r="AT137" s="532"/>
      <c r="AU137" s="532"/>
      <c r="AV137" s="532"/>
      <c r="AW137" s="532"/>
      <c r="AX137" s="203" t="str">
        <f>IFERROR(VLOOKUP(Table_NFI[[#This Row],[Location]],CL,2,0),"")</f>
        <v>MMR001CMP014</v>
      </c>
      <c r="AZ137" s="524"/>
      <c r="DS137" s="181"/>
      <c r="DT137" s="181"/>
    </row>
    <row r="138" spans="2:124" ht="18.75" hidden="1" customHeight="1" x14ac:dyDescent="0.3">
      <c r="B138" s="542">
        <v>43096</v>
      </c>
      <c r="C138" s="542" t="str">
        <f>MONTH(Table_NFI[[#This Row],[Distribution Date]]) &amp; "/" &amp; YEAR(Table_NFI[[#This Row],[Distribution Date]])</f>
        <v>12/2017</v>
      </c>
      <c r="D138" s="196" t="s">
        <v>825</v>
      </c>
      <c r="E138" s="196"/>
      <c r="F138" s="196" t="s">
        <v>378</v>
      </c>
      <c r="G138" s="195" t="s">
        <v>237</v>
      </c>
      <c r="H138" s="196" t="s">
        <v>258</v>
      </c>
      <c r="I138" s="181"/>
      <c r="J138" s="531"/>
      <c r="K138" s="531"/>
      <c r="L138" s="531"/>
      <c r="M138" s="531"/>
      <c r="N138" s="531"/>
      <c r="O138" s="531"/>
      <c r="P138" s="531"/>
      <c r="Q138" s="531"/>
      <c r="R138" s="531"/>
      <c r="S138" s="531"/>
      <c r="T138" s="531"/>
      <c r="U138" s="531"/>
      <c r="V138" s="531"/>
      <c r="W138" s="531"/>
      <c r="X138" s="531">
        <v>61</v>
      </c>
      <c r="Y138" s="531"/>
      <c r="Z138" s="531"/>
      <c r="AA138" s="531"/>
      <c r="AB138" s="531"/>
      <c r="AC138" s="532"/>
      <c r="AD138" s="532"/>
      <c r="AE138" s="532"/>
      <c r="AF138" s="532"/>
      <c r="AG138" s="532"/>
      <c r="AH138" s="532"/>
      <c r="AI138" s="532"/>
      <c r="AJ138" s="532"/>
      <c r="AK138" s="532"/>
      <c r="AL138" s="532"/>
      <c r="AM138" s="532"/>
      <c r="AN138" s="532"/>
      <c r="AO138" s="532"/>
      <c r="AP138" s="532">
        <f>IF(Table_NFI[[#This Row],[Winter Clothes Adult]]+Table_NFI[[#This Row],[Winter Clothes Children]]+Table_NFI[[#This Row],[Winter Items Other]]+Table_NFI[[#This Row],[Winter Blanket]]&gt;0,1,0)</f>
        <v>1</v>
      </c>
      <c r="AQ138" s="532"/>
      <c r="AR138" s="532"/>
      <c r="AS138" s="532"/>
      <c r="AT138" s="532"/>
      <c r="AU138" s="532"/>
      <c r="AV138" s="532"/>
      <c r="AW138" s="532"/>
      <c r="AX138" s="203" t="str">
        <f>IFERROR(VLOOKUP(Table_NFI[[#This Row],[Location]],CL,2,0),"")</f>
        <v>MMR001CMP016</v>
      </c>
      <c r="AZ138" s="524"/>
      <c r="DS138" s="181"/>
      <c r="DT138" s="181"/>
    </row>
    <row r="139" spans="2:124" ht="18.75" hidden="1" customHeight="1" x14ac:dyDescent="0.3">
      <c r="B139" s="542">
        <v>43096</v>
      </c>
      <c r="C139" s="542" t="str">
        <f>MONTH(Table_NFI[[#This Row],[Distribution Date]]) &amp; "/" &amp; YEAR(Table_NFI[[#This Row],[Distribution Date]])</f>
        <v>12/2017</v>
      </c>
      <c r="D139" s="196" t="s">
        <v>825</v>
      </c>
      <c r="E139" s="196"/>
      <c r="F139" s="196" t="s">
        <v>378</v>
      </c>
      <c r="G139" s="195" t="s">
        <v>237</v>
      </c>
      <c r="H139" s="196" t="s">
        <v>260</v>
      </c>
      <c r="I139" s="181"/>
      <c r="J139" s="531"/>
      <c r="K139" s="531"/>
      <c r="L139" s="531"/>
      <c r="M139" s="531"/>
      <c r="N139" s="531"/>
      <c r="O139" s="531"/>
      <c r="P139" s="531"/>
      <c r="Q139" s="531"/>
      <c r="R139" s="531"/>
      <c r="S139" s="531"/>
      <c r="T139" s="531"/>
      <c r="U139" s="531"/>
      <c r="V139" s="531"/>
      <c r="W139" s="531"/>
      <c r="X139" s="531">
        <v>103</v>
      </c>
      <c r="Y139" s="531"/>
      <c r="Z139" s="531"/>
      <c r="AA139" s="531"/>
      <c r="AB139" s="531"/>
      <c r="AC139" s="532"/>
      <c r="AD139" s="532"/>
      <c r="AE139" s="532"/>
      <c r="AF139" s="532"/>
      <c r="AG139" s="532"/>
      <c r="AH139" s="532"/>
      <c r="AI139" s="532"/>
      <c r="AJ139" s="532"/>
      <c r="AK139" s="532"/>
      <c r="AL139" s="532"/>
      <c r="AM139" s="532"/>
      <c r="AN139" s="532"/>
      <c r="AO139" s="532"/>
      <c r="AP139" s="532">
        <f>IF(Table_NFI[[#This Row],[Winter Clothes Adult]]+Table_NFI[[#This Row],[Winter Clothes Children]]+Table_NFI[[#This Row],[Winter Items Other]]+Table_NFI[[#This Row],[Winter Blanket]]&gt;0,1,0)</f>
        <v>1</v>
      </c>
      <c r="AQ139" s="532"/>
      <c r="AR139" s="532"/>
      <c r="AS139" s="532"/>
      <c r="AT139" s="532"/>
      <c r="AU139" s="532"/>
      <c r="AV139" s="532"/>
      <c r="AW139" s="532"/>
      <c r="AX139" s="203" t="str">
        <f>IFERROR(VLOOKUP(Table_NFI[[#This Row],[Location]],CL,2,0),"")</f>
        <v>MMR001CMP008</v>
      </c>
      <c r="AZ139" s="524"/>
      <c r="DS139" s="181"/>
      <c r="DT139" s="181"/>
    </row>
    <row r="140" spans="2:124" ht="18.75" hidden="1" customHeight="1" x14ac:dyDescent="0.3">
      <c r="B140" s="542">
        <v>43096</v>
      </c>
      <c r="C140" s="542" t="str">
        <f>MONTH(Table_NFI[[#This Row],[Distribution Date]]) &amp; "/" &amp; YEAR(Table_NFI[[#This Row],[Distribution Date]])</f>
        <v>12/2017</v>
      </c>
      <c r="D140" s="196" t="s">
        <v>825</v>
      </c>
      <c r="E140" s="196"/>
      <c r="F140" s="196" t="s">
        <v>378</v>
      </c>
      <c r="G140" s="195" t="s">
        <v>237</v>
      </c>
      <c r="H140" s="196" t="s">
        <v>262</v>
      </c>
      <c r="I140" s="181"/>
      <c r="J140" s="531"/>
      <c r="K140" s="531"/>
      <c r="L140" s="531"/>
      <c r="M140" s="531"/>
      <c r="N140" s="531"/>
      <c r="O140" s="531"/>
      <c r="P140" s="531"/>
      <c r="Q140" s="531"/>
      <c r="R140" s="531"/>
      <c r="S140" s="531"/>
      <c r="T140" s="531"/>
      <c r="U140" s="531"/>
      <c r="V140" s="531"/>
      <c r="W140" s="531"/>
      <c r="X140" s="531">
        <v>24</v>
      </c>
      <c r="Y140" s="531"/>
      <c r="Z140" s="531"/>
      <c r="AA140" s="531"/>
      <c r="AB140" s="531"/>
      <c r="AC140" s="532"/>
      <c r="AD140" s="532"/>
      <c r="AE140" s="532"/>
      <c r="AF140" s="532"/>
      <c r="AG140" s="532"/>
      <c r="AH140" s="532"/>
      <c r="AI140" s="532"/>
      <c r="AJ140" s="532"/>
      <c r="AK140" s="532"/>
      <c r="AL140" s="532"/>
      <c r="AM140" s="532"/>
      <c r="AN140" s="532"/>
      <c r="AO140" s="532"/>
      <c r="AP140" s="532">
        <f>IF(Table_NFI[[#This Row],[Winter Clothes Adult]]+Table_NFI[[#This Row],[Winter Clothes Children]]+Table_NFI[[#This Row],[Winter Items Other]]+Table_NFI[[#This Row],[Winter Blanket]]&gt;0,1,0)</f>
        <v>1</v>
      </c>
      <c r="AQ140" s="532"/>
      <c r="AR140" s="532"/>
      <c r="AS140" s="532"/>
      <c r="AT140" s="532"/>
      <c r="AU140" s="532"/>
      <c r="AV140" s="532"/>
      <c r="AW140" s="532"/>
      <c r="AX140" s="203" t="str">
        <f>IFERROR(VLOOKUP(Table_NFI[[#This Row],[Location]],CL,2,0),"")</f>
        <v>MMR001CMP020</v>
      </c>
      <c r="AZ140" s="524"/>
      <c r="DS140" s="181"/>
      <c r="DT140" s="181"/>
    </row>
    <row r="141" spans="2:124" ht="18.75" hidden="1" customHeight="1" x14ac:dyDescent="0.3">
      <c r="B141" s="542">
        <v>43096</v>
      </c>
      <c r="C141" s="542" t="str">
        <f>MONTH(Table_NFI[[#This Row],[Distribution Date]]) &amp; "/" &amp; YEAR(Table_NFI[[#This Row],[Distribution Date]])</f>
        <v>12/2017</v>
      </c>
      <c r="D141" s="196" t="s">
        <v>825</v>
      </c>
      <c r="E141" s="196"/>
      <c r="F141" s="196" t="s">
        <v>378</v>
      </c>
      <c r="G141" s="195" t="s">
        <v>237</v>
      </c>
      <c r="H141" s="196" t="s">
        <v>264</v>
      </c>
      <c r="I141" s="181"/>
      <c r="J141" s="531"/>
      <c r="K141" s="531"/>
      <c r="L141" s="531"/>
      <c r="M141" s="531"/>
      <c r="N141" s="531"/>
      <c r="O141" s="531"/>
      <c r="P141" s="531"/>
      <c r="Q141" s="531"/>
      <c r="R141" s="531"/>
      <c r="S141" s="531"/>
      <c r="T141" s="531"/>
      <c r="U141" s="531"/>
      <c r="V141" s="531"/>
      <c r="W141" s="531"/>
      <c r="X141" s="531">
        <v>14</v>
      </c>
      <c r="Y141" s="531"/>
      <c r="Z141" s="531"/>
      <c r="AA141" s="531"/>
      <c r="AB141" s="531"/>
      <c r="AC141" s="532"/>
      <c r="AD141" s="532"/>
      <c r="AE141" s="532"/>
      <c r="AF141" s="532"/>
      <c r="AG141" s="532"/>
      <c r="AH141" s="532"/>
      <c r="AI141" s="532"/>
      <c r="AJ141" s="532"/>
      <c r="AK141" s="532"/>
      <c r="AL141" s="532"/>
      <c r="AM141" s="532"/>
      <c r="AN141" s="532"/>
      <c r="AO141" s="532"/>
      <c r="AP141" s="532">
        <f>IF(Table_NFI[[#This Row],[Winter Clothes Adult]]+Table_NFI[[#This Row],[Winter Clothes Children]]+Table_NFI[[#This Row],[Winter Items Other]]+Table_NFI[[#This Row],[Winter Blanket]]&gt;0,1,0)</f>
        <v>1</v>
      </c>
      <c r="AQ141" s="532"/>
      <c r="AR141" s="532"/>
      <c r="AS141" s="532"/>
      <c r="AT141" s="532"/>
      <c r="AU141" s="532"/>
      <c r="AV141" s="532"/>
      <c r="AW141" s="532"/>
      <c r="AX141" s="203" t="str">
        <f>IFERROR(VLOOKUP(Table_NFI[[#This Row],[Location]],CL,2,0),"")</f>
        <v>MMR001CMP021</v>
      </c>
      <c r="AZ141" s="524"/>
      <c r="DS141" s="181"/>
      <c r="DT141" s="181"/>
    </row>
    <row r="142" spans="2:124" ht="18.75" hidden="1" customHeight="1" x14ac:dyDescent="0.3">
      <c r="B142" s="542">
        <v>43096</v>
      </c>
      <c r="C142" s="542" t="str">
        <f>MONTH(Table_NFI[[#This Row],[Distribution Date]]) &amp; "/" &amp; YEAR(Table_NFI[[#This Row],[Distribution Date]])</f>
        <v>12/2017</v>
      </c>
      <c r="D142" s="196" t="s">
        <v>825</v>
      </c>
      <c r="E142" s="196"/>
      <c r="F142" s="196" t="s">
        <v>378</v>
      </c>
      <c r="G142" s="195" t="s">
        <v>237</v>
      </c>
      <c r="H142" s="196" t="s">
        <v>270</v>
      </c>
      <c r="I142" s="181"/>
      <c r="J142" s="531"/>
      <c r="K142" s="531"/>
      <c r="L142" s="531"/>
      <c r="M142" s="531"/>
      <c r="N142" s="531"/>
      <c r="O142" s="531"/>
      <c r="P142" s="531"/>
      <c r="Q142" s="531"/>
      <c r="R142" s="531"/>
      <c r="S142" s="531"/>
      <c r="T142" s="531"/>
      <c r="U142" s="531"/>
      <c r="V142" s="531"/>
      <c r="W142" s="531"/>
      <c r="X142" s="531">
        <v>60</v>
      </c>
      <c r="Y142" s="531"/>
      <c r="Z142" s="531"/>
      <c r="AA142" s="531"/>
      <c r="AB142" s="531"/>
      <c r="AC142" s="532"/>
      <c r="AD142" s="532"/>
      <c r="AE142" s="532"/>
      <c r="AF142" s="532"/>
      <c r="AG142" s="532"/>
      <c r="AH142" s="532"/>
      <c r="AI142" s="532"/>
      <c r="AJ142" s="532"/>
      <c r="AK142" s="532"/>
      <c r="AL142" s="532"/>
      <c r="AM142" s="532"/>
      <c r="AN142" s="532"/>
      <c r="AO142" s="532"/>
      <c r="AP142" s="532">
        <f>IF(Table_NFI[[#This Row],[Winter Clothes Adult]]+Table_NFI[[#This Row],[Winter Clothes Children]]+Table_NFI[[#This Row],[Winter Items Other]]+Table_NFI[[#This Row],[Winter Blanket]]&gt;0,1,0)</f>
        <v>1</v>
      </c>
      <c r="AQ142" s="532"/>
      <c r="AR142" s="532"/>
      <c r="AS142" s="532"/>
      <c r="AT142" s="532"/>
      <c r="AU142" s="532"/>
      <c r="AV142" s="532"/>
      <c r="AW142" s="532"/>
      <c r="AX142" s="203" t="str">
        <f>IFERROR(VLOOKUP(Table_NFI[[#This Row],[Location]],CL,2,0),"")</f>
        <v>MMR001CMP024</v>
      </c>
      <c r="AZ142" s="524"/>
      <c r="DS142" s="181"/>
      <c r="DT142" s="181"/>
    </row>
    <row r="143" spans="2:124" ht="18.75" hidden="1" customHeight="1" x14ac:dyDescent="0.3">
      <c r="B143" s="542">
        <v>43096</v>
      </c>
      <c r="C143" s="542" t="str">
        <f>MONTH(Table_NFI[[#This Row],[Distribution Date]]) &amp; "/" &amp; YEAR(Table_NFI[[#This Row],[Distribution Date]])</f>
        <v>12/2017</v>
      </c>
      <c r="D143" s="196" t="s">
        <v>825</v>
      </c>
      <c r="E143" s="196"/>
      <c r="F143" s="196" t="s">
        <v>378</v>
      </c>
      <c r="G143" s="195" t="s">
        <v>237</v>
      </c>
      <c r="H143" s="196" t="s">
        <v>268</v>
      </c>
      <c r="I143" s="181"/>
      <c r="J143" s="531"/>
      <c r="K143" s="531"/>
      <c r="L143" s="531"/>
      <c r="M143" s="531"/>
      <c r="N143" s="531"/>
      <c r="O143" s="531"/>
      <c r="P143" s="531"/>
      <c r="Q143" s="531"/>
      <c r="R143" s="531"/>
      <c r="S143" s="531"/>
      <c r="T143" s="531"/>
      <c r="U143" s="531"/>
      <c r="V143" s="531"/>
      <c r="W143" s="531"/>
      <c r="X143" s="531">
        <v>66</v>
      </c>
      <c r="Y143" s="531"/>
      <c r="Z143" s="531"/>
      <c r="AA143" s="531"/>
      <c r="AB143" s="531"/>
      <c r="AC143" s="532"/>
      <c r="AD143" s="532"/>
      <c r="AE143" s="532"/>
      <c r="AF143" s="532"/>
      <c r="AG143" s="532"/>
      <c r="AH143" s="532"/>
      <c r="AI143" s="532"/>
      <c r="AJ143" s="532"/>
      <c r="AK143" s="532"/>
      <c r="AL143" s="532"/>
      <c r="AM143" s="532"/>
      <c r="AN143" s="532"/>
      <c r="AO143" s="532"/>
      <c r="AP143" s="532">
        <f>IF(Table_NFI[[#This Row],[Winter Clothes Adult]]+Table_NFI[[#This Row],[Winter Clothes Children]]+Table_NFI[[#This Row],[Winter Items Other]]+Table_NFI[[#This Row],[Winter Blanket]]&gt;0,1,0)</f>
        <v>1</v>
      </c>
      <c r="AQ143" s="532"/>
      <c r="AR143" s="532"/>
      <c r="AS143" s="532"/>
      <c r="AT143" s="532"/>
      <c r="AU143" s="532"/>
      <c r="AV143" s="532"/>
      <c r="AW143" s="532"/>
      <c r="AX143" s="203" t="str">
        <f>IFERROR(VLOOKUP(Table_NFI[[#This Row],[Location]],CL,2,0),"")</f>
        <v>MMR001CMP002</v>
      </c>
      <c r="AZ143" s="524"/>
      <c r="DS143" s="181"/>
      <c r="DT143" s="181"/>
    </row>
    <row r="144" spans="2:124" ht="18.75" hidden="1" customHeight="1" x14ac:dyDescent="0.3">
      <c r="B144" s="542">
        <v>43096</v>
      </c>
      <c r="C144" s="542" t="str">
        <f>MONTH(Table_NFI[[#This Row],[Distribution Date]]) &amp; "/" &amp; YEAR(Table_NFI[[#This Row],[Distribution Date]])</f>
        <v>12/2017</v>
      </c>
      <c r="D144" s="196" t="s">
        <v>825</v>
      </c>
      <c r="E144" s="196"/>
      <c r="F144" s="196" t="s">
        <v>378</v>
      </c>
      <c r="G144" s="195" t="s">
        <v>237</v>
      </c>
      <c r="H144" s="196" t="s">
        <v>272</v>
      </c>
      <c r="I144" s="181"/>
      <c r="J144" s="531"/>
      <c r="K144" s="531"/>
      <c r="L144" s="531"/>
      <c r="M144" s="531"/>
      <c r="N144" s="531"/>
      <c r="O144" s="531"/>
      <c r="P144" s="531"/>
      <c r="Q144" s="531"/>
      <c r="R144" s="531"/>
      <c r="S144" s="531"/>
      <c r="T144" s="531"/>
      <c r="U144" s="531"/>
      <c r="V144" s="531"/>
      <c r="W144" s="531"/>
      <c r="X144" s="531">
        <v>46</v>
      </c>
      <c r="Y144" s="531"/>
      <c r="Z144" s="531"/>
      <c r="AA144" s="531"/>
      <c r="AB144" s="531"/>
      <c r="AC144" s="532"/>
      <c r="AD144" s="532"/>
      <c r="AE144" s="532"/>
      <c r="AF144" s="532"/>
      <c r="AG144" s="532"/>
      <c r="AH144" s="532"/>
      <c r="AI144" s="532"/>
      <c r="AJ144" s="532"/>
      <c r="AK144" s="532"/>
      <c r="AL144" s="532"/>
      <c r="AM144" s="532"/>
      <c r="AN144" s="532"/>
      <c r="AO144" s="532"/>
      <c r="AP144" s="532">
        <f>IF(Table_NFI[[#This Row],[Winter Clothes Adult]]+Table_NFI[[#This Row],[Winter Clothes Children]]+Table_NFI[[#This Row],[Winter Items Other]]+Table_NFI[[#This Row],[Winter Blanket]]&gt;0,1,0)</f>
        <v>1</v>
      </c>
      <c r="AQ144" s="532"/>
      <c r="AR144" s="532"/>
      <c r="AS144" s="532"/>
      <c r="AT144" s="532"/>
      <c r="AU144" s="532"/>
      <c r="AV144" s="532"/>
      <c r="AW144" s="532"/>
      <c r="AX144" s="203" t="str">
        <f>IFERROR(VLOOKUP(Table_NFI[[#This Row],[Location]],CL,2,0),"")</f>
        <v>MMR001CMP162</v>
      </c>
      <c r="AZ144" s="524"/>
      <c r="DS144" s="181"/>
      <c r="DT144" s="181"/>
    </row>
    <row r="145" spans="2:124" ht="18.75" hidden="1" customHeight="1" x14ac:dyDescent="0.3">
      <c r="B145" s="542">
        <v>43096</v>
      </c>
      <c r="C145" s="542" t="str">
        <f>MONTH(Table_NFI[[#This Row],[Distribution Date]]) &amp; "/" &amp; YEAR(Table_NFI[[#This Row],[Distribution Date]])</f>
        <v>12/2017</v>
      </c>
      <c r="D145" s="196" t="s">
        <v>825</v>
      </c>
      <c r="E145" s="196"/>
      <c r="F145" s="196" t="s">
        <v>378</v>
      </c>
      <c r="G145" s="195" t="s">
        <v>237</v>
      </c>
      <c r="H145" s="196" t="s">
        <v>276</v>
      </c>
      <c r="I145" s="181"/>
      <c r="J145" s="531"/>
      <c r="K145" s="531"/>
      <c r="L145" s="531"/>
      <c r="M145" s="531"/>
      <c r="N145" s="531"/>
      <c r="O145" s="531"/>
      <c r="P145" s="531"/>
      <c r="Q145" s="531"/>
      <c r="R145" s="531"/>
      <c r="S145" s="531"/>
      <c r="T145" s="531"/>
      <c r="U145" s="531"/>
      <c r="V145" s="531"/>
      <c r="W145" s="531"/>
      <c r="X145" s="531">
        <v>119</v>
      </c>
      <c r="Y145" s="531"/>
      <c r="Z145" s="531"/>
      <c r="AA145" s="531"/>
      <c r="AB145" s="531"/>
      <c r="AC145" s="532"/>
      <c r="AD145" s="532"/>
      <c r="AE145" s="532"/>
      <c r="AF145" s="532"/>
      <c r="AG145" s="532"/>
      <c r="AH145" s="532"/>
      <c r="AI145" s="532"/>
      <c r="AJ145" s="532"/>
      <c r="AK145" s="532"/>
      <c r="AL145" s="532"/>
      <c r="AM145" s="532"/>
      <c r="AN145" s="532"/>
      <c r="AO145" s="532"/>
      <c r="AP145" s="532">
        <f>IF(Table_NFI[[#This Row],[Winter Clothes Adult]]+Table_NFI[[#This Row],[Winter Clothes Children]]+Table_NFI[[#This Row],[Winter Items Other]]+Table_NFI[[#This Row],[Winter Blanket]]&gt;0,1,0)</f>
        <v>1</v>
      </c>
      <c r="AQ145" s="532"/>
      <c r="AR145" s="532"/>
      <c r="AS145" s="532"/>
      <c r="AT145" s="532"/>
      <c r="AU145" s="532"/>
      <c r="AV145" s="532"/>
      <c r="AW145" s="532"/>
      <c r="AX145" s="203" t="str">
        <f>IFERROR(VLOOKUP(Table_NFI[[#This Row],[Location]],CL,2,0),"")</f>
        <v>MMR001CMP006</v>
      </c>
      <c r="AZ145" s="524"/>
      <c r="DS145" s="181"/>
      <c r="DT145" s="181"/>
    </row>
    <row r="146" spans="2:124" ht="18.75" hidden="1" customHeight="1" x14ac:dyDescent="0.3">
      <c r="B146" s="542">
        <v>43096</v>
      </c>
      <c r="C146" s="542" t="str">
        <f>MONTH(Table_NFI[[#This Row],[Distribution Date]]) &amp; "/" &amp; YEAR(Table_NFI[[#This Row],[Distribution Date]])</f>
        <v>12/2017</v>
      </c>
      <c r="D146" s="196" t="s">
        <v>825</v>
      </c>
      <c r="E146" s="196"/>
      <c r="F146" s="196" t="s">
        <v>378</v>
      </c>
      <c r="G146" s="195" t="s">
        <v>237</v>
      </c>
      <c r="H146" s="196" t="s">
        <v>278</v>
      </c>
      <c r="I146" s="181"/>
      <c r="J146" s="531"/>
      <c r="K146" s="531"/>
      <c r="L146" s="531"/>
      <c r="M146" s="531"/>
      <c r="N146" s="531"/>
      <c r="O146" s="531"/>
      <c r="P146" s="531"/>
      <c r="Q146" s="531"/>
      <c r="R146" s="531"/>
      <c r="S146" s="531"/>
      <c r="T146" s="531"/>
      <c r="U146" s="531"/>
      <c r="V146" s="531"/>
      <c r="W146" s="531"/>
      <c r="X146" s="531">
        <v>23</v>
      </c>
      <c r="Y146" s="531"/>
      <c r="Z146" s="531"/>
      <c r="AA146" s="531"/>
      <c r="AB146" s="531"/>
      <c r="AC146" s="532"/>
      <c r="AD146" s="532"/>
      <c r="AE146" s="532"/>
      <c r="AF146" s="532"/>
      <c r="AG146" s="532"/>
      <c r="AH146" s="532"/>
      <c r="AI146" s="532"/>
      <c r="AJ146" s="532"/>
      <c r="AK146" s="532"/>
      <c r="AL146" s="532"/>
      <c r="AM146" s="532"/>
      <c r="AN146" s="532"/>
      <c r="AO146" s="532"/>
      <c r="AP146" s="532">
        <f>IF(Table_NFI[[#This Row],[Winter Clothes Adult]]+Table_NFI[[#This Row],[Winter Clothes Children]]+Table_NFI[[#This Row],[Winter Items Other]]+Table_NFI[[#This Row],[Winter Blanket]]&gt;0,1,0)</f>
        <v>1</v>
      </c>
      <c r="AQ146" s="532"/>
      <c r="AR146" s="532"/>
      <c r="AS146" s="532"/>
      <c r="AT146" s="532"/>
      <c r="AU146" s="532"/>
      <c r="AV146" s="532"/>
      <c r="AW146" s="532"/>
      <c r="AX146" s="203" t="str">
        <f>IFERROR(VLOOKUP(Table_NFI[[#This Row],[Location]],CL,2,0),"")</f>
        <v>MMR001CMP007</v>
      </c>
      <c r="AZ146" s="524"/>
      <c r="DS146" s="181"/>
      <c r="DT146" s="181"/>
    </row>
    <row r="147" spans="2:124" ht="18.75" hidden="1" customHeight="1" x14ac:dyDescent="0.3">
      <c r="B147" s="542">
        <v>43096</v>
      </c>
      <c r="C147" s="542" t="str">
        <f>MONTH(Table_NFI[[#This Row],[Distribution Date]]) &amp; "/" &amp; YEAR(Table_NFI[[#This Row],[Distribution Date]])</f>
        <v>12/2017</v>
      </c>
      <c r="D147" s="196" t="s">
        <v>825</v>
      </c>
      <c r="E147" s="196"/>
      <c r="F147" s="196" t="s">
        <v>378</v>
      </c>
      <c r="G147" s="195" t="s">
        <v>237</v>
      </c>
      <c r="H147" s="196" t="s">
        <v>280</v>
      </c>
      <c r="I147" s="181"/>
      <c r="J147" s="531"/>
      <c r="K147" s="531"/>
      <c r="L147" s="531"/>
      <c r="M147" s="531"/>
      <c r="N147" s="531"/>
      <c r="O147" s="531"/>
      <c r="P147" s="531"/>
      <c r="Q147" s="531"/>
      <c r="R147" s="531"/>
      <c r="S147" s="531"/>
      <c r="T147" s="531"/>
      <c r="U147" s="531"/>
      <c r="V147" s="531"/>
      <c r="W147" s="531"/>
      <c r="X147" s="531">
        <v>91</v>
      </c>
      <c r="Y147" s="531"/>
      <c r="Z147" s="531"/>
      <c r="AA147" s="531"/>
      <c r="AB147" s="531"/>
      <c r="AC147" s="532"/>
      <c r="AD147" s="532"/>
      <c r="AE147" s="532"/>
      <c r="AF147" s="532"/>
      <c r="AG147" s="532"/>
      <c r="AH147" s="532"/>
      <c r="AI147" s="532"/>
      <c r="AJ147" s="532"/>
      <c r="AK147" s="532"/>
      <c r="AL147" s="532"/>
      <c r="AM147" s="532"/>
      <c r="AN147" s="532"/>
      <c r="AO147" s="532"/>
      <c r="AP147" s="532">
        <f>IF(Table_NFI[[#This Row],[Winter Clothes Adult]]+Table_NFI[[#This Row],[Winter Clothes Children]]+Table_NFI[[#This Row],[Winter Items Other]]+Table_NFI[[#This Row],[Winter Blanket]]&gt;0,1,0)</f>
        <v>1</v>
      </c>
      <c r="AQ147" s="532"/>
      <c r="AR147" s="532"/>
      <c r="AS147" s="532"/>
      <c r="AT147" s="532"/>
      <c r="AU147" s="532"/>
      <c r="AV147" s="532"/>
      <c r="AW147" s="532"/>
      <c r="AX147" s="203" t="str">
        <f>IFERROR(VLOOKUP(Table_NFI[[#This Row],[Location]],CL,2,0),"")</f>
        <v>MMR001CMP009</v>
      </c>
      <c r="AZ147" s="524"/>
      <c r="DS147" s="181"/>
      <c r="DT147" s="181"/>
    </row>
    <row r="148" spans="2:124" ht="18.75" hidden="1" customHeight="1" x14ac:dyDescent="0.3">
      <c r="B148" s="542">
        <v>43096</v>
      </c>
      <c r="C148" s="542" t="str">
        <f>MONTH(Table_NFI[[#This Row],[Distribution Date]]) &amp; "/" &amp; YEAR(Table_NFI[[#This Row],[Distribution Date]])</f>
        <v>12/2017</v>
      </c>
      <c r="D148" s="196" t="s">
        <v>825</v>
      </c>
      <c r="E148" s="196"/>
      <c r="F148" s="196" t="s">
        <v>378</v>
      </c>
      <c r="G148" s="195" t="s">
        <v>237</v>
      </c>
      <c r="H148" s="196" t="s">
        <v>238</v>
      </c>
      <c r="I148" s="181"/>
      <c r="J148" s="531"/>
      <c r="K148" s="531"/>
      <c r="L148" s="531"/>
      <c r="M148" s="531"/>
      <c r="N148" s="531"/>
      <c r="O148" s="531"/>
      <c r="P148" s="531"/>
      <c r="Q148" s="531"/>
      <c r="R148" s="531"/>
      <c r="S148" s="531"/>
      <c r="T148" s="531"/>
      <c r="U148" s="531"/>
      <c r="V148" s="531"/>
      <c r="W148" s="531"/>
      <c r="X148" s="531">
        <v>69</v>
      </c>
      <c r="Y148" s="531"/>
      <c r="Z148" s="531"/>
      <c r="AA148" s="531"/>
      <c r="AB148" s="531"/>
      <c r="AC148" s="532"/>
      <c r="AD148" s="532"/>
      <c r="AE148" s="532"/>
      <c r="AF148" s="532"/>
      <c r="AG148" s="532"/>
      <c r="AH148" s="532"/>
      <c r="AI148" s="532"/>
      <c r="AJ148" s="532"/>
      <c r="AK148" s="532"/>
      <c r="AL148" s="532"/>
      <c r="AM148" s="532"/>
      <c r="AN148" s="532"/>
      <c r="AO148" s="532"/>
      <c r="AP148" s="532">
        <f>IF(Table_NFI[[#This Row],[Winter Clothes Adult]]+Table_NFI[[#This Row],[Winter Clothes Children]]+Table_NFI[[#This Row],[Winter Items Other]]+Table_NFI[[#This Row],[Winter Blanket]]&gt;0,1,0)</f>
        <v>1</v>
      </c>
      <c r="AQ148" s="532"/>
      <c r="AR148" s="532"/>
      <c r="AS148" s="532"/>
      <c r="AT148" s="532"/>
      <c r="AU148" s="532"/>
      <c r="AV148" s="532"/>
      <c r="AW148" s="532"/>
      <c r="AX148" s="203" t="str">
        <f>IFERROR(VLOOKUP(Table_NFI[[#This Row],[Location]],CL,2,0),"")</f>
        <v>MMR001CMP001</v>
      </c>
      <c r="AZ148" s="524"/>
      <c r="DS148" s="181"/>
      <c r="DT148" s="181"/>
    </row>
    <row r="149" spans="2:124" ht="18.75" hidden="1" customHeight="1" x14ac:dyDescent="0.3">
      <c r="B149" s="542">
        <v>43096</v>
      </c>
      <c r="C149" s="542" t="str">
        <f>MONTH(Table_NFI[[#This Row],[Distribution Date]]) &amp; "/" &amp; YEAR(Table_NFI[[#This Row],[Distribution Date]])</f>
        <v>12/2017</v>
      </c>
      <c r="D149" s="196" t="s">
        <v>825</v>
      </c>
      <c r="E149" s="196"/>
      <c r="F149" s="196" t="s">
        <v>378</v>
      </c>
      <c r="G149" s="195" t="s">
        <v>237</v>
      </c>
      <c r="H149" s="196" t="s">
        <v>248</v>
      </c>
      <c r="I149" s="181"/>
      <c r="J149" s="531"/>
      <c r="K149" s="531"/>
      <c r="L149" s="531"/>
      <c r="M149" s="531"/>
      <c r="N149" s="531"/>
      <c r="O149" s="531"/>
      <c r="P149" s="531"/>
      <c r="Q149" s="531"/>
      <c r="R149" s="531"/>
      <c r="S149" s="531"/>
      <c r="T149" s="531"/>
      <c r="U149" s="531"/>
      <c r="V149" s="531"/>
      <c r="W149" s="531"/>
      <c r="X149" s="531">
        <v>7</v>
      </c>
      <c r="Y149" s="531"/>
      <c r="Z149" s="531"/>
      <c r="AA149" s="531"/>
      <c r="AB149" s="531"/>
      <c r="AC149" s="532"/>
      <c r="AD149" s="532"/>
      <c r="AE149" s="532"/>
      <c r="AF149" s="532"/>
      <c r="AG149" s="532"/>
      <c r="AH149" s="532"/>
      <c r="AI149" s="532"/>
      <c r="AJ149" s="532"/>
      <c r="AK149" s="532"/>
      <c r="AL149" s="532"/>
      <c r="AM149" s="532"/>
      <c r="AN149" s="532"/>
      <c r="AO149" s="532"/>
      <c r="AP149" s="532">
        <f>IF(Table_NFI[[#This Row],[Winter Clothes Adult]]+Table_NFI[[#This Row],[Winter Clothes Children]]+Table_NFI[[#This Row],[Winter Items Other]]+Table_NFI[[#This Row],[Winter Blanket]]&gt;0,1,0)</f>
        <v>1</v>
      </c>
      <c r="AQ149" s="532"/>
      <c r="AR149" s="532"/>
      <c r="AS149" s="532"/>
      <c r="AT149" s="532"/>
      <c r="AU149" s="532"/>
      <c r="AV149" s="532"/>
      <c r="AW149" s="532"/>
      <c r="AX149" s="203" t="str">
        <f>IFERROR(VLOOKUP(Table_NFI[[#This Row],[Location]],CL,2,0),"")</f>
        <v>MMR001CMP004</v>
      </c>
      <c r="AZ149" s="524"/>
      <c r="DS149" s="181"/>
      <c r="DT149" s="181"/>
    </row>
    <row r="150" spans="2:124" ht="18.75" hidden="1" customHeight="1" x14ac:dyDescent="0.3">
      <c r="B150" s="542">
        <v>43096</v>
      </c>
      <c r="C150" s="542" t="str">
        <f>MONTH(Table_NFI[[#This Row],[Distribution Date]]) &amp; "/" &amp; YEAR(Table_NFI[[#This Row],[Distribution Date]])</f>
        <v>12/2017</v>
      </c>
      <c r="D150" s="196" t="s">
        <v>825</v>
      </c>
      <c r="E150" s="196"/>
      <c r="F150" s="196" t="s">
        <v>378</v>
      </c>
      <c r="G150" s="195" t="s">
        <v>237</v>
      </c>
      <c r="H150" s="196" t="s">
        <v>250</v>
      </c>
      <c r="I150" s="181"/>
      <c r="J150" s="531"/>
      <c r="K150" s="531"/>
      <c r="L150" s="531"/>
      <c r="M150" s="531"/>
      <c r="N150" s="531"/>
      <c r="O150" s="531"/>
      <c r="P150" s="531"/>
      <c r="Q150" s="531"/>
      <c r="R150" s="531"/>
      <c r="S150" s="531"/>
      <c r="T150" s="531"/>
      <c r="U150" s="531"/>
      <c r="V150" s="531"/>
      <c r="W150" s="531"/>
      <c r="X150" s="531">
        <v>30</v>
      </c>
      <c r="Y150" s="531"/>
      <c r="Z150" s="531"/>
      <c r="AA150" s="531"/>
      <c r="AB150" s="531"/>
      <c r="AC150" s="532"/>
      <c r="AD150" s="532"/>
      <c r="AE150" s="532"/>
      <c r="AF150" s="532"/>
      <c r="AG150" s="532"/>
      <c r="AH150" s="532"/>
      <c r="AI150" s="532"/>
      <c r="AJ150" s="532"/>
      <c r="AK150" s="532"/>
      <c r="AL150" s="532"/>
      <c r="AM150" s="532"/>
      <c r="AN150" s="532"/>
      <c r="AO150" s="532"/>
      <c r="AP150" s="532">
        <f>IF(Table_NFI[[#This Row],[Winter Clothes Adult]]+Table_NFI[[#This Row],[Winter Clothes Children]]+Table_NFI[[#This Row],[Winter Items Other]]+Table_NFI[[#This Row],[Winter Blanket]]&gt;0,1,0)</f>
        <v>1</v>
      </c>
      <c r="AQ150" s="532"/>
      <c r="AR150" s="532"/>
      <c r="AS150" s="532"/>
      <c r="AT150" s="532"/>
      <c r="AU150" s="532"/>
      <c r="AV150" s="532"/>
      <c r="AW150" s="532"/>
      <c r="AX150" s="203" t="str">
        <f>IFERROR(VLOOKUP(Table_NFI[[#This Row],[Location]],CL,2,0),"")</f>
        <v>MMR001CMP003</v>
      </c>
      <c r="AZ150" s="524"/>
      <c r="DS150" s="181"/>
      <c r="DT150" s="181"/>
    </row>
    <row r="151" spans="2:124" ht="18.75" hidden="1" customHeight="1" x14ac:dyDescent="0.3">
      <c r="B151" s="542">
        <v>43096</v>
      </c>
      <c r="C151" s="542" t="str">
        <f>MONTH(Table_NFI[[#This Row],[Distribution Date]]) &amp; "/" &amp; YEAR(Table_NFI[[#This Row],[Distribution Date]])</f>
        <v>12/2017</v>
      </c>
      <c r="D151" s="196" t="s">
        <v>825</v>
      </c>
      <c r="E151" s="196"/>
      <c r="F151" s="196" t="s">
        <v>378</v>
      </c>
      <c r="G151" s="195" t="s">
        <v>237</v>
      </c>
      <c r="H151" s="196" t="s">
        <v>274</v>
      </c>
      <c r="I151" s="181"/>
      <c r="J151" s="531"/>
      <c r="K151" s="531"/>
      <c r="L151" s="531"/>
      <c r="M151" s="531"/>
      <c r="N151" s="531"/>
      <c r="O151" s="531"/>
      <c r="P151" s="531"/>
      <c r="Q151" s="531"/>
      <c r="R151" s="531"/>
      <c r="S151" s="531"/>
      <c r="T151" s="531"/>
      <c r="U151" s="531"/>
      <c r="V151" s="531"/>
      <c r="W151" s="531"/>
      <c r="X151" s="531">
        <v>46</v>
      </c>
      <c r="Y151" s="531"/>
      <c r="Z151" s="531"/>
      <c r="AA151" s="531"/>
      <c r="AB151" s="531"/>
      <c r="AC151" s="532"/>
      <c r="AD151" s="532"/>
      <c r="AE151" s="532"/>
      <c r="AF151" s="532"/>
      <c r="AG151" s="532"/>
      <c r="AH151" s="532"/>
      <c r="AI151" s="532"/>
      <c r="AJ151" s="532"/>
      <c r="AK151" s="532"/>
      <c r="AL151" s="532"/>
      <c r="AM151" s="532"/>
      <c r="AN151" s="532"/>
      <c r="AO151" s="532"/>
      <c r="AP151" s="532">
        <f>IF(Table_NFI[[#This Row],[Winter Clothes Adult]]+Table_NFI[[#This Row],[Winter Clothes Children]]+Table_NFI[[#This Row],[Winter Items Other]]+Table_NFI[[#This Row],[Winter Blanket]]&gt;0,1,0)</f>
        <v>1</v>
      </c>
      <c r="AQ151" s="532"/>
      <c r="AR151" s="532"/>
      <c r="AS151" s="532"/>
      <c r="AT151" s="532"/>
      <c r="AU151" s="532"/>
      <c r="AV151" s="532"/>
      <c r="AW151" s="532"/>
      <c r="AX151" s="203" t="str">
        <f>IFERROR(VLOOKUP(Table_NFI[[#This Row],[Location]],CL,2,0),"")</f>
        <v>MMR001CMP005</v>
      </c>
      <c r="AZ151" s="524"/>
      <c r="DS151" s="181"/>
      <c r="DT151" s="181"/>
    </row>
    <row r="152" spans="2:124" ht="18.75" hidden="1" customHeight="1" x14ac:dyDescent="0.3">
      <c r="B152" s="542">
        <v>43096</v>
      </c>
      <c r="C152" s="542" t="str">
        <f>MONTH(Table_NFI[[#This Row],[Distribution Date]]) &amp; "/" &amp; YEAR(Table_NFI[[#This Row],[Distribution Date]])</f>
        <v>12/2017</v>
      </c>
      <c r="D152" s="196" t="s">
        <v>825</v>
      </c>
      <c r="E152" s="196"/>
      <c r="F152" s="196" t="s">
        <v>378</v>
      </c>
      <c r="G152" s="195" t="s">
        <v>237</v>
      </c>
      <c r="H152" s="196" t="s">
        <v>1029</v>
      </c>
      <c r="I152" s="181"/>
      <c r="J152" s="531"/>
      <c r="K152" s="531"/>
      <c r="L152" s="531"/>
      <c r="M152" s="531"/>
      <c r="N152" s="531"/>
      <c r="O152" s="531"/>
      <c r="P152" s="531"/>
      <c r="Q152" s="531"/>
      <c r="R152" s="531"/>
      <c r="S152" s="531"/>
      <c r="T152" s="531"/>
      <c r="U152" s="531"/>
      <c r="V152" s="531"/>
      <c r="W152" s="531"/>
      <c r="X152" s="531">
        <v>54</v>
      </c>
      <c r="Y152" s="531"/>
      <c r="Z152" s="531"/>
      <c r="AA152" s="531"/>
      <c r="AB152" s="531"/>
      <c r="AC152" s="532"/>
      <c r="AD152" s="532"/>
      <c r="AE152" s="532"/>
      <c r="AF152" s="532"/>
      <c r="AG152" s="532"/>
      <c r="AH152" s="532"/>
      <c r="AI152" s="532"/>
      <c r="AJ152" s="532"/>
      <c r="AK152" s="532"/>
      <c r="AL152" s="532"/>
      <c r="AM152" s="532"/>
      <c r="AN152" s="532"/>
      <c r="AO152" s="532"/>
      <c r="AP152" s="532">
        <f>IF(Table_NFI[[#This Row],[Winter Clothes Adult]]+Table_NFI[[#This Row],[Winter Clothes Children]]+Table_NFI[[#This Row],[Winter Items Other]]+Table_NFI[[#This Row],[Winter Blanket]]&gt;0,1,0)</f>
        <v>1</v>
      </c>
      <c r="AQ152" s="532"/>
      <c r="AR152" s="532"/>
      <c r="AS152" s="532"/>
      <c r="AT152" s="532"/>
      <c r="AU152" s="532"/>
      <c r="AV152" s="532"/>
      <c r="AW152" s="532"/>
      <c r="AX152" s="203" t="str">
        <f>IFERROR(VLOOKUP(Table_NFI[[#This Row],[Location]],CL,2,0),"")</f>
        <v>MMR001CMP023</v>
      </c>
      <c r="AZ152" s="524"/>
      <c r="DS152" s="181"/>
      <c r="DT152" s="181"/>
    </row>
    <row r="153" spans="2:124" ht="18.75" hidden="1" customHeight="1" x14ac:dyDescent="0.3">
      <c r="B153" s="542">
        <v>43096</v>
      </c>
      <c r="C153" s="542" t="str">
        <f>MONTH(Table_NFI[[#This Row],[Distribution Date]]) &amp; "/" &amp; YEAR(Table_NFI[[#This Row],[Distribution Date]])</f>
        <v>12/2017</v>
      </c>
      <c r="D153" s="196" t="s">
        <v>825</v>
      </c>
      <c r="E153" s="196"/>
      <c r="F153" s="196" t="s">
        <v>378</v>
      </c>
      <c r="G153" s="195" t="s">
        <v>237</v>
      </c>
      <c r="H153" s="196" t="s">
        <v>1503</v>
      </c>
      <c r="I153" s="181"/>
      <c r="J153" s="531"/>
      <c r="K153" s="531"/>
      <c r="L153" s="531"/>
      <c r="M153" s="531"/>
      <c r="N153" s="531"/>
      <c r="O153" s="531"/>
      <c r="P153" s="531"/>
      <c r="Q153" s="531"/>
      <c r="R153" s="531"/>
      <c r="S153" s="531"/>
      <c r="T153" s="531"/>
      <c r="U153" s="531"/>
      <c r="V153" s="531"/>
      <c r="W153" s="531"/>
      <c r="X153" s="531">
        <v>20</v>
      </c>
      <c r="Y153" s="531"/>
      <c r="Z153" s="531"/>
      <c r="AA153" s="531"/>
      <c r="AB153" s="531"/>
      <c r="AC153" s="532"/>
      <c r="AD153" s="532"/>
      <c r="AE153" s="532"/>
      <c r="AF153" s="532"/>
      <c r="AG153" s="532"/>
      <c r="AH153" s="532"/>
      <c r="AI153" s="532"/>
      <c r="AJ153" s="532"/>
      <c r="AK153" s="532"/>
      <c r="AL153" s="532"/>
      <c r="AM153" s="532"/>
      <c r="AN153" s="532"/>
      <c r="AO153" s="532"/>
      <c r="AP153" s="532">
        <f>IF(Table_NFI[[#This Row],[Winter Clothes Adult]]+Table_NFI[[#This Row],[Winter Clothes Children]]+Table_NFI[[#This Row],[Winter Items Other]]+Table_NFI[[#This Row],[Winter Blanket]]&gt;0,1,0)</f>
        <v>1</v>
      </c>
      <c r="AQ153" s="532"/>
      <c r="AR153" s="532"/>
      <c r="AS153" s="532"/>
      <c r="AT153" s="532"/>
      <c r="AU153" s="532"/>
      <c r="AV153" s="532"/>
      <c r="AW153" s="532"/>
      <c r="AX153" s="203" t="str">
        <f>IFERROR(VLOOKUP(Table_NFI[[#This Row],[Location]],CL,2,0),"")</f>
        <v>MMR001CMP010</v>
      </c>
      <c r="AZ153" s="524"/>
      <c r="DS153" s="181"/>
      <c r="DT153" s="181"/>
    </row>
    <row r="154" spans="2:124" ht="18.75" hidden="1" customHeight="1" x14ac:dyDescent="0.3">
      <c r="B154" s="542">
        <v>43096</v>
      </c>
      <c r="C154" s="542" t="str">
        <f>MONTH(Table_NFI[[#This Row],[Distribution Date]]) &amp; "/" &amp; YEAR(Table_NFI[[#This Row],[Distribution Date]])</f>
        <v>12/2017</v>
      </c>
      <c r="D154" s="196" t="s">
        <v>825</v>
      </c>
      <c r="E154" s="196"/>
      <c r="F154" s="196" t="s">
        <v>378</v>
      </c>
      <c r="G154" s="195" t="s">
        <v>180</v>
      </c>
      <c r="H154" s="196" t="s">
        <v>286</v>
      </c>
      <c r="I154" s="181"/>
      <c r="J154" s="531"/>
      <c r="K154" s="531"/>
      <c r="L154" s="531"/>
      <c r="M154" s="531"/>
      <c r="N154" s="531"/>
      <c r="O154" s="531"/>
      <c r="P154" s="531"/>
      <c r="Q154" s="531"/>
      <c r="R154" s="531"/>
      <c r="S154" s="531"/>
      <c r="T154" s="531"/>
      <c r="U154" s="531"/>
      <c r="V154" s="531"/>
      <c r="W154" s="531"/>
      <c r="X154" s="531">
        <v>23</v>
      </c>
      <c r="Y154" s="531"/>
      <c r="Z154" s="531"/>
      <c r="AA154" s="531"/>
      <c r="AB154" s="531"/>
      <c r="AC154" s="532"/>
      <c r="AD154" s="532"/>
      <c r="AE154" s="532"/>
      <c r="AF154" s="532"/>
      <c r="AG154" s="532"/>
      <c r="AH154" s="532"/>
      <c r="AI154" s="532"/>
      <c r="AJ154" s="532"/>
      <c r="AK154" s="532"/>
      <c r="AL154" s="532"/>
      <c r="AM154" s="532"/>
      <c r="AN154" s="532"/>
      <c r="AO154" s="532"/>
      <c r="AP154" s="532">
        <f>IF(Table_NFI[[#This Row],[Winter Clothes Adult]]+Table_NFI[[#This Row],[Winter Clothes Children]]+Table_NFI[[#This Row],[Winter Items Other]]+Table_NFI[[#This Row],[Winter Blanket]]&gt;0,1,0)</f>
        <v>1</v>
      </c>
      <c r="AQ154" s="532"/>
      <c r="AR154" s="532"/>
      <c r="AS154" s="532"/>
      <c r="AT154" s="532"/>
      <c r="AU154" s="532"/>
      <c r="AV154" s="532"/>
      <c r="AW154" s="532"/>
      <c r="AX154" s="203" t="str">
        <f>IFERROR(VLOOKUP(Table_NFI[[#This Row],[Location]],CL,2,0),"")</f>
        <v>MMR001CMP152</v>
      </c>
      <c r="AZ154" s="524"/>
      <c r="DS154" s="181"/>
      <c r="DT154" s="181"/>
    </row>
    <row r="155" spans="2:124" ht="18.75" hidden="1" customHeight="1" x14ac:dyDescent="0.3">
      <c r="B155" s="542">
        <v>43096</v>
      </c>
      <c r="C155" s="542" t="str">
        <f>MONTH(Table_NFI[[#This Row],[Distribution Date]]) &amp; "/" &amp; YEAR(Table_NFI[[#This Row],[Distribution Date]])</f>
        <v>12/2017</v>
      </c>
      <c r="D155" s="196" t="s">
        <v>825</v>
      </c>
      <c r="E155" s="196"/>
      <c r="F155" s="196" t="s">
        <v>378</v>
      </c>
      <c r="G155" s="195" t="s">
        <v>180</v>
      </c>
      <c r="H155" s="196" t="s">
        <v>181</v>
      </c>
      <c r="I155" s="181"/>
      <c r="J155" s="531"/>
      <c r="K155" s="531"/>
      <c r="L155" s="531"/>
      <c r="M155" s="531"/>
      <c r="N155" s="531"/>
      <c r="O155" s="531"/>
      <c r="P155" s="531"/>
      <c r="Q155" s="531"/>
      <c r="R155" s="531"/>
      <c r="S155" s="531"/>
      <c r="T155" s="531"/>
      <c r="U155" s="531"/>
      <c r="V155" s="531"/>
      <c r="W155" s="531"/>
      <c r="X155" s="531">
        <v>11</v>
      </c>
      <c r="Y155" s="531"/>
      <c r="Z155" s="531"/>
      <c r="AA155" s="531"/>
      <c r="AB155" s="531"/>
      <c r="AC155" s="532"/>
      <c r="AD155" s="532"/>
      <c r="AE155" s="532"/>
      <c r="AF155" s="532"/>
      <c r="AG155" s="532"/>
      <c r="AH155" s="532"/>
      <c r="AI155" s="532"/>
      <c r="AJ155" s="532"/>
      <c r="AK155" s="532"/>
      <c r="AL155" s="532"/>
      <c r="AM155" s="532"/>
      <c r="AN155" s="532"/>
      <c r="AO155" s="532"/>
      <c r="AP155" s="532">
        <f>IF(Table_NFI[[#This Row],[Winter Clothes Adult]]+Table_NFI[[#This Row],[Winter Clothes Children]]+Table_NFI[[#This Row],[Winter Items Other]]+Table_NFI[[#This Row],[Winter Blanket]]&gt;0,1,0)</f>
        <v>1</v>
      </c>
      <c r="AQ155" s="532"/>
      <c r="AR155" s="532"/>
      <c r="AS155" s="532"/>
      <c r="AT155" s="532"/>
      <c r="AU155" s="532"/>
      <c r="AV155" s="532"/>
      <c r="AW155" s="532"/>
      <c r="AX155" s="203" t="str">
        <f>IFERROR(VLOOKUP(Table_NFI[[#This Row],[Location]],CL,2,0),"")</f>
        <v>MMR001CMP080</v>
      </c>
      <c r="AZ155" s="524"/>
      <c r="DS155" s="181"/>
      <c r="DT155" s="181"/>
    </row>
    <row r="156" spans="2:124" ht="18.75" hidden="1" customHeight="1" x14ac:dyDescent="0.3">
      <c r="B156" s="542">
        <v>43096</v>
      </c>
      <c r="C156" s="542" t="str">
        <f>MONTH(Table_NFI[[#This Row],[Distribution Date]]) &amp; "/" &amp; YEAR(Table_NFI[[#This Row],[Distribution Date]])</f>
        <v>12/2017</v>
      </c>
      <c r="D156" s="196" t="s">
        <v>825</v>
      </c>
      <c r="E156" s="196"/>
      <c r="F156" s="196" t="s">
        <v>378</v>
      </c>
      <c r="G156" s="195" t="s">
        <v>180</v>
      </c>
      <c r="H156" s="196" t="s">
        <v>1546</v>
      </c>
      <c r="I156" s="181"/>
      <c r="J156" s="531"/>
      <c r="K156" s="531"/>
      <c r="L156" s="531"/>
      <c r="M156" s="531"/>
      <c r="N156" s="531"/>
      <c r="O156" s="531"/>
      <c r="P156" s="531"/>
      <c r="Q156" s="531"/>
      <c r="R156" s="531"/>
      <c r="S156" s="531"/>
      <c r="T156" s="531"/>
      <c r="U156" s="531"/>
      <c r="V156" s="531"/>
      <c r="W156" s="531"/>
      <c r="X156" s="531">
        <v>54</v>
      </c>
      <c r="Y156" s="531"/>
      <c r="Z156" s="531"/>
      <c r="AA156" s="531"/>
      <c r="AB156" s="531"/>
      <c r="AC156" s="532"/>
      <c r="AD156" s="532"/>
      <c r="AE156" s="532"/>
      <c r="AF156" s="532"/>
      <c r="AG156" s="532"/>
      <c r="AH156" s="532"/>
      <c r="AI156" s="532"/>
      <c r="AJ156" s="532"/>
      <c r="AK156" s="532"/>
      <c r="AL156" s="532"/>
      <c r="AM156" s="532"/>
      <c r="AN156" s="532"/>
      <c r="AO156" s="532"/>
      <c r="AP156" s="532">
        <f>IF(Table_NFI[[#This Row],[Winter Clothes Adult]]+Table_NFI[[#This Row],[Winter Clothes Children]]+Table_NFI[[#This Row],[Winter Items Other]]+Table_NFI[[#This Row],[Winter Blanket]]&gt;0,1,0)</f>
        <v>1</v>
      </c>
      <c r="AQ156" s="532"/>
      <c r="AR156" s="532"/>
      <c r="AS156" s="532"/>
      <c r="AT156" s="532"/>
      <c r="AU156" s="532"/>
      <c r="AV156" s="532"/>
      <c r="AW156" s="532"/>
      <c r="AX156" s="203" t="str">
        <f>IFERROR(VLOOKUP(Table_NFI[[#This Row],[Location]],CL,2,0),"")</f>
        <v/>
      </c>
      <c r="AZ156" s="524"/>
      <c r="DS156" s="181"/>
      <c r="DT156" s="181"/>
    </row>
    <row r="157" spans="2:124" ht="18.75" hidden="1" customHeight="1" x14ac:dyDescent="0.3">
      <c r="B157" s="542">
        <v>43096</v>
      </c>
      <c r="C157" s="542" t="str">
        <f>MONTH(Table_NFI[[#This Row],[Distribution Date]]) &amp; "/" &amp; YEAR(Table_NFI[[#This Row],[Distribution Date]])</f>
        <v>12/2017</v>
      </c>
      <c r="D157" s="196" t="s">
        <v>825</v>
      </c>
      <c r="E157" s="196" t="s">
        <v>1547</v>
      </c>
      <c r="F157" s="196" t="s">
        <v>378</v>
      </c>
      <c r="G157" s="195" t="s">
        <v>301</v>
      </c>
      <c r="H157" s="196" t="s">
        <v>305</v>
      </c>
      <c r="I157" s="181"/>
      <c r="J157" s="531"/>
      <c r="K157" s="531"/>
      <c r="L157" s="531"/>
      <c r="M157" s="531"/>
      <c r="N157" s="531"/>
      <c r="O157" s="531"/>
      <c r="P157" s="531"/>
      <c r="Q157" s="531"/>
      <c r="R157" s="531"/>
      <c r="S157" s="531"/>
      <c r="T157" s="531"/>
      <c r="U157" s="531">
        <v>344</v>
      </c>
      <c r="V157" s="531">
        <v>602</v>
      </c>
      <c r="W157" s="531">
        <v>1032</v>
      </c>
      <c r="X157" s="531">
        <v>172</v>
      </c>
      <c r="Y157" s="531"/>
      <c r="Z157" s="531"/>
      <c r="AA157" s="531"/>
      <c r="AB157" s="531"/>
      <c r="AC157" s="532"/>
      <c r="AD157" s="532"/>
      <c r="AE157" s="532"/>
      <c r="AF157" s="532"/>
      <c r="AG157" s="532"/>
      <c r="AH157" s="532"/>
      <c r="AI157" s="532"/>
      <c r="AJ157" s="532"/>
      <c r="AK157" s="532"/>
      <c r="AL157" s="532"/>
      <c r="AM157" s="532"/>
      <c r="AN157" s="532"/>
      <c r="AO157" s="532"/>
      <c r="AP157" s="532">
        <f>IF(Table_NFI[[#This Row],[Winter Clothes Adult]]+Table_NFI[[#This Row],[Winter Clothes Children]]+Table_NFI[[#This Row],[Winter Items Other]]+Table_NFI[[#This Row],[Winter Blanket]]&gt;0,1,0)</f>
        <v>1</v>
      </c>
      <c r="AQ157" s="532"/>
      <c r="AR157" s="532"/>
      <c r="AS157" s="532"/>
      <c r="AT157" s="532"/>
      <c r="AU157" s="532"/>
      <c r="AV157" s="532"/>
      <c r="AW157" s="532"/>
      <c r="AX157" s="203" t="str">
        <f>IFERROR(VLOOKUP(Table_NFI[[#This Row],[Location]],CL,2,0),"")</f>
        <v>MMR001CMP067</v>
      </c>
      <c r="AZ157" s="524"/>
      <c r="DS157" s="181"/>
      <c r="DT157" s="181"/>
    </row>
    <row r="158" spans="2:124" ht="18.75" hidden="1" customHeight="1" x14ac:dyDescent="0.3">
      <c r="B158" s="542">
        <v>43096</v>
      </c>
      <c r="C158" s="542" t="str">
        <f>MONTH(Table_NFI[[#This Row],[Distribution Date]]) &amp; "/" &amp; YEAR(Table_NFI[[#This Row],[Distribution Date]])</f>
        <v>12/2017</v>
      </c>
      <c r="D158" s="196" t="s">
        <v>825</v>
      </c>
      <c r="E158" s="196" t="s">
        <v>1547</v>
      </c>
      <c r="F158" s="196" t="s">
        <v>378</v>
      </c>
      <c r="G158" s="195" t="s">
        <v>301</v>
      </c>
      <c r="H158" s="196" t="s">
        <v>307</v>
      </c>
      <c r="I158" s="181"/>
      <c r="J158" s="531"/>
      <c r="K158" s="531"/>
      <c r="L158" s="531"/>
      <c r="M158" s="531"/>
      <c r="N158" s="531"/>
      <c r="O158" s="531"/>
      <c r="P158" s="531"/>
      <c r="Q158" s="531"/>
      <c r="R158" s="531"/>
      <c r="S158" s="531"/>
      <c r="T158" s="531"/>
      <c r="U158" s="531">
        <v>212</v>
      </c>
      <c r="V158" s="531">
        <v>371</v>
      </c>
      <c r="W158" s="531">
        <v>636</v>
      </c>
      <c r="X158" s="531">
        <v>106</v>
      </c>
      <c r="Y158" s="531"/>
      <c r="Z158" s="531"/>
      <c r="AA158" s="531"/>
      <c r="AB158" s="531"/>
      <c r="AC158" s="532"/>
      <c r="AD158" s="532"/>
      <c r="AE158" s="532"/>
      <c r="AF158" s="532"/>
      <c r="AG158" s="532"/>
      <c r="AH158" s="532"/>
      <c r="AI158" s="532"/>
      <c r="AJ158" s="532"/>
      <c r="AK158" s="532"/>
      <c r="AL158" s="532"/>
      <c r="AM158" s="532"/>
      <c r="AN158" s="532"/>
      <c r="AO158" s="532"/>
      <c r="AP158" s="532">
        <f>IF(Table_NFI[[#This Row],[Winter Clothes Adult]]+Table_NFI[[#This Row],[Winter Clothes Children]]+Table_NFI[[#This Row],[Winter Items Other]]+Table_NFI[[#This Row],[Winter Blanket]]&gt;0,1,0)</f>
        <v>1</v>
      </c>
      <c r="AQ158" s="532"/>
      <c r="AR158" s="532"/>
      <c r="AS158" s="532"/>
      <c r="AT158" s="532"/>
      <c r="AU158" s="532"/>
      <c r="AV158" s="532"/>
      <c r="AW158" s="532"/>
      <c r="AX158" s="203" t="str">
        <f>IFERROR(VLOOKUP(Table_NFI[[#This Row],[Location]],CL,2,0),"")</f>
        <v>MMR001CMP068</v>
      </c>
      <c r="AZ158" s="524"/>
      <c r="DS158" s="181"/>
      <c r="DT158" s="181"/>
    </row>
    <row r="159" spans="2:124" ht="18.75" hidden="1" customHeight="1" x14ac:dyDescent="0.3">
      <c r="B159" s="542">
        <v>43096</v>
      </c>
      <c r="C159" s="542" t="str">
        <f>MONTH(Table_NFI[[#This Row],[Distribution Date]]) &amp; "/" &amp; YEAR(Table_NFI[[#This Row],[Distribution Date]])</f>
        <v>12/2017</v>
      </c>
      <c r="D159" s="196" t="s">
        <v>1458</v>
      </c>
      <c r="E159" s="196" t="s">
        <v>1561</v>
      </c>
      <c r="F159" s="196" t="s">
        <v>506</v>
      </c>
      <c r="G159" s="195" t="s">
        <v>288</v>
      </c>
      <c r="H159" s="196" t="s">
        <v>291</v>
      </c>
      <c r="I159" s="181"/>
      <c r="J159" s="531"/>
      <c r="K159" s="531">
        <v>7</v>
      </c>
      <c r="L159" s="531"/>
      <c r="M159" s="531"/>
      <c r="N159" s="531"/>
      <c r="O159" s="531"/>
      <c r="P159" s="531"/>
      <c r="Q159" s="531"/>
      <c r="R159" s="531"/>
      <c r="S159" s="531"/>
      <c r="T159" s="531"/>
      <c r="U159" s="531"/>
      <c r="V159" s="531"/>
      <c r="W159" s="531"/>
      <c r="X159" s="531"/>
      <c r="Y159" s="531"/>
      <c r="Z159" s="531"/>
      <c r="AA159" s="531"/>
      <c r="AB159" s="531"/>
      <c r="AC159" s="532"/>
      <c r="AD159" s="532"/>
      <c r="AE159" s="532"/>
      <c r="AF159" s="532"/>
      <c r="AG159" s="532"/>
      <c r="AH159" s="532"/>
      <c r="AI159" s="532"/>
      <c r="AJ159" s="532"/>
      <c r="AK159" s="532"/>
      <c r="AL159" s="532"/>
      <c r="AM159" s="532"/>
      <c r="AN159" s="532"/>
      <c r="AO159" s="532"/>
      <c r="AP159" s="532">
        <f>IF(Table_NFI[[#This Row],[Winter Clothes Adult]]+Table_NFI[[#This Row],[Winter Clothes Children]]+Table_NFI[[#This Row],[Winter Items Other]]+Table_NFI[[#This Row],[Winter Blanket]]&gt;0,1,0)</f>
        <v>0</v>
      </c>
      <c r="AQ159" s="532"/>
      <c r="AR159" s="532"/>
      <c r="AS159" s="532"/>
      <c r="AT159" s="532"/>
      <c r="AU159" s="532"/>
      <c r="AV159" s="532"/>
      <c r="AW159" s="532"/>
      <c r="AX159" s="203" t="str">
        <f>IFERROR(VLOOKUP(Table_NFI[[#This Row],[Location]],CL,2,0),"")</f>
        <v>MMR015CMP004</v>
      </c>
      <c r="AZ159" s="524"/>
      <c r="DS159" s="181"/>
      <c r="DT159" s="181"/>
    </row>
    <row r="160" spans="2:124" ht="18.75" hidden="1" customHeight="1" x14ac:dyDescent="0.3">
      <c r="B160" s="530">
        <v>43098</v>
      </c>
      <c r="C160" s="530" t="str">
        <f>MONTH(Table_NFI[[#This Row],[Distribution Date]]) &amp; "/" &amp; YEAR(Table_NFI[[#This Row],[Distribution Date]])</f>
        <v>12/2017</v>
      </c>
      <c r="D160" s="196" t="s">
        <v>1549</v>
      </c>
      <c r="E160" s="196" t="s">
        <v>1549</v>
      </c>
      <c r="F160" s="196" t="s">
        <v>506</v>
      </c>
      <c r="G160" s="195" t="s">
        <v>288</v>
      </c>
      <c r="H160" s="196" t="s">
        <v>915</v>
      </c>
      <c r="I160" s="181"/>
      <c r="J160" s="531"/>
      <c r="K160" s="531"/>
      <c r="L160" s="531"/>
      <c r="M160" s="531"/>
      <c r="N160" s="531"/>
      <c r="O160" s="531"/>
      <c r="P160" s="531"/>
      <c r="Q160" s="531"/>
      <c r="R160" s="531"/>
      <c r="S160" s="531"/>
      <c r="T160" s="531"/>
      <c r="U160" s="531"/>
      <c r="V160" s="531"/>
      <c r="W160" s="531">
        <v>15</v>
      </c>
      <c r="X160" s="531"/>
      <c r="Y160" s="531"/>
      <c r="Z160" s="531"/>
      <c r="AA160" s="531"/>
      <c r="AB160" s="531"/>
      <c r="AC160" s="532"/>
      <c r="AD160" s="532"/>
      <c r="AE160" s="532"/>
      <c r="AF160" s="532"/>
      <c r="AG160" s="532"/>
      <c r="AH160" s="532"/>
      <c r="AI160" s="532"/>
      <c r="AJ160" s="532"/>
      <c r="AK160" s="532"/>
      <c r="AL160" s="532"/>
      <c r="AM160" s="532"/>
      <c r="AN160" s="532"/>
      <c r="AO160" s="532"/>
      <c r="AP160" s="532">
        <f>IF(Table_NFI[[#This Row],[Winter Clothes Adult]]+Table_NFI[[#This Row],[Winter Clothes Children]]+Table_NFI[[#This Row],[Winter Items Other]]+Table_NFI[[#This Row],[Winter Blanket]]&gt;0,1,0)</f>
        <v>1</v>
      </c>
      <c r="AQ160" s="532"/>
      <c r="AR160" s="532"/>
      <c r="AS160" s="532"/>
      <c r="AT160" s="532"/>
      <c r="AU160" s="532"/>
      <c r="AV160" s="532"/>
      <c r="AW160" s="532"/>
      <c r="AX160" s="203" t="str">
        <f>IFERROR(VLOOKUP(Table_NFI[[#This Row],[Location]],CL,2,0),"")</f>
        <v>MMR015CMP215</v>
      </c>
      <c r="AZ160" s="524"/>
      <c r="DS160" s="181"/>
      <c r="DT160" s="181"/>
    </row>
    <row r="161" spans="2:124" ht="18.75" hidden="1" customHeight="1" x14ac:dyDescent="0.3">
      <c r="B161" s="530">
        <v>43098</v>
      </c>
      <c r="C161" s="530" t="str">
        <f>MONTH(Table_NFI[[#This Row],[Distribution Date]]) &amp; "/" &amp; YEAR(Table_NFI[[#This Row],[Distribution Date]])</f>
        <v>12/2017</v>
      </c>
      <c r="D161" s="196" t="s">
        <v>1549</v>
      </c>
      <c r="E161" s="196" t="s">
        <v>1549</v>
      </c>
      <c r="F161" s="196" t="s">
        <v>506</v>
      </c>
      <c r="G161" s="195" t="s">
        <v>288</v>
      </c>
      <c r="H161" s="196" t="s">
        <v>291</v>
      </c>
      <c r="I161" s="181"/>
      <c r="J161" s="531"/>
      <c r="K161" s="531"/>
      <c r="L161" s="531"/>
      <c r="M161" s="531"/>
      <c r="N161" s="531"/>
      <c r="O161" s="531"/>
      <c r="P161" s="531"/>
      <c r="Q161" s="531"/>
      <c r="R161" s="531"/>
      <c r="S161" s="531"/>
      <c r="T161" s="531"/>
      <c r="U161" s="531"/>
      <c r="V161" s="531"/>
      <c r="W161" s="531">
        <v>8</v>
      </c>
      <c r="X161" s="531"/>
      <c r="Y161" s="531"/>
      <c r="Z161" s="531"/>
      <c r="AA161" s="531"/>
      <c r="AB161" s="531"/>
      <c r="AC161" s="532"/>
      <c r="AD161" s="532"/>
      <c r="AE161" s="532"/>
      <c r="AF161" s="532"/>
      <c r="AG161" s="532"/>
      <c r="AH161" s="532"/>
      <c r="AI161" s="532"/>
      <c r="AJ161" s="532"/>
      <c r="AK161" s="532"/>
      <c r="AL161" s="532"/>
      <c r="AM161" s="532"/>
      <c r="AN161" s="532"/>
      <c r="AO161" s="532"/>
      <c r="AP161" s="532">
        <f>IF(Table_NFI[[#This Row],[Winter Clothes Adult]]+Table_NFI[[#This Row],[Winter Clothes Children]]+Table_NFI[[#This Row],[Winter Items Other]]+Table_NFI[[#This Row],[Winter Blanket]]&gt;0,1,0)</f>
        <v>1</v>
      </c>
      <c r="AQ161" s="532"/>
      <c r="AR161" s="532"/>
      <c r="AS161" s="532"/>
      <c r="AT161" s="532"/>
      <c r="AU161" s="532"/>
      <c r="AV161" s="532"/>
      <c r="AW161" s="532"/>
      <c r="AX161" s="203" t="str">
        <f>IFERROR(VLOOKUP(Table_NFI[[#This Row],[Location]],CL,2,0),"")</f>
        <v>MMR015CMP004</v>
      </c>
      <c r="AZ161" s="524"/>
      <c r="DS161" s="181"/>
      <c r="DT161" s="181"/>
    </row>
    <row r="162" spans="2:124" ht="18.75" hidden="1" customHeight="1" x14ac:dyDescent="0.3">
      <c r="B162" s="530">
        <v>43098</v>
      </c>
      <c r="C162" s="530" t="str">
        <f>MONTH(Table_NFI[[#This Row],[Distribution Date]]) &amp; "/" &amp; YEAR(Table_NFI[[#This Row],[Distribution Date]])</f>
        <v>12/2017</v>
      </c>
      <c r="D162" s="196" t="s">
        <v>1549</v>
      </c>
      <c r="E162" s="196" t="s">
        <v>1549</v>
      </c>
      <c r="F162" s="196" t="s">
        <v>506</v>
      </c>
      <c r="G162" s="195" t="s">
        <v>288</v>
      </c>
      <c r="H162" s="196" t="s">
        <v>372</v>
      </c>
      <c r="I162" s="181"/>
      <c r="J162" s="531"/>
      <c r="K162" s="531"/>
      <c r="L162" s="531"/>
      <c r="M162" s="531"/>
      <c r="N162" s="531"/>
      <c r="O162" s="531"/>
      <c r="P162" s="531"/>
      <c r="Q162" s="531"/>
      <c r="R162" s="531"/>
      <c r="S162" s="531"/>
      <c r="T162" s="531"/>
      <c r="U162" s="531"/>
      <c r="V162" s="531"/>
      <c r="W162" s="531">
        <v>1</v>
      </c>
      <c r="X162" s="531"/>
      <c r="Y162" s="531"/>
      <c r="Z162" s="531"/>
      <c r="AA162" s="531"/>
      <c r="AB162" s="531"/>
      <c r="AC162" s="532"/>
      <c r="AD162" s="532"/>
      <c r="AE162" s="532"/>
      <c r="AF162" s="532"/>
      <c r="AG162" s="532"/>
      <c r="AH162" s="532"/>
      <c r="AI162" s="532"/>
      <c r="AJ162" s="532"/>
      <c r="AK162" s="532"/>
      <c r="AL162" s="532"/>
      <c r="AM162" s="532"/>
      <c r="AN162" s="532"/>
      <c r="AO162" s="532"/>
      <c r="AP162" s="532">
        <f>IF(Table_NFI[[#This Row],[Winter Clothes Adult]]+Table_NFI[[#This Row],[Winter Clothes Children]]+Table_NFI[[#This Row],[Winter Items Other]]+Table_NFI[[#This Row],[Winter Blanket]]&gt;0,1,0)</f>
        <v>1</v>
      </c>
      <c r="AQ162" s="532"/>
      <c r="AR162" s="532"/>
      <c r="AS162" s="532"/>
      <c r="AT162" s="532"/>
      <c r="AU162" s="532"/>
      <c r="AV162" s="532"/>
      <c r="AW162" s="532"/>
      <c r="AX162" s="203" t="str">
        <f>IFERROR(VLOOKUP(Table_NFI[[#This Row],[Location]],CL,2,0),"")</f>
        <v>MMR015CMP003</v>
      </c>
      <c r="AZ162" s="524"/>
      <c r="DS162" s="181"/>
      <c r="DT162" s="181"/>
    </row>
    <row r="163" spans="2:124" ht="18.75" hidden="1" customHeight="1" x14ac:dyDescent="0.3">
      <c r="B163" s="542">
        <v>43098</v>
      </c>
      <c r="C163" s="542" t="str">
        <f>MONTH(Table_NFI[[#This Row],[Distribution Date]]) &amp; "/" &amp; YEAR(Table_NFI[[#This Row],[Distribution Date]])</f>
        <v>12/2017</v>
      </c>
      <c r="D163" s="217" t="s">
        <v>1541</v>
      </c>
      <c r="E163" s="217" t="s">
        <v>1541</v>
      </c>
      <c r="F163" s="217" t="s">
        <v>378</v>
      </c>
      <c r="G163" s="195" t="s">
        <v>151</v>
      </c>
      <c r="H163" s="196" t="s">
        <v>154</v>
      </c>
      <c r="I163" s="181"/>
      <c r="J163" s="531"/>
      <c r="K163" s="531"/>
      <c r="L163" s="531">
        <v>11</v>
      </c>
      <c r="M163" s="531"/>
      <c r="N163" s="531"/>
      <c r="O163" s="531"/>
      <c r="P163" s="531"/>
      <c r="Q163" s="531"/>
      <c r="R163" s="531"/>
      <c r="S163" s="531"/>
      <c r="T163" s="531"/>
      <c r="U163" s="531"/>
      <c r="V163" s="531"/>
      <c r="W163" s="531"/>
      <c r="X163" s="531"/>
      <c r="Y163" s="531"/>
      <c r="Z163" s="531"/>
      <c r="AA163" s="531"/>
      <c r="AB163" s="531"/>
      <c r="AC163" s="532"/>
      <c r="AD163" s="532"/>
      <c r="AE163" s="532"/>
      <c r="AF163" s="532"/>
      <c r="AG163" s="532"/>
      <c r="AH163" s="532"/>
      <c r="AI163" s="532"/>
      <c r="AJ163" s="532"/>
      <c r="AK163" s="532"/>
      <c r="AL163" s="532"/>
      <c r="AM163" s="532"/>
      <c r="AN163" s="532"/>
      <c r="AO163" s="532"/>
      <c r="AP163" s="532">
        <f>IF(Table_NFI[[#This Row],[Winter Clothes Adult]]+Table_NFI[[#This Row],[Winter Clothes Children]]+Table_NFI[[#This Row],[Winter Items Other]]+Table_NFI[[#This Row],[Winter Blanket]]&gt;0,1,0)</f>
        <v>0</v>
      </c>
      <c r="AQ163" s="532"/>
      <c r="AR163" s="532"/>
      <c r="AS163" s="532"/>
      <c r="AT163" s="532"/>
      <c r="AU163" s="532"/>
      <c r="AV163" s="532"/>
      <c r="AW163" s="532"/>
      <c r="AX163" s="203" t="str">
        <f>IFERROR(VLOOKUP(Table_NFI[[#This Row],[Location]],CL,2,0),"")</f>
        <v>MMR001CMP132</v>
      </c>
      <c r="AY163" s="181" t="s">
        <v>1544</v>
      </c>
      <c r="AZ163" s="524"/>
      <c r="DS163" s="181"/>
      <c r="DT163" s="181"/>
    </row>
    <row r="164" spans="2:124" ht="18.75" hidden="1" customHeight="1" x14ac:dyDescent="0.3">
      <c r="B164" s="542">
        <v>43098</v>
      </c>
      <c r="C164" s="542" t="str">
        <f>MONTH(Table_NFI[[#This Row],[Distribution Date]]) &amp; "/" &amp; YEAR(Table_NFI[[#This Row],[Distribution Date]])</f>
        <v>12/2017</v>
      </c>
      <c r="D164" s="217" t="s">
        <v>1541</v>
      </c>
      <c r="E164" s="217" t="s">
        <v>1541</v>
      </c>
      <c r="F164" s="217" t="s">
        <v>378</v>
      </c>
      <c r="G164" s="195" t="s">
        <v>151</v>
      </c>
      <c r="H164" s="196" t="s">
        <v>909</v>
      </c>
      <c r="I164" s="181"/>
      <c r="J164" s="531"/>
      <c r="K164" s="531"/>
      <c r="L164" s="531">
        <v>3</v>
      </c>
      <c r="M164" s="531"/>
      <c r="N164" s="531"/>
      <c r="O164" s="531"/>
      <c r="P164" s="531"/>
      <c r="Q164" s="531"/>
      <c r="R164" s="531"/>
      <c r="S164" s="531"/>
      <c r="T164" s="531"/>
      <c r="U164" s="531"/>
      <c r="V164" s="531"/>
      <c r="W164" s="531"/>
      <c r="X164" s="531"/>
      <c r="Y164" s="531"/>
      <c r="Z164" s="531"/>
      <c r="AA164" s="531"/>
      <c r="AB164" s="531"/>
      <c r="AC164" s="532"/>
      <c r="AD164" s="532"/>
      <c r="AE164" s="532"/>
      <c r="AF164" s="532"/>
      <c r="AG164" s="532"/>
      <c r="AH164" s="532"/>
      <c r="AI164" s="532"/>
      <c r="AJ164" s="532"/>
      <c r="AK164" s="532"/>
      <c r="AL164" s="532"/>
      <c r="AM164" s="532"/>
      <c r="AN164" s="532"/>
      <c r="AO164" s="532"/>
      <c r="AP164" s="532">
        <f>IF(Table_NFI[[#This Row],[Winter Clothes Adult]]+Table_NFI[[#This Row],[Winter Clothes Children]]+Table_NFI[[#This Row],[Winter Items Other]]+Table_NFI[[#This Row],[Winter Blanket]]&gt;0,1,0)</f>
        <v>0</v>
      </c>
      <c r="AQ164" s="532"/>
      <c r="AR164" s="532"/>
      <c r="AS164" s="532"/>
      <c r="AT164" s="532"/>
      <c r="AU164" s="532"/>
      <c r="AV164" s="532"/>
      <c r="AW164" s="532"/>
      <c r="AX164" s="203" t="str">
        <f>IFERROR(VLOOKUP(Table_NFI[[#This Row],[Location]],CL,2,0),"")</f>
        <v>MMR001CMP228</v>
      </c>
      <c r="AY164" s="181" t="s">
        <v>1544</v>
      </c>
      <c r="AZ164" s="524"/>
      <c r="DS164" s="181"/>
      <c r="DT164" s="181"/>
    </row>
    <row r="165" spans="2:124" ht="18.75" hidden="1" customHeight="1" x14ac:dyDescent="0.3">
      <c r="B165" s="542">
        <v>43098</v>
      </c>
      <c r="C165" s="542" t="str">
        <f>MONTH(Table_NFI[[#This Row],[Distribution Date]]) &amp; "/" &amp; YEAR(Table_NFI[[#This Row],[Distribution Date]])</f>
        <v>12/2017</v>
      </c>
      <c r="D165" s="217" t="s">
        <v>1541</v>
      </c>
      <c r="E165" s="217" t="s">
        <v>1541</v>
      </c>
      <c r="F165" s="217" t="s">
        <v>378</v>
      </c>
      <c r="G165" s="195" t="s">
        <v>151</v>
      </c>
      <c r="H165" s="196" t="s">
        <v>936</v>
      </c>
      <c r="I165" s="181"/>
      <c r="J165" s="531"/>
      <c r="K165" s="531"/>
      <c r="L165" s="531">
        <v>20</v>
      </c>
      <c r="M165" s="531"/>
      <c r="N165" s="531"/>
      <c r="O165" s="531"/>
      <c r="P165" s="531"/>
      <c r="Q165" s="531"/>
      <c r="R165" s="531"/>
      <c r="S165" s="531"/>
      <c r="T165" s="531"/>
      <c r="U165" s="531"/>
      <c r="V165" s="531"/>
      <c r="W165" s="531"/>
      <c r="X165" s="531"/>
      <c r="Y165" s="531"/>
      <c r="Z165" s="531"/>
      <c r="AA165" s="531"/>
      <c r="AB165" s="531"/>
      <c r="AC165" s="532"/>
      <c r="AD165" s="532"/>
      <c r="AE165" s="532"/>
      <c r="AF165" s="532"/>
      <c r="AG165" s="532"/>
      <c r="AH165" s="532"/>
      <c r="AI165" s="532"/>
      <c r="AJ165" s="532"/>
      <c r="AK165" s="532"/>
      <c r="AL165" s="532"/>
      <c r="AM165" s="532"/>
      <c r="AN165" s="532"/>
      <c r="AO165" s="532"/>
      <c r="AP165" s="532">
        <f>IF(Table_NFI[[#This Row],[Winter Clothes Adult]]+Table_NFI[[#This Row],[Winter Clothes Children]]+Table_NFI[[#This Row],[Winter Items Other]]+Table_NFI[[#This Row],[Winter Blanket]]&gt;0,1,0)</f>
        <v>0</v>
      </c>
      <c r="AQ165" s="532"/>
      <c r="AR165" s="532"/>
      <c r="AS165" s="532"/>
      <c r="AT165" s="532"/>
      <c r="AU165" s="532"/>
      <c r="AV165" s="532"/>
      <c r="AW165" s="532"/>
      <c r="AX165" s="203" t="str">
        <f>IFERROR(VLOOKUP(Table_NFI[[#This Row],[Location]],CL,2,0),"")</f>
        <v>MMR001CMP230</v>
      </c>
      <c r="AY165" s="181" t="s">
        <v>1544</v>
      </c>
      <c r="AZ165" s="524"/>
      <c r="DS165" s="181"/>
      <c r="DT165" s="181"/>
    </row>
    <row r="166" spans="2:124" ht="18.75" hidden="1" customHeight="1" x14ac:dyDescent="0.3">
      <c r="B166" s="542">
        <v>43098</v>
      </c>
      <c r="C166" s="542" t="str">
        <f>MONTH(Table_NFI[[#This Row],[Distribution Date]]) &amp; "/" &amp; YEAR(Table_NFI[[#This Row],[Distribution Date]])</f>
        <v>12/2017</v>
      </c>
      <c r="D166" s="217" t="s">
        <v>1541</v>
      </c>
      <c r="E166" s="217" t="s">
        <v>1541</v>
      </c>
      <c r="F166" s="217" t="s">
        <v>506</v>
      </c>
      <c r="G166" s="195" t="s">
        <v>288</v>
      </c>
      <c r="H166" s="196" t="s">
        <v>915</v>
      </c>
      <c r="I166" s="181"/>
      <c r="J166" s="531"/>
      <c r="K166" s="531"/>
      <c r="L166" s="531">
        <v>14</v>
      </c>
      <c r="M166" s="531"/>
      <c r="N166" s="531"/>
      <c r="O166" s="531"/>
      <c r="P166" s="531"/>
      <c r="Q166" s="531"/>
      <c r="R166" s="531"/>
      <c r="S166" s="531"/>
      <c r="T166" s="531"/>
      <c r="U166" s="531"/>
      <c r="V166" s="531"/>
      <c r="W166" s="531"/>
      <c r="X166" s="531"/>
      <c r="Y166" s="531"/>
      <c r="Z166" s="531"/>
      <c r="AA166" s="531"/>
      <c r="AB166" s="531"/>
      <c r="AC166" s="532"/>
      <c r="AD166" s="532"/>
      <c r="AE166" s="532"/>
      <c r="AF166" s="532"/>
      <c r="AG166" s="532"/>
      <c r="AH166" s="532"/>
      <c r="AI166" s="532"/>
      <c r="AJ166" s="532"/>
      <c r="AK166" s="532"/>
      <c r="AL166" s="532"/>
      <c r="AM166" s="532"/>
      <c r="AN166" s="532"/>
      <c r="AO166" s="532"/>
      <c r="AP166" s="532">
        <f>IF(Table_NFI[[#This Row],[Winter Clothes Adult]]+Table_NFI[[#This Row],[Winter Clothes Children]]+Table_NFI[[#This Row],[Winter Items Other]]+Table_NFI[[#This Row],[Winter Blanket]]&gt;0,1,0)</f>
        <v>0</v>
      </c>
      <c r="AQ166" s="532"/>
      <c r="AR166" s="532"/>
      <c r="AS166" s="532"/>
      <c r="AT166" s="532"/>
      <c r="AU166" s="532"/>
      <c r="AV166" s="532"/>
      <c r="AW166" s="532"/>
      <c r="AX166" s="203" t="str">
        <f>IFERROR(VLOOKUP(Table_NFI[[#This Row],[Location]],CL,2,0),"")</f>
        <v>MMR015CMP215</v>
      </c>
      <c r="AY166" s="181" t="s">
        <v>1544</v>
      </c>
      <c r="AZ166" s="524"/>
      <c r="DS166" s="181"/>
      <c r="DT166" s="181"/>
    </row>
    <row r="167" spans="2:124" ht="18.75" hidden="1" customHeight="1" x14ac:dyDescent="0.3">
      <c r="B167" s="542">
        <v>43098</v>
      </c>
      <c r="C167" s="542" t="str">
        <f>MONTH(Table_NFI[[#This Row],[Distribution Date]]) &amp; "/" &amp; YEAR(Table_NFI[[#This Row],[Distribution Date]])</f>
        <v>12/2017</v>
      </c>
      <c r="D167" s="217" t="s">
        <v>1541</v>
      </c>
      <c r="E167" s="217" t="s">
        <v>1541</v>
      </c>
      <c r="F167" s="217" t="s">
        <v>506</v>
      </c>
      <c r="G167" s="195" t="s">
        <v>288</v>
      </c>
      <c r="H167" s="196" t="s">
        <v>291</v>
      </c>
      <c r="I167" s="181"/>
      <c r="J167" s="531"/>
      <c r="K167" s="531"/>
      <c r="L167" s="531">
        <v>8</v>
      </c>
      <c r="M167" s="531"/>
      <c r="N167" s="531"/>
      <c r="O167" s="531"/>
      <c r="P167" s="531"/>
      <c r="Q167" s="531"/>
      <c r="R167" s="531"/>
      <c r="S167" s="531"/>
      <c r="T167" s="531"/>
      <c r="U167" s="531"/>
      <c r="V167" s="531"/>
      <c r="W167" s="531"/>
      <c r="X167" s="531"/>
      <c r="Y167" s="531"/>
      <c r="Z167" s="531"/>
      <c r="AA167" s="531"/>
      <c r="AB167" s="531"/>
      <c r="AC167" s="532"/>
      <c r="AD167" s="532"/>
      <c r="AE167" s="532"/>
      <c r="AF167" s="532"/>
      <c r="AG167" s="532"/>
      <c r="AH167" s="532"/>
      <c r="AI167" s="532"/>
      <c r="AJ167" s="532"/>
      <c r="AK167" s="532"/>
      <c r="AL167" s="532"/>
      <c r="AM167" s="532"/>
      <c r="AN167" s="532"/>
      <c r="AO167" s="532"/>
      <c r="AP167" s="532">
        <f>IF(Table_NFI[[#This Row],[Winter Clothes Adult]]+Table_NFI[[#This Row],[Winter Clothes Children]]+Table_NFI[[#This Row],[Winter Items Other]]+Table_NFI[[#This Row],[Winter Blanket]]&gt;0,1,0)</f>
        <v>0</v>
      </c>
      <c r="AQ167" s="532"/>
      <c r="AR167" s="532"/>
      <c r="AS167" s="532"/>
      <c r="AT167" s="532"/>
      <c r="AU167" s="532"/>
      <c r="AV167" s="532"/>
      <c r="AW167" s="532"/>
      <c r="AX167" s="203" t="str">
        <f>IFERROR(VLOOKUP(Table_NFI[[#This Row],[Location]],CL,2,0),"")</f>
        <v>MMR015CMP004</v>
      </c>
      <c r="AY167" s="181" t="s">
        <v>1544</v>
      </c>
      <c r="AZ167" s="524"/>
      <c r="DS167" s="181"/>
      <c r="DT167" s="181"/>
    </row>
    <row r="168" spans="2:124" ht="18.75" hidden="1" customHeight="1" x14ac:dyDescent="0.3">
      <c r="B168" s="530">
        <v>43105</v>
      </c>
      <c r="C168" s="530" t="str">
        <f>MONTH(Table_NFI[[#This Row],[Distribution Date]]) &amp; "/" &amp; YEAR(Table_NFI[[#This Row],[Distribution Date]])</f>
        <v>1/2018</v>
      </c>
      <c r="D168" s="196" t="s">
        <v>1549</v>
      </c>
      <c r="E168" s="196" t="s">
        <v>1549</v>
      </c>
      <c r="F168" s="196" t="s">
        <v>506</v>
      </c>
      <c r="G168" s="196" t="s">
        <v>494</v>
      </c>
      <c r="H168" s="196" t="s">
        <v>1554</v>
      </c>
      <c r="I168" s="181"/>
      <c r="J168" s="531"/>
      <c r="K168" s="531"/>
      <c r="L168" s="531"/>
      <c r="M168" s="531"/>
      <c r="N168" s="531"/>
      <c r="O168" s="531"/>
      <c r="P168" s="531"/>
      <c r="Q168" s="531"/>
      <c r="R168" s="531"/>
      <c r="S168" s="531"/>
      <c r="T168" s="531"/>
      <c r="U168" s="531"/>
      <c r="V168" s="531"/>
      <c r="W168" s="531">
        <v>72</v>
      </c>
      <c r="X168" s="531"/>
      <c r="Y168" s="531"/>
      <c r="Z168" s="531"/>
      <c r="AA168" s="531">
        <v>10</v>
      </c>
      <c r="AB168" s="531"/>
      <c r="AC168" s="532"/>
      <c r="AD168" s="532"/>
      <c r="AE168" s="532"/>
      <c r="AF168" s="532"/>
      <c r="AG168" s="532"/>
      <c r="AH168" s="532"/>
      <c r="AI168" s="532"/>
      <c r="AJ168" s="532"/>
      <c r="AK168" s="532"/>
      <c r="AL168" s="532"/>
      <c r="AM168" s="532"/>
      <c r="AN168" s="532"/>
      <c r="AO168" s="532"/>
      <c r="AP168" s="532">
        <f>IF(Table_NFI[[#This Row],[Winter Clothes Adult]]+Table_NFI[[#This Row],[Winter Clothes Children]]+Table_NFI[[#This Row],[Winter Items Other]]+Table_NFI[[#This Row],[Winter Blanket]]&gt;0,1,0)</f>
        <v>1</v>
      </c>
      <c r="AQ168" s="532"/>
      <c r="AR168" s="532"/>
      <c r="AS168" s="532"/>
      <c r="AT168" s="532"/>
      <c r="AU168" s="532"/>
      <c r="AV168" s="532"/>
      <c r="AW168" s="532"/>
      <c r="AX168" s="203" t="str">
        <f>IFERROR(VLOOKUP(Table_NFI[[#This Row],[Location]],CL,2,0),"")</f>
        <v/>
      </c>
      <c r="AZ168" s="524"/>
      <c r="DS168" s="181"/>
      <c r="DT168" s="181"/>
    </row>
    <row r="169" spans="2:124" ht="18.75" hidden="1" customHeight="1" x14ac:dyDescent="0.3">
      <c r="B169" s="542">
        <v>43105</v>
      </c>
      <c r="C169" s="542" t="str">
        <f>MONTH(Table_NFI[[#This Row],[Distribution Date]]) &amp; "/" &amp; YEAR(Table_NFI[[#This Row],[Distribution Date]])</f>
        <v>1/2018</v>
      </c>
      <c r="D169" s="546" t="s">
        <v>1549</v>
      </c>
      <c r="E169" s="546" t="s">
        <v>1563</v>
      </c>
      <c r="F169" s="196" t="s">
        <v>506</v>
      </c>
      <c r="G169" s="196" t="s">
        <v>494</v>
      </c>
      <c r="H169" s="522" t="s">
        <v>1554</v>
      </c>
      <c r="I169" s="181"/>
      <c r="J169" s="531"/>
      <c r="K169" s="531"/>
      <c r="L169" s="531"/>
      <c r="M169" s="531"/>
      <c r="N169" s="531"/>
      <c r="O169" s="531"/>
      <c r="P169" s="531"/>
      <c r="Q169" s="531"/>
      <c r="R169" s="531"/>
      <c r="S169" s="531"/>
      <c r="T169" s="531"/>
      <c r="U169" s="547">
        <v>144</v>
      </c>
      <c r="V169" s="531"/>
      <c r="W169" s="547">
        <v>144</v>
      </c>
      <c r="X169" s="547">
        <v>144</v>
      </c>
      <c r="Y169" s="531"/>
      <c r="Z169" s="531"/>
      <c r="AA169" s="531">
        <v>10</v>
      </c>
      <c r="AB169" s="531"/>
      <c r="AC169" s="532"/>
      <c r="AD169" s="532"/>
      <c r="AE169" s="532"/>
      <c r="AF169" s="532"/>
      <c r="AG169" s="532"/>
      <c r="AH169" s="532"/>
      <c r="AI169" s="532"/>
      <c r="AJ169" s="532"/>
      <c r="AK169" s="532"/>
      <c r="AL169" s="532"/>
      <c r="AM169" s="532"/>
      <c r="AN169" s="532"/>
      <c r="AO169" s="532"/>
      <c r="AP169" s="532">
        <f>IF(Table_NFI[[#This Row],[Winter Clothes Adult]]+Table_NFI[[#This Row],[Winter Clothes Children]]+Table_NFI[[#This Row],[Winter Items Other]]+Table_NFI[[#This Row],[Winter Blanket]]&gt;0,1,0)</f>
        <v>1</v>
      </c>
      <c r="AQ169" s="532"/>
      <c r="AR169" s="532"/>
      <c r="AS169" s="532"/>
      <c r="AT169" s="532"/>
      <c r="AU169" s="532"/>
      <c r="AV169" s="532"/>
      <c r="AW169" s="532"/>
      <c r="AX169" s="203" t="str">
        <f>IFERROR(VLOOKUP(Table_NFI[[#This Row],[Location]],CL,2,0),"")</f>
        <v/>
      </c>
      <c r="AZ169" s="524"/>
      <c r="DS169" s="181"/>
      <c r="DT169" s="181"/>
    </row>
    <row r="170" spans="2:124" ht="18.75" hidden="1" customHeight="1" x14ac:dyDescent="0.3">
      <c r="B170" s="542">
        <v>43105</v>
      </c>
      <c r="C170" s="542" t="str">
        <f>MONTH(Table_NFI[[#This Row],[Distribution Date]]) &amp; "/" &amp; YEAR(Table_NFI[[#This Row],[Distribution Date]])</f>
        <v>1/2018</v>
      </c>
      <c r="D170" s="546" t="s">
        <v>1549</v>
      </c>
      <c r="E170" s="546" t="s">
        <v>1563</v>
      </c>
      <c r="F170" s="196" t="s">
        <v>506</v>
      </c>
      <c r="G170" s="196" t="s">
        <v>494</v>
      </c>
      <c r="H170" s="522" t="s">
        <v>1564</v>
      </c>
      <c r="I170" s="181"/>
      <c r="J170" s="531"/>
      <c r="K170" s="531"/>
      <c r="L170" s="531"/>
      <c r="M170" s="531"/>
      <c r="N170" s="531"/>
      <c r="O170" s="531"/>
      <c r="P170" s="531"/>
      <c r="Q170" s="531"/>
      <c r="R170" s="531"/>
      <c r="S170" s="531"/>
      <c r="T170" s="531"/>
      <c r="U170" s="547">
        <v>102</v>
      </c>
      <c r="V170" s="531"/>
      <c r="W170" s="547">
        <v>102</v>
      </c>
      <c r="X170" s="547">
        <v>102</v>
      </c>
      <c r="Y170" s="531"/>
      <c r="Z170" s="531"/>
      <c r="AA170" s="531">
        <v>10</v>
      </c>
      <c r="AB170" s="531"/>
      <c r="AC170" s="532"/>
      <c r="AD170" s="532"/>
      <c r="AE170" s="532"/>
      <c r="AF170" s="532"/>
      <c r="AG170" s="532"/>
      <c r="AH170" s="532"/>
      <c r="AI170" s="532"/>
      <c r="AJ170" s="532"/>
      <c r="AK170" s="532"/>
      <c r="AL170" s="532"/>
      <c r="AM170" s="532"/>
      <c r="AN170" s="532"/>
      <c r="AO170" s="532"/>
      <c r="AP170" s="532">
        <f>IF(Table_NFI[[#This Row],[Winter Clothes Adult]]+Table_NFI[[#This Row],[Winter Clothes Children]]+Table_NFI[[#This Row],[Winter Items Other]]+Table_NFI[[#This Row],[Winter Blanket]]&gt;0,1,0)</f>
        <v>1</v>
      </c>
      <c r="AQ170" s="532"/>
      <c r="AR170" s="532"/>
      <c r="AS170" s="532"/>
      <c r="AT170" s="532"/>
      <c r="AU170" s="532"/>
      <c r="AV170" s="532"/>
      <c r="AW170" s="532"/>
      <c r="AX170" s="203" t="str">
        <f>IFERROR(VLOOKUP(Table_NFI[[#This Row],[Location]],CL,2,0),"")</f>
        <v/>
      </c>
      <c r="AZ170" s="524"/>
      <c r="DS170" s="181"/>
      <c r="DT170" s="181"/>
    </row>
    <row r="171" spans="2:124" ht="18.75" hidden="1" customHeight="1" x14ac:dyDescent="0.3">
      <c r="B171" s="542">
        <v>43105</v>
      </c>
      <c r="C171" s="542" t="str">
        <f>MONTH(Table_NFI[[#This Row],[Distribution Date]]) &amp; "/" &amp; YEAR(Table_NFI[[#This Row],[Distribution Date]])</f>
        <v>1/2018</v>
      </c>
      <c r="D171" s="546" t="s">
        <v>1549</v>
      </c>
      <c r="E171" s="546" t="s">
        <v>1563</v>
      </c>
      <c r="F171" s="196" t="s">
        <v>506</v>
      </c>
      <c r="G171" s="196" t="s">
        <v>494</v>
      </c>
      <c r="H171" s="522" t="s">
        <v>1568</v>
      </c>
      <c r="I171" s="181"/>
      <c r="J171" s="531"/>
      <c r="K171" s="531"/>
      <c r="L171" s="531"/>
      <c r="M171" s="531"/>
      <c r="N171" s="531"/>
      <c r="O171" s="531"/>
      <c r="P171" s="531"/>
      <c r="Q171" s="531"/>
      <c r="R171" s="531"/>
      <c r="S171" s="531"/>
      <c r="T171" s="531"/>
      <c r="U171" s="547">
        <v>152</v>
      </c>
      <c r="V171" s="531"/>
      <c r="W171" s="547">
        <v>152</v>
      </c>
      <c r="X171" s="547">
        <v>152</v>
      </c>
      <c r="Y171" s="531"/>
      <c r="Z171" s="531"/>
      <c r="AA171" s="531"/>
      <c r="AB171" s="531"/>
      <c r="AC171" s="532"/>
      <c r="AD171" s="532"/>
      <c r="AE171" s="532"/>
      <c r="AF171" s="532"/>
      <c r="AG171" s="532"/>
      <c r="AH171" s="532"/>
      <c r="AI171" s="532"/>
      <c r="AJ171" s="532"/>
      <c r="AK171" s="532"/>
      <c r="AL171" s="532"/>
      <c r="AM171" s="532"/>
      <c r="AN171" s="532"/>
      <c r="AO171" s="532"/>
      <c r="AP171" s="532">
        <f>IF(Table_NFI[[#This Row],[Winter Clothes Adult]]+Table_NFI[[#This Row],[Winter Clothes Children]]+Table_NFI[[#This Row],[Winter Items Other]]+Table_NFI[[#This Row],[Winter Blanket]]&gt;0,1,0)</f>
        <v>1</v>
      </c>
      <c r="AQ171" s="532"/>
      <c r="AR171" s="532"/>
      <c r="AS171" s="532"/>
      <c r="AT171" s="532"/>
      <c r="AU171" s="532"/>
      <c r="AV171" s="532"/>
      <c r="AW171" s="532"/>
      <c r="AX171" s="203" t="str">
        <f>IFERROR(VLOOKUP(Table_NFI[[#This Row],[Location]],CL,2,0),"")</f>
        <v/>
      </c>
      <c r="AZ171" s="524"/>
      <c r="DS171" s="181"/>
      <c r="DT171" s="181"/>
    </row>
    <row r="172" spans="2:124" ht="18.75" hidden="1" customHeight="1" x14ac:dyDescent="0.3">
      <c r="B172" s="542">
        <v>43105</v>
      </c>
      <c r="C172" s="542" t="str">
        <f>MONTH(Table_NFI[[#This Row],[Distribution Date]]) &amp; "/" &amp; YEAR(Table_NFI[[#This Row],[Distribution Date]])</f>
        <v>1/2018</v>
      </c>
      <c r="D172" s="546" t="s">
        <v>1549</v>
      </c>
      <c r="E172" s="546" t="s">
        <v>1563</v>
      </c>
      <c r="F172" s="196" t="s">
        <v>506</v>
      </c>
      <c r="G172" s="196" t="s">
        <v>494</v>
      </c>
      <c r="H172" s="522" t="s">
        <v>1569</v>
      </c>
      <c r="I172" s="181"/>
      <c r="J172" s="531"/>
      <c r="K172" s="531"/>
      <c r="L172" s="531"/>
      <c r="M172" s="531"/>
      <c r="N172" s="531"/>
      <c r="O172" s="531"/>
      <c r="P172" s="531"/>
      <c r="Q172" s="531"/>
      <c r="R172" s="531"/>
      <c r="S172" s="531"/>
      <c r="T172" s="531"/>
      <c r="U172" s="547">
        <v>62</v>
      </c>
      <c r="V172" s="531"/>
      <c r="W172" s="547">
        <v>62</v>
      </c>
      <c r="X172" s="547">
        <v>62</v>
      </c>
      <c r="Y172" s="531"/>
      <c r="Z172" s="531"/>
      <c r="AA172" s="531"/>
      <c r="AB172" s="531"/>
      <c r="AC172" s="532"/>
      <c r="AD172" s="532"/>
      <c r="AE172" s="532"/>
      <c r="AF172" s="532"/>
      <c r="AG172" s="532"/>
      <c r="AH172" s="532"/>
      <c r="AI172" s="532"/>
      <c r="AJ172" s="532"/>
      <c r="AK172" s="532"/>
      <c r="AL172" s="532"/>
      <c r="AM172" s="532"/>
      <c r="AN172" s="532"/>
      <c r="AO172" s="532"/>
      <c r="AP172" s="532">
        <f>IF(Table_NFI[[#This Row],[Winter Clothes Adult]]+Table_NFI[[#This Row],[Winter Clothes Children]]+Table_NFI[[#This Row],[Winter Items Other]]+Table_NFI[[#This Row],[Winter Blanket]]&gt;0,1,0)</f>
        <v>1</v>
      </c>
      <c r="AQ172" s="532"/>
      <c r="AR172" s="532"/>
      <c r="AS172" s="532"/>
      <c r="AT172" s="532"/>
      <c r="AU172" s="532"/>
      <c r="AV172" s="532"/>
      <c r="AW172" s="532"/>
      <c r="AX172" s="203" t="str">
        <f>IFERROR(VLOOKUP(Table_NFI[[#This Row],[Location]],CL,2,0),"")</f>
        <v/>
      </c>
      <c r="AZ172" s="524"/>
      <c r="DS172" s="181"/>
      <c r="DT172" s="181"/>
    </row>
    <row r="173" spans="2:124" ht="18.75" hidden="1" customHeight="1" x14ac:dyDescent="0.3">
      <c r="B173" s="530">
        <v>43106</v>
      </c>
      <c r="C173" s="530" t="str">
        <f>MONTH(Table_NFI[[#This Row],[Distribution Date]]) &amp; "/" &amp; YEAR(Table_NFI[[#This Row],[Distribution Date]])</f>
        <v>1/2018</v>
      </c>
      <c r="D173" s="196" t="s">
        <v>1549</v>
      </c>
      <c r="E173" s="196" t="s">
        <v>1549</v>
      </c>
      <c r="F173" s="196" t="s">
        <v>506</v>
      </c>
      <c r="G173" s="196" t="s">
        <v>494</v>
      </c>
      <c r="H173" s="196" t="s">
        <v>1551</v>
      </c>
      <c r="I173" s="181"/>
      <c r="J173" s="531"/>
      <c r="K173" s="531"/>
      <c r="L173" s="531"/>
      <c r="M173" s="531"/>
      <c r="N173" s="531"/>
      <c r="O173" s="531"/>
      <c r="P173" s="531"/>
      <c r="Q173" s="531"/>
      <c r="R173" s="531"/>
      <c r="S173" s="531"/>
      <c r="T173" s="531"/>
      <c r="U173" s="531"/>
      <c r="V173" s="531"/>
      <c r="W173" s="531">
        <v>51</v>
      </c>
      <c r="X173" s="531"/>
      <c r="Y173" s="531"/>
      <c r="Z173" s="531"/>
      <c r="AA173" s="531">
        <v>10</v>
      </c>
      <c r="AB173" s="531"/>
      <c r="AC173" s="532"/>
      <c r="AD173" s="532"/>
      <c r="AE173" s="532"/>
      <c r="AF173" s="532"/>
      <c r="AG173" s="532"/>
      <c r="AH173" s="532"/>
      <c r="AI173" s="532"/>
      <c r="AJ173" s="532"/>
      <c r="AK173" s="532"/>
      <c r="AL173" s="532"/>
      <c r="AM173" s="532"/>
      <c r="AN173" s="532"/>
      <c r="AO173" s="532"/>
      <c r="AP173" s="532">
        <f>IF(Table_NFI[[#This Row],[Winter Clothes Adult]]+Table_NFI[[#This Row],[Winter Clothes Children]]+Table_NFI[[#This Row],[Winter Items Other]]+Table_NFI[[#This Row],[Winter Blanket]]&gt;0,1,0)</f>
        <v>1</v>
      </c>
      <c r="AQ173" s="532"/>
      <c r="AR173" s="532"/>
      <c r="AS173" s="532"/>
      <c r="AT173" s="532"/>
      <c r="AU173" s="532"/>
      <c r="AV173" s="532"/>
      <c r="AW173" s="532"/>
      <c r="AX173" s="203" t="str">
        <f>IFERROR(VLOOKUP(Table_NFI[[#This Row],[Location]],CL,2,0),"")</f>
        <v/>
      </c>
      <c r="AZ173" s="524"/>
      <c r="DS173" s="181"/>
      <c r="DT173" s="181"/>
    </row>
    <row r="174" spans="2:124" ht="18.75" hidden="1" customHeight="1" x14ac:dyDescent="0.3">
      <c r="B174" s="530">
        <v>43107</v>
      </c>
      <c r="C174" s="530" t="str">
        <f>MONTH(Table_NFI[[#This Row],[Distribution Date]]) &amp; "/" &amp; YEAR(Table_NFI[[#This Row],[Distribution Date]])</f>
        <v>1/2018</v>
      </c>
      <c r="D174" s="196" t="s">
        <v>1549</v>
      </c>
      <c r="E174" s="196" t="s">
        <v>1549</v>
      </c>
      <c r="F174" s="196" t="s">
        <v>506</v>
      </c>
      <c r="G174" s="196" t="s">
        <v>494</v>
      </c>
      <c r="H174" s="196" t="s">
        <v>1553</v>
      </c>
      <c r="I174" s="181"/>
      <c r="J174" s="531"/>
      <c r="K174" s="531"/>
      <c r="L174" s="531"/>
      <c r="M174" s="531"/>
      <c r="N174" s="531"/>
      <c r="O174" s="531"/>
      <c r="P174" s="531"/>
      <c r="Q174" s="531"/>
      <c r="R174" s="531"/>
      <c r="S174" s="531"/>
      <c r="T174" s="531"/>
      <c r="U174" s="531"/>
      <c r="V174" s="531"/>
      <c r="W174" s="531">
        <v>76</v>
      </c>
      <c r="X174" s="531"/>
      <c r="Y174" s="531"/>
      <c r="Z174" s="531"/>
      <c r="AA174" s="531"/>
      <c r="AB174" s="531"/>
      <c r="AC174" s="532"/>
      <c r="AD174" s="532"/>
      <c r="AE174" s="532"/>
      <c r="AF174" s="532"/>
      <c r="AG174" s="532"/>
      <c r="AH174" s="532"/>
      <c r="AI174" s="532"/>
      <c r="AJ174" s="532"/>
      <c r="AK174" s="532"/>
      <c r="AL174" s="532"/>
      <c r="AM174" s="532"/>
      <c r="AN174" s="532"/>
      <c r="AO174" s="532"/>
      <c r="AP174" s="532">
        <f>IF(Table_NFI[[#This Row],[Winter Clothes Adult]]+Table_NFI[[#This Row],[Winter Clothes Children]]+Table_NFI[[#This Row],[Winter Items Other]]+Table_NFI[[#This Row],[Winter Blanket]]&gt;0,1,0)</f>
        <v>1</v>
      </c>
      <c r="AQ174" s="532"/>
      <c r="AR174" s="532"/>
      <c r="AS174" s="532"/>
      <c r="AT174" s="532"/>
      <c r="AU174" s="532"/>
      <c r="AV174" s="532"/>
      <c r="AW174" s="532"/>
      <c r="AX174" s="203" t="str">
        <f>IFERROR(VLOOKUP(Table_NFI[[#This Row],[Location]],CL,2,0),"")</f>
        <v/>
      </c>
      <c r="AZ174" s="524"/>
      <c r="DS174" s="181"/>
      <c r="DT174" s="181"/>
    </row>
    <row r="175" spans="2:124" ht="18.75" hidden="1" customHeight="1" x14ac:dyDescent="0.3">
      <c r="B175" s="530">
        <v>43108</v>
      </c>
      <c r="C175" s="530" t="str">
        <f>MONTH(Table_NFI[[#This Row],[Distribution Date]]) &amp; "/" &amp; YEAR(Table_NFI[[#This Row],[Distribution Date]])</f>
        <v>1/2018</v>
      </c>
      <c r="D175" s="196" t="s">
        <v>1549</v>
      </c>
      <c r="E175" s="196" t="s">
        <v>1549</v>
      </c>
      <c r="F175" s="196" t="s">
        <v>506</v>
      </c>
      <c r="G175" s="196" t="s">
        <v>494</v>
      </c>
      <c r="H175" s="196" t="s">
        <v>1552</v>
      </c>
      <c r="I175" s="181"/>
      <c r="J175" s="531"/>
      <c r="K175" s="531"/>
      <c r="L175" s="531"/>
      <c r="M175" s="531"/>
      <c r="N175" s="531"/>
      <c r="O175" s="531"/>
      <c r="P175" s="531"/>
      <c r="Q175" s="531"/>
      <c r="R175" s="531"/>
      <c r="S175" s="531"/>
      <c r="T175" s="531"/>
      <c r="U175" s="531"/>
      <c r="V175" s="531"/>
      <c r="W175" s="531">
        <v>31</v>
      </c>
      <c r="X175" s="531"/>
      <c r="Y175" s="531"/>
      <c r="Z175" s="531"/>
      <c r="AA175" s="531"/>
      <c r="AB175" s="531"/>
      <c r="AC175" s="532"/>
      <c r="AD175" s="532"/>
      <c r="AE175" s="532"/>
      <c r="AF175" s="532"/>
      <c r="AG175" s="532"/>
      <c r="AH175" s="532"/>
      <c r="AI175" s="532"/>
      <c r="AJ175" s="532"/>
      <c r="AK175" s="532"/>
      <c r="AL175" s="532"/>
      <c r="AM175" s="532"/>
      <c r="AN175" s="532"/>
      <c r="AO175" s="532"/>
      <c r="AP175" s="532">
        <f>IF(Table_NFI[[#This Row],[Winter Clothes Adult]]+Table_NFI[[#This Row],[Winter Clothes Children]]+Table_NFI[[#This Row],[Winter Items Other]]+Table_NFI[[#This Row],[Winter Blanket]]&gt;0,1,0)</f>
        <v>1</v>
      </c>
      <c r="AQ175" s="532"/>
      <c r="AR175" s="532"/>
      <c r="AS175" s="532"/>
      <c r="AT175" s="532"/>
      <c r="AU175" s="532"/>
      <c r="AV175" s="532"/>
      <c r="AW175" s="532"/>
      <c r="AX175" s="203" t="str">
        <f>IFERROR(VLOOKUP(Table_NFI[[#This Row],[Location]],CL,2,0),"")</f>
        <v/>
      </c>
      <c r="AZ175" s="524"/>
      <c r="DS175" s="181"/>
      <c r="DT175" s="181"/>
    </row>
    <row r="176" spans="2:124" ht="18.75" hidden="1" customHeight="1" x14ac:dyDescent="0.3">
      <c r="B176" s="542">
        <v>43126</v>
      </c>
      <c r="C176" s="542" t="str">
        <f>MONTH(Table_NFI[[#This Row],[Distribution Date]]) &amp; "/" &amp; YEAR(Table_NFI[[#This Row],[Distribution Date]])</f>
        <v>1/2018</v>
      </c>
      <c r="D176" s="546" t="s">
        <v>1549</v>
      </c>
      <c r="E176" s="546" t="s">
        <v>1563</v>
      </c>
      <c r="F176" s="196" t="s">
        <v>506</v>
      </c>
      <c r="G176" s="195" t="s">
        <v>297</v>
      </c>
      <c r="H176" s="548" t="s">
        <v>1565</v>
      </c>
      <c r="I176" s="181"/>
      <c r="J176" s="531">
        <v>18</v>
      </c>
      <c r="K176" s="531"/>
      <c r="L176" s="531"/>
      <c r="M176" s="531"/>
      <c r="N176" s="531"/>
      <c r="O176" s="531"/>
      <c r="P176" s="531"/>
      <c r="Q176" s="531"/>
      <c r="R176" s="531"/>
      <c r="S176" s="531"/>
      <c r="T176" s="531"/>
      <c r="U176" s="531"/>
      <c r="V176" s="531"/>
      <c r="W176" s="531"/>
      <c r="X176" s="531"/>
      <c r="Y176" s="531"/>
      <c r="Z176" s="531"/>
      <c r="AA176" s="531"/>
      <c r="AB176" s="531"/>
      <c r="AC176" s="532"/>
      <c r="AD176" s="532"/>
      <c r="AE176" s="532"/>
      <c r="AF176" s="532"/>
      <c r="AG176" s="532"/>
      <c r="AH176" s="532"/>
      <c r="AI176" s="532"/>
      <c r="AJ176" s="532"/>
      <c r="AK176" s="532"/>
      <c r="AL176" s="532"/>
      <c r="AM176" s="532"/>
      <c r="AN176" s="532"/>
      <c r="AO176" s="532"/>
      <c r="AP176" s="532">
        <f>IF(Table_NFI[[#This Row],[Winter Clothes Adult]]+Table_NFI[[#This Row],[Winter Clothes Children]]+Table_NFI[[#This Row],[Winter Items Other]]+Table_NFI[[#This Row],[Winter Blanket]]&gt;0,1,0)</f>
        <v>0</v>
      </c>
      <c r="AQ176" s="532"/>
      <c r="AR176" s="532"/>
      <c r="AS176" s="532"/>
      <c r="AT176" s="532"/>
      <c r="AU176" s="532"/>
      <c r="AV176" s="532"/>
      <c r="AW176" s="532"/>
      <c r="AX176" s="203" t="str">
        <f>IFERROR(VLOOKUP(Table_NFI[[#This Row],[Location]],CL,2,0),"")</f>
        <v/>
      </c>
      <c r="AZ176" s="524"/>
      <c r="DS176" s="181"/>
      <c r="DT176" s="181"/>
    </row>
    <row r="177" spans="2:124" ht="18.75" hidden="1" customHeight="1" x14ac:dyDescent="0.3">
      <c r="B177" s="543">
        <v>43127</v>
      </c>
      <c r="C177" s="543" t="str">
        <f>MONTH(Table_NFI[[#This Row],[Distribution Date]]) &amp; "/" &amp; YEAR(Table_NFI[[#This Row],[Distribution Date]])</f>
        <v>1/2018</v>
      </c>
      <c r="D177" s="196" t="s">
        <v>462</v>
      </c>
      <c r="E177" s="196" t="s">
        <v>420</v>
      </c>
      <c r="F177" s="196" t="s">
        <v>378</v>
      </c>
      <c r="G177" s="195" t="s">
        <v>27</v>
      </c>
      <c r="H177" s="196" t="s">
        <v>28</v>
      </c>
      <c r="I177" s="181"/>
      <c r="J177" s="531"/>
      <c r="K177" s="531"/>
      <c r="L177" s="531"/>
      <c r="M177" s="531"/>
      <c r="N177" s="531"/>
      <c r="O177" s="531"/>
      <c r="P177" s="531"/>
      <c r="Q177" s="531"/>
      <c r="R177" s="531"/>
      <c r="S177" s="531"/>
      <c r="T177" s="531"/>
      <c r="U177" s="531">
        <v>284</v>
      </c>
      <c r="V177" s="531">
        <v>236</v>
      </c>
      <c r="W177" s="531"/>
      <c r="X177" s="531"/>
      <c r="Y177" s="531"/>
      <c r="Z177" s="531"/>
      <c r="AA177" s="531"/>
      <c r="AB177" s="531"/>
      <c r="AC177" s="532"/>
      <c r="AD177" s="532"/>
      <c r="AE177" s="532"/>
      <c r="AF177" s="532"/>
      <c r="AG177" s="532"/>
      <c r="AH177" s="532"/>
      <c r="AI177" s="532"/>
      <c r="AJ177" s="532"/>
      <c r="AK177" s="532"/>
      <c r="AL177" s="532"/>
      <c r="AM177" s="532"/>
      <c r="AN177" s="532"/>
      <c r="AO177" s="532"/>
      <c r="AP177" s="532">
        <f>IF(Table_NFI[[#This Row],[Winter Clothes Adult]]+Table_NFI[[#This Row],[Winter Clothes Children]]+Table_NFI[[#This Row],[Winter Items Other]]+Table_NFI[[#This Row],[Winter Blanket]]&gt;0,1,0)</f>
        <v>1</v>
      </c>
      <c r="AQ177" s="532"/>
      <c r="AR177" s="532"/>
      <c r="AS177" s="532"/>
      <c r="AT177" s="532"/>
      <c r="AU177" s="532"/>
      <c r="AV177" s="532"/>
      <c r="AW177" s="532"/>
      <c r="AX177" s="203" t="str">
        <f>IFERROR(VLOOKUP(Table_NFI[[#This Row],[Location]],CL,2,0),"")</f>
        <v>MMR001CMP042</v>
      </c>
      <c r="AZ177" s="524"/>
      <c r="DS177" s="181"/>
      <c r="DT177" s="181"/>
    </row>
    <row r="178" spans="2:124" ht="18.75" hidden="1" customHeight="1" x14ac:dyDescent="0.3">
      <c r="B178" s="543">
        <v>43127</v>
      </c>
      <c r="C178" s="543" t="str">
        <f>MONTH(Table_NFI[[#This Row],[Distribution Date]]) &amp; "/" &amp; YEAR(Table_NFI[[#This Row],[Distribution Date]])</f>
        <v>1/2018</v>
      </c>
      <c r="D178" s="196" t="s">
        <v>462</v>
      </c>
      <c r="E178" s="196" t="s">
        <v>420</v>
      </c>
      <c r="F178" s="196" t="s">
        <v>378</v>
      </c>
      <c r="G178" s="195" t="s">
        <v>27</v>
      </c>
      <c r="H178" s="196" t="s">
        <v>363</v>
      </c>
      <c r="I178" s="181"/>
      <c r="J178" s="531"/>
      <c r="K178" s="531"/>
      <c r="L178" s="531"/>
      <c r="M178" s="531"/>
      <c r="N178" s="531"/>
      <c r="O178" s="531"/>
      <c r="P178" s="531"/>
      <c r="Q178" s="531"/>
      <c r="R178" s="531"/>
      <c r="S178" s="531"/>
      <c r="T178" s="531"/>
      <c r="U178" s="531">
        <v>295</v>
      </c>
      <c r="V178" s="531">
        <v>345</v>
      </c>
      <c r="W178" s="531"/>
      <c r="X178" s="531"/>
      <c r="Y178" s="531"/>
      <c r="Z178" s="531"/>
      <c r="AA178" s="531"/>
      <c r="AB178" s="531"/>
      <c r="AC178" s="532"/>
      <c r="AD178" s="532"/>
      <c r="AE178" s="532"/>
      <c r="AF178" s="532"/>
      <c r="AG178" s="532"/>
      <c r="AH178" s="532"/>
      <c r="AI178" s="532"/>
      <c r="AJ178" s="532"/>
      <c r="AK178" s="532"/>
      <c r="AL178" s="532"/>
      <c r="AM178" s="532"/>
      <c r="AN178" s="532"/>
      <c r="AO178" s="532"/>
      <c r="AP178" s="532">
        <f>IF(Table_NFI[[#This Row],[Winter Clothes Adult]]+Table_NFI[[#This Row],[Winter Clothes Children]]+Table_NFI[[#This Row],[Winter Items Other]]+Table_NFI[[#This Row],[Winter Blanket]]&gt;0,1,0)</f>
        <v>1</v>
      </c>
      <c r="AQ178" s="532"/>
      <c r="AR178" s="532"/>
      <c r="AS178" s="532"/>
      <c r="AT178" s="532"/>
      <c r="AU178" s="532"/>
      <c r="AV178" s="532"/>
      <c r="AW178" s="532"/>
      <c r="AX178" s="203" t="str">
        <f>IFERROR(VLOOKUP(Table_NFI[[#This Row],[Location]],CL,2,0),"")</f>
        <v>MMR001CMP195</v>
      </c>
      <c r="AZ178" s="524"/>
      <c r="DS178" s="181"/>
      <c r="DT178" s="181"/>
    </row>
    <row r="179" spans="2:124" ht="18.75" hidden="1" customHeight="1" x14ac:dyDescent="0.3">
      <c r="B179" s="542">
        <v>43140</v>
      </c>
      <c r="C179" s="542" t="str">
        <f>MONTH(Table_NFI[[#This Row],[Distribution Date]]) &amp; "/" &amp; YEAR(Table_NFI[[#This Row],[Distribution Date]])</f>
        <v>2/2018</v>
      </c>
      <c r="D179" s="546" t="s">
        <v>1549</v>
      </c>
      <c r="E179" s="546" t="s">
        <v>1563</v>
      </c>
      <c r="F179" s="196" t="s">
        <v>506</v>
      </c>
      <c r="G179" s="195" t="s">
        <v>719</v>
      </c>
      <c r="H179" s="195" t="s">
        <v>1566</v>
      </c>
      <c r="I179" s="181"/>
      <c r="J179" s="531">
        <v>52</v>
      </c>
      <c r="K179" s="531"/>
      <c r="L179" s="531"/>
      <c r="M179" s="531"/>
      <c r="N179" s="531"/>
      <c r="O179" s="531"/>
      <c r="P179" s="531"/>
      <c r="Q179" s="531"/>
      <c r="R179" s="531"/>
      <c r="S179" s="531"/>
      <c r="T179" s="531"/>
      <c r="U179" s="531"/>
      <c r="V179" s="531"/>
      <c r="W179" s="531"/>
      <c r="X179" s="531"/>
      <c r="Y179" s="531"/>
      <c r="Z179" s="531"/>
      <c r="AA179" s="531"/>
      <c r="AB179" s="531"/>
      <c r="AC179" s="532"/>
      <c r="AD179" s="532"/>
      <c r="AE179" s="532"/>
      <c r="AF179" s="532"/>
      <c r="AG179" s="532"/>
      <c r="AH179" s="532"/>
      <c r="AI179" s="532"/>
      <c r="AJ179" s="532"/>
      <c r="AK179" s="532"/>
      <c r="AL179" s="532"/>
      <c r="AM179" s="532"/>
      <c r="AN179" s="532"/>
      <c r="AO179" s="532"/>
      <c r="AP179" s="532">
        <f>IF(Table_NFI[[#This Row],[Winter Clothes Adult]]+Table_NFI[[#This Row],[Winter Clothes Children]]+Table_NFI[[#This Row],[Winter Items Other]]+Table_NFI[[#This Row],[Winter Blanket]]&gt;0,1,0)</f>
        <v>0</v>
      </c>
      <c r="AQ179" s="532"/>
      <c r="AR179" s="532"/>
      <c r="AS179" s="532"/>
      <c r="AT179" s="532"/>
      <c r="AU179" s="532"/>
      <c r="AV179" s="532"/>
      <c r="AW179" s="532"/>
      <c r="AX179" s="203" t="str">
        <f>IFERROR(VLOOKUP(Table_NFI[[#This Row],[Location]],CL,2,0),"")</f>
        <v/>
      </c>
      <c r="AZ179" s="524"/>
      <c r="DS179" s="181"/>
      <c r="DT179" s="181"/>
    </row>
    <row r="180" spans="2:124" ht="18.75" hidden="1" customHeight="1" x14ac:dyDescent="0.3">
      <c r="B180" s="542">
        <v>43140</v>
      </c>
      <c r="C180" s="542" t="str">
        <f>MONTH(Table_NFI[[#This Row],[Distribution Date]]) &amp; "/" &amp; YEAR(Table_NFI[[#This Row],[Distribution Date]])</f>
        <v>2/2018</v>
      </c>
      <c r="D180" s="546" t="s">
        <v>1549</v>
      </c>
      <c r="E180" s="546" t="s">
        <v>1563</v>
      </c>
      <c r="F180" s="196" t="s">
        <v>506</v>
      </c>
      <c r="G180" s="195" t="s">
        <v>719</v>
      </c>
      <c r="H180" s="195" t="s">
        <v>1567</v>
      </c>
      <c r="I180" s="181"/>
      <c r="J180" s="531">
        <v>13</v>
      </c>
      <c r="K180" s="531"/>
      <c r="L180" s="531"/>
      <c r="M180" s="531"/>
      <c r="N180" s="531"/>
      <c r="O180" s="531"/>
      <c r="P180" s="531"/>
      <c r="Q180" s="531"/>
      <c r="R180" s="531"/>
      <c r="S180" s="531"/>
      <c r="T180" s="531"/>
      <c r="U180" s="531"/>
      <c r="V180" s="531"/>
      <c r="W180" s="531"/>
      <c r="X180" s="531"/>
      <c r="Y180" s="531"/>
      <c r="Z180" s="531"/>
      <c r="AA180" s="531"/>
      <c r="AB180" s="531"/>
      <c r="AC180" s="532"/>
      <c r="AD180" s="532"/>
      <c r="AE180" s="532"/>
      <c r="AF180" s="532"/>
      <c r="AG180" s="532"/>
      <c r="AH180" s="532"/>
      <c r="AI180" s="532"/>
      <c r="AJ180" s="532"/>
      <c r="AK180" s="532"/>
      <c r="AL180" s="532"/>
      <c r="AM180" s="532"/>
      <c r="AN180" s="532"/>
      <c r="AO180" s="532"/>
      <c r="AP180" s="532">
        <f>IF(Table_NFI[[#This Row],[Winter Clothes Adult]]+Table_NFI[[#This Row],[Winter Clothes Children]]+Table_NFI[[#This Row],[Winter Items Other]]+Table_NFI[[#This Row],[Winter Blanket]]&gt;0,1,0)</f>
        <v>0</v>
      </c>
      <c r="AQ180" s="532"/>
      <c r="AR180" s="532"/>
      <c r="AS180" s="532"/>
      <c r="AT180" s="532"/>
      <c r="AU180" s="532"/>
      <c r="AV180" s="532"/>
      <c r="AW180" s="532"/>
      <c r="AX180" s="203" t="str">
        <f>IFERROR(VLOOKUP(Table_NFI[[#This Row],[Location]],CL,2,0),"")</f>
        <v/>
      </c>
      <c r="AZ180" s="524"/>
      <c r="DS180" s="181"/>
      <c r="DT180" s="181"/>
    </row>
    <row r="181" spans="2:124" hidden="1" x14ac:dyDescent="0.3">
      <c r="B181" s="530">
        <v>43098</v>
      </c>
      <c r="C181" s="530" t="str">
        <f>MONTH(Table_NFI[[#This Row],[Distribution Date]]) &amp; "/" &amp; YEAR(Table_NFI[[#This Row],[Distribution Date]])</f>
        <v>12/2017</v>
      </c>
      <c r="D181" s="196" t="s">
        <v>1087</v>
      </c>
      <c r="E181" s="196" t="s">
        <v>1087</v>
      </c>
      <c r="F181" s="196" t="s">
        <v>378</v>
      </c>
      <c r="G181" s="195" t="s">
        <v>27</v>
      </c>
      <c r="H181" s="196" t="s">
        <v>790</v>
      </c>
      <c r="I181" s="181"/>
      <c r="J181" s="531"/>
      <c r="K181" s="531"/>
      <c r="L181" s="531"/>
      <c r="M181" s="531"/>
      <c r="N181" s="531"/>
      <c r="O181" s="531"/>
      <c r="P181" s="531">
        <v>270</v>
      </c>
      <c r="Q181" s="531"/>
      <c r="R181" s="531"/>
      <c r="S181" s="531"/>
      <c r="T181" s="531"/>
      <c r="U181" s="531">
        <v>95</v>
      </c>
      <c r="V181" s="531"/>
      <c r="W181" s="531"/>
      <c r="X181" s="531">
        <v>123</v>
      </c>
      <c r="Y181" s="531"/>
      <c r="Z181" s="531"/>
      <c r="AA181" s="531"/>
      <c r="AB181" s="531"/>
      <c r="AC181" s="532" t="e">
        <f>IF(NFI_Expiration=1,IF(#REF!&lt;VLOOKUP(L$5,NFI,5,0),1,0)*Table_NFI[[#This Row],[NFI Core Kit]],Table_NFI[NFI Core Kit])</f>
        <v>#REF!</v>
      </c>
      <c r="AD181" s="532" t="e">
        <f>IF(NFI_Expiration=1,IF(#REF!&lt;VLOOKUP(M$5,NFI,5,0),1,0)*Table_NFI[[#This Row],[Sanitary Kit]],Table_NFI[Sanitary Kit])</f>
        <v>#REF!</v>
      </c>
      <c r="AE181" s="532" t="e">
        <f>IF(NFI_Expiration=1,IF(#REF!&lt;VLOOKUP(N$5,NFI,5,0),1,0)*Table_NFI[[#This Row],[Mosquito net]],Table_NFI[Mosquito net])</f>
        <v>#REF!</v>
      </c>
      <c r="AF181" s="532" t="e">
        <f>IF(NFI_Expiration=1,IF(#REF!&lt;VLOOKUP(O$5,NFI,5,0),1,0)*Table_NFI[[#This Row],[Tarpaulin]],Table_NFI[[#This Row],[Tarpaulin]])</f>
        <v>#REF!</v>
      </c>
      <c r="AG181" s="532" t="e">
        <f>IF(NFI_Expiration=1,IF(#REF!&lt;VLOOKUP(P$5,NFI,5,0),1,0)*Table_NFI[[#This Row],[Blanket]],Table_NFI[[#This Row],[Blanket]])</f>
        <v>#REF!</v>
      </c>
      <c r="AH181" s="532" t="e">
        <f>IF(NFI_Expiration=1,IF(#REF!&lt;VLOOKUP(Q$5,NFI,5,0),1,0)*Table_NFI[[#This Row],[Kitchen Set]],Table_NFI[Kitchen Set])</f>
        <v>#REF!</v>
      </c>
      <c r="AI181" s="532" t="e">
        <f>IF(NFI_Expiration=1,IF(#REF!&lt;VLOOKUP(R$5,NFI,5,0),1,0)*Table_NFI[[#This Row],[Clothes Kit]],Table_NFI[Clothes Kit])</f>
        <v>#REF!</v>
      </c>
      <c r="AJ181" s="532" t="e">
        <f>IF(NFI_Expiration=1,IF(#REF!&lt;VLOOKUP(S$5,NFI,5,0),1,0)*Table_NFI[[#This Row],[Plastic Bucket]],Table_NFI[Plastic Bucket])</f>
        <v>#REF!</v>
      </c>
      <c r="AK181" s="532" t="e">
        <f>IF(NFI_Expiration=1,IF(#REF!&lt;VLOOKUP(T$5,NFI,5,0),1,0)*Table_NFI[[#This Row],[Plastic Mat]],Table_NFI[Plastic Mat])*IF(Table_NFI[[#This Row],[Distribution Date]]&gt;"2014-04-01",1,2.5)</f>
        <v>#REF!</v>
      </c>
      <c r="AL181" s="532" t="e">
        <f>IF(NFI_Expiration=1,IF(#REF!&lt;VLOOKUP(U$5,NFI,5,0),1,0)*Table_NFI[[#This Row],[Winter Clothes Adult]],Table_NFI[Winter Clothes Adult])</f>
        <v>#REF!</v>
      </c>
      <c r="AM181" s="532"/>
      <c r="AN181" s="532"/>
      <c r="AO181" s="532"/>
      <c r="AP181" s="532">
        <f>IF(Table_NFI[[#This Row],[Winter Clothes Adult]]+Table_NFI[[#This Row],[Winter Clothes Children]]+Table_NFI[[#This Row],[Winter Items Other]]+Table_NFI[[#This Row],[Winter Blanket]]&gt;0,1,0)</f>
        <v>1</v>
      </c>
      <c r="AQ181" s="532"/>
      <c r="AR181" s="532"/>
      <c r="AS181" s="532"/>
      <c r="AT181" s="532"/>
      <c r="AU181" s="532"/>
      <c r="AV181" s="532"/>
      <c r="AW181" s="532"/>
      <c r="AX181" s="203" t="str">
        <f>IFERROR(VLOOKUP(Table_NFI[[#This Row],[Location]],CL,2,0),"")</f>
        <v>MMR001CMP210</v>
      </c>
      <c r="AZ181" s="524"/>
      <c r="DS181" s="181"/>
      <c r="DT181" s="181"/>
    </row>
    <row r="182" spans="2:124" hidden="1" x14ac:dyDescent="0.3">
      <c r="B182" s="530">
        <v>43098</v>
      </c>
      <c r="C182" s="530" t="str">
        <f>MONTH(Table_NFI[[#This Row],[Distribution Date]]) &amp; "/" &amp; YEAR(Table_NFI[[#This Row],[Distribution Date]])</f>
        <v>12/2017</v>
      </c>
      <c r="D182" s="196" t="s">
        <v>1087</v>
      </c>
      <c r="E182" s="196" t="s">
        <v>1087</v>
      </c>
      <c r="F182" s="196" t="s">
        <v>378</v>
      </c>
      <c r="G182" s="195" t="s">
        <v>27</v>
      </c>
      <c r="H182" s="196" t="s">
        <v>873</v>
      </c>
      <c r="I182" s="181"/>
      <c r="J182" s="531"/>
      <c r="K182" s="531"/>
      <c r="L182" s="531"/>
      <c r="M182" s="531"/>
      <c r="N182" s="531"/>
      <c r="O182" s="531"/>
      <c r="P182" s="531">
        <v>171</v>
      </c>
      <c r="Q182" s="531"/>
      <c r="R182" s="531"/>
      <c r="S182" s="531"/>
      <c r="T182" s="531"/>
      <c r="U182" s="531">
        <v>86</v>
      </c>
      <c r="V182" s="531"/>
      <c r="W182" s="531"/>
      <c r="X182" s="531">
        <v>60</v>
      </c>
      <c r="Y182" s="531"/>
      <c r="Z182" s="531"/>
      <c r="AA182" s="531"/>
      <c r="AB182" s="531"/>
      <c r="AC182" s="532" t="e">
        <f>IF(NFI_Expiration=1,IF(#REF!&lt;VLOOKUP(L$5,NFI,5,0),1,0)*Table_NFI[[#This Row],[NFI Core Kit]],Table_NFI[NFI Core Kit])</f>
        <v>#REF!</v>
      </c>
      <c r="AD182" s="532" t="e">
        <f>IF(NFI_Expiration=1,IF(#REF!&lt;VLOOKUP(M$5,NFI,5,0),1,0)*Table_NFI[[#This Row],[Sanitary Kit]],Table_NFI[Sanitary Kit])</f>
        <v>#REF!</v>
      </c>
      <c r="AE182" s="532" t="e">
        <f>IF(NFI_Expiration=1,IF(#REF!&lt;VLOOKUP(N$5,NFI,5,0),1,0)*Table_NFI[[#This Row],[Mosquito net]],Table_NFI[Mosquito net])</f>
        <v>#REF!</v>
      </c>
      <c r="AF182" s="532" t="e">
        <f>IF(NFI_Expiration=1,IF(#REF!&lt;VLOOKUP(O$5,NFI,5,0),1,0)*Table_NFI[[#This Row],[Tarpaulin]],Table_NFI[[#This Row],[Tarpaulin]])</f>
        <v>#REF!</v>
      </c>
      <c r="AG182" s="532" t="e">
        <f>IF(NFI_Expiration=1,IF(#REF!&lt;VLOOKUP(P$5,NFI,5,0),1,0)*Table_NFI[[#This Row],[Blanket]],Table_NFI[[#This Row],[Blanket]])</f>
        <v>#REF!</v>
      </c>
      <c r="AH182" s="532" t="e">
        <f>IF(NFI_Expiration=1,IF(#REF!&lt;VLOOKUP(Q$5,NFI,5,0),1,0)*Table_NFI[[#This Row],[Kitchen Set]],Table_NFI[Kitchen Set])</f>
        <v>#REF!</v>
      </c>
      <c r="AI182" s="532" t="e">
        <f>IF(NFI_Expiration=1,IF(#REF!&lt;VLOOKUP(R$5,NFI,5,0),1,0)*Table_NFI[[#This Row],[Clothes Kit]],Table_NFI[Clothes Kit])</f>
        <v>#REF!</v>
      </c>
      <c r="AJ182" s="532" t="e">
        <f>IF(NFI_Expiration=1,IF(#REF!&lt;VLOOKUP(S$5,NFI,5,0),1,0)*Table_NFI[[#This Row],[Plastic Bucket]],Table_NFI[Plastic Bucket])</f>
        <v>#REF!</v>
      </c>
      <c r="AK182" s="532" t="e">
        <f>IF(NFI_Expiration=1,IF(#REF!&lt;VLOOKUP(T$5,NFI,5,0),1,0)*Table_NFI[[#This Row],[Plastic Mat]],Table_NFI[Plastic Mat])*IF(Table_NFI[[#This Row],[Distribution Date]]&gt;"2014-04-01",1,2.5)</f>
        <v>#REF!</v>
      </c>
      <c r="AL182" s="532" t="e">
        <f>IF(NFI_Expiration=1,IF(#REF!&lt;VLOOKUP(U$5,NFI,5,0),1,0)*Table_NFI[[#This Row],[Winter Clothes Adult]],Table_NFI[Winter Clothes Adult])</f>
        <v>#REF!</v>
      </c>
      <c r="AM182" s="532"/>
      <c r="AN182" s="532"/>
      <c r="AO182" s="532"/>
      <c r="AP182" s="532">
        <f>IF(Table_NFI[[#This Row],[Winter Clothes Adult]]+Table_NFI[[#This Row],[Winter Clothes Children]]+Table_NFI[[#This Row],[Winter Items Other]]+Table_NFI[[#This Row],[Winter Blanket]]&gt;0,1,0)</f>
        <v>1</v>
      </c>
      <c r="AQ182" s="532"/>
      <c r="AR182" s="532"/>
      <c r="AS182" s="532"/>
      <c r="AT182" s="532"/>
      <c r="AU182" s="532"/>
      <c r="AV182" s="532"/>
      <c r="AW182" s="532"/>
      <c r="AX182" s="203" t="str">
        <f>IFERROR(VLOOKUP(Table_NFI[[#This Row],[Location]],CL,2,0),"")</f>
        <v>MMR001CMP225</v>
      </c>
      <c r="AZ182" s="524"/>
      <c r="DS182" s="181"/>
      <c r="DT182" s="181"/>
    </row>
    <row r="183" spans="2:124" hidden="1" x14ac:dyDescent="0.3">
      <c r="B183" s="530">
        <v>43171</v>
      </c>
      <c r="C183" s="530" t="str">
        <f>MONTH(Table_NFI[[#This Row],[Distribution Date]]) &amp; "/" &amp; YEAR(Table_NFI[[#This Row],[Distribution Date]])</f>
        <v>3/2018</v>
      </c>
      <c r="D183" s="196" t="s">
        <v>1087</v>
      </c>
      <c r="E183" s="196" t="s">
        <v>1087</v>
      </c>
      <c r="F183" s="196" t="s">
        <v>378</v>
      </c>
      <c r="G183" s="195" t="s">
        <v>237</v>
      </c>
      <c r="H183" s="196" t="s">
        <v>272</v>
      </c>
      <c r="I183" s="181"/>
      <c r="J183" s="531"/>
      <c r="K183" s="531"/>
      <c r="L183" s="531">
        <v>9</v>
      </c>
      <c r="M183" s="531">
        <v>9</v>
      </c>
      <c r="N183" s="531">
        <v>18</v>
      </c>
      <c r="O183" s="531">
        <v>9</v>
      </c>
      <c r="P183" s="531">
        <v>28</v>
      </c>
      <c r="Q183" s="531">
        <v>9</v>
      </c>
      <c r="R183" s="531"/>
      <c r="S183" s="531">
        <v>9</v>
      </c>
      <c r="T183" s="531">
        <v>26</v>
      </c>
      <c r="U183" s="531"/>
      <c r="V183" s="531"/>
      <c r="W183" s="531"/>
      <c r="X183" s="531"/>
      <c r="Y183" s="531">
        <v>9</v>
      </c>
      <c r="Z183" s="531"/>
      <c r="AA183" s="531"/>
      <c r="AB183" s="531"/>
      <c r="AC183" s="532" t="e">
        <f>IF(NFI_Expiration=1,IF(#REF!&lt;VLOOKUP(L$5,NFI,5,0),1,0)*Table_NFI[[#This Row],[NFI Core Kit]],Table_NFI[NFI Core Kit])</f>
        <v>#REF!</v>
      </c>
      <c r="AD183" s="532" t="e">
        <f>IF(NFI_Expiration=1,IF(#REF!&lt;VLOOKUP(M$5,NFI,5,0),1,0)*Table_NFI[[#This Row],[Sanitary Kit]],Table_NFI[Sanitary Kit])</f>
        <v>#REF!</v>
      </c>
      <c r="AE183" s="532" t="e">
        <f>IF(NFI_Expiration=1,IF(#REF!&lt;VLOOKUP(N$5,NFI,5,0),1,0)*Table_NFI[[#This Row],[Mosquito net]],Table_NFI[Mosquito net])</f>
        <v>#REF!</v>
      </c>
      <c r="AF183" s="532" t="e">
        <f>IF(NFI_Expiration=1,IF(#REF!&lt;VLOOKUP(O$5,NFI,5,0),1,0)*Table_NFI[[#This Row],[Tarpaulin]],Table_NFI[[#This Row],[Tarpaulin]])</f>
        <v>#REF!</v>
      </c>
      <c r="AG183" s="532" t="e">
        <f>IF(NFI_Expiration=1,IF(#REF!&lt;VLOOKUP(P$5,NFI,5,0),1,0)*Table_NFI[[#This Row],[Blanket]],Table_NFI[[#This Row],[Blanket]])</f>
        <v>#REF!</v>
      </c>
      <c r="AH183" s="532" t="e">
        <f>IF(NFI_Expiration=1,IF(#REF!&lt;VLOOKUP(Q$5,NFI,5,0),1,0)*Table_NFI[[#This Row],[Kitchen Set]],Table_NFI[Kitchen Set])</f>
        <v>#REF!</v>
      </c>
      <c r="AI183" s="532" t="e">
        <f>IF(NFI_Expiration=1,IF(#REF!&lt;VLOOKUP(R$5,NFI,5,0),1,0)*Table_NFI[[#This Row],[Clothes Kit]],Table_NFI[Clothes Kit])</f>
        <v>#REF!</v>
      </c>
      <c r="AJ183" s="532" t="e">
        <f>IF(NFI_Expiration=1,IF(#REF!&lt;VLOOKUP(S$5,NFI,5,0),1,0)*Table_NFI[[#This Row],[Plastic Bucket]],Table_NFI[Plastic Bucket])</f>
        <v>#REF!</v>
      </c>
      <c r="AK183" s="532" t="e">
        <f>IF(NFI_Expiration=1,IF(#REF!&lt;VLOOKUP(T$5,NFI,5,0),1,0)*Table_NFI[[#This Row],[Plastic Mat]],Table_NFI[Plastic Mat])*IF(Table_NFI[[#This Row],[Distribution Date]]&gt;"2014-04-01",1,2.5)</f>
        <v>#REF!</v>
      </c>
      <c r="AL183" s="532" t="e">
        <f>IF(NFI_Expiration=1,IF(#REF!&lt;VLOOKUP(U$5,NFI,5,0),1,0)*Table_NFI[[#This Row],[Winter Clothes Adult]],Table_NFI[Winter Clothes Adult])</f>
        <v>#REF!</v>
      </c>
      <c r="AM183" s="532"/>
      <c r="AN183" s="532"/>
      <c r="AO183" s="532"/>
      <c r="AP183" s="532">
        <f>IF(Table_NFI[[#This Row],[Winter Clothes Adult]]+Table_NFI[[#This Row],[Winter Clothes Children]]+Table_NFI[[#This Row],[Winter Items Other]]+Table_NFI[[#This Row],[Winter Blanket]]&gt;0,1,0)</f>
        <v>0</v>
      </c>
      <c r="AQ183" s="532"/>
      <c r="AR183" s="532"/>
      <c r="AS183" s="532"/>
      <c r="AT183" s="532"/>
      <c r="AU183" s="532"/>
      <c r="AV183" s="532"/>
      <c r="AW183" s="532"/>
      <c r="AX183" s="203" t="str">
        <f>IFERROR(VLOOKUP(Table_NFI[[#This Row],[Location]],CL,2,0),"")</f>
        <v>MMR001CMP162</v>
      </c>
      <c r="AZ183" s="524"/>
      <c r="DS183" s="181"/>
      <c r="DT183" s="181"/>
    </row>
    <row r="184" spans="2:124" hidden="1" x14ac:dyDescent="0.3">
      <c r="B184" s="530">
        <v>43165</v>
      </c>
      <c r="C184" s="530" t="str">
        <f>MONTH(Table_NFI[[#This Row],[Distribution Date]]) &amp; "/" &amp; YEAR(Table_NFI[[#This Row],[Distribution Date]])</f>
        <v>3/2018</v>
      </c>
      <c r="D184" s="196" t="s">
        <v>1087</v>
      </c>
      <c r="E184" s="196" t="s">
        <v>1087</v>
      </c>
      <c r="F184" s="196" t="s">
        <v>378</v>
      </c>
      <c r="G184" s="195" t="s">
        <v>309</v>
      </c>
      <c r="H184" s="196" t="s">
        <v>329</v>
      </c>
      <c r="I184" s="181"/>
      <c r="J184" s="531"/>
      <c r="K184" s="531"/>
      <c r="L184" s="531"/>
      <c r="M184" s="531"/>
      <c r="N184" s="531"/>
      <c r="O184" s="531"/>
      <c r="P184" s="531"/>
      <c r="Q184" s="531"/>
      <c r="R184" s="531"/>
      <c r="S184" s="531"/>
      <c r="T184" s="531"/>
      <c r="U184" s="531"/>
      <c r="V184" s="531"/>
      <c r="W184" s="531">
        <v>1473</v>
      </c>
      <c r="X184" s="531"/>
      <c r="Y184" s="531"/>
      <c r="Z184" s="531"/>
      <c r="AA184" s="531"/>
      <c r="AB184" s="531"/>
      <c r="AC184" s="532" t="e">
        <f>IF(NFI_Expiration=1,IF(#REF!&lt;VLOOKUP(L$5,NFI,5,0),1,0)*Table_NFI[[#This Row],[NFI Core Kit]],Table_NFI[NFI Core Kit])</f>
        <v>#REF!</v>
      </c>
      <c r="AD184" s="532" t="e">
        <f>IF(NFI_Expiration=1,IF(#REF!&lt;VLOOKUP(M$5,NFI,5,0),1,0)*Table_NFI[[#This Row],[Sanitary Kit]],Table_NFI[Sanitary Kit])</f>
        <v>#REF!</v>
      </c>
      <c r="AE184" s="532" t="e">
        <f>IF(NFI_Expiration=1,IF(#REF!&lt;VLOOKUP(N$5,NFI,5,0),1,0)*Table_NFI[[#This Row],[Mosquito net]],Table_NFI[Mosquito net])</f>
        <v>#REF!</v>
      </c>
      <c r="AF184" s="532" t="e">
        <f>IF(NFI_Expiration=1,IF(#REF!&lt;VLOOKUP(O$5,NFI,5,0),1,0)*Table_NFI[[#This Row],[Tarpaulin]],Table_NFI[[#This Row],[Tarpaulin]])</f>
        <v>#REF!</v>
      </c>
      <c r="AG184" s="532" t="e">
        <f>IF(NFI_Expiration=1,IF(#REF!&lt;VLOOKUP(P$5,NFI,5,0),1,0)*Table_NFI[[#This Row],[Blanket]],Table_NFI[[#This Row],[Blanket]])</f>
        <v>#REF!</v>
      </c>
      <c r="AH184" s="532" t="e">
        <f>IF(NFI_Expiration=1,IF(#REF!&lt;VLOOKUP(Q$5,NFI,5,0),1,0)*Table_NFI[[#This Row],[Kitchen Set]],Table_NFI[Kitchen Set])</f>
        <v>#REF!</v>
      </c>
      <c r="AI184" s="532" t="e">
        <f>IF(NFI_Expiration=1,IF(#REF!&lt;VLOOKUP(R$5,NFI,5,0),1,0)*Table_NFI[[#This Row],[Clothes Kit]],Table_NFI[Clothes Kit])</f>
        <v>#REF!</v>
      </c>
      <c r="AJ184" s="532" t="e">
        <f>IF(NFI_Expiration=1,IF(#REF!&lt;VLOOKUP(S$5,NFI,5,0),1,0)*Table_NFI[[#This Row],[Plastic Bucket]],Table_NFI[Plastic Bucket])</f>
        <v>#REF!</v>
      </c>
      <c r="AK184" s="532" t="e">
        <f>IF(NFI_Expiration=1,IF(#REF!&lt;VLOOKUP(T$5,NFI,5,0),1,0)*Table_NFI[[#This Row],[Plastic Mat]],Table_NFI[Plastic Mat])*IF(Table_NFI[[#This Row],[Distribution Date]]&gt;"2014-04-01",1,2.5)</f>
        <v>#REF!</v>
      </c>
      <c r="AL184" s="532" t="e">
        <f>IF(NFI_Expiration=1,IF(#REF!&lt;VLOOKUP(U$5,NFI,5,0),1,0)*Table_NFI[[#This Row],[Winter Clothes Adult]],Table_NFI[Winter Clothes Adult])</f>
        <v>#REF!</v>
      </c>
      <c r="AM184" s="532"/>
      <c r="AN184" s="532"/>
      <c r="AO184" s="532"/>
      <c r="AP184" s="532">
        <f>IF(Table_NFI[[#This Row],[Winter Clothes Adult]]+Table_NFI[[#This Row],[Winter Clothes Children]]+Table_NFI[[#This Row],[Winter Items Other]]+Table_NFI[[#This Row],[Winter Blanket]]&gt;0,1,0)</f>
        <v>1</v>
      </c>
      <c r="AQ184" s="532"/>
      <c r="AR184" s="532"/>
      <c r="AS184" s="532"/>
      <c r="AT184" s="532"/>
      <c r="AU184" s="532"/>
      <c r="AV184" s="532"/>
      <c r="AW184" s="532"/>
      <c r="AX184" s="203" t="str">
        <f>IFERROR(VLOOKUP(Table_NFI[[#This Row],[Location]],CL,2,0),"")</f>
        <v>MMR001CMP029</v>
      </c>
      <c r="AZ184" s="524"/>
      <c r="DS184" s="181"/>
      <c r="DT184" s="181"/>
    </row>
    <row r="185" spans="2:124" hidden="1" x14ac:dyDescent="0.3">
      <c r="B185" s="530">
        <v>43109</v>
      </c>
      <c r="C185" s="530" t="str">
        <f>MONTH(Table_NFI[[#This Row],[Distribution Date]]) &amp; "/" &amp; YEAR(Table_NFI[[#This Row],[Distribution Date]])</f>
        <v>1/2018</v>
      </c>
      <c r="D185" s="196" t="s">
        <v>1452</v>
      </c>
      <c r="E185" s="196"/>
      <c r="F185" s="196" t="s">
        <v>506</v>
      </c>
      <c r="G185" s="195" t="s">
        <v>297</v>
      </c>
      <c r="H185" s="196" t="s">
        <v>759</v>
      </c>
      <c r="I185" s="181">
        <v>1</v>
      </c>
      <c r="J185" s="531"/>
      <c r="K185" s="531"/>
      <c r="L185" s="531"/>
      <c r="M185" s="531"/>
      <c r="N185" s="531"/>
      <c r="O185" s="531"/>
      <c r="P185" s="531"/>
      <c r="Q185" s="531"/>
      <c r="R185" s="531"/>
      <c r="S185" s="531"/>
      <c r="T185" s="531"/>
      <c r="U185" s="531"/>
      <c r="V185" s="531"/>
      <c r="W185" s="531"/>
      <c r="X185" s="531"/>
      <c r="Y185" s="531"/>
      <c r="Z185" s="531"/>
      <c r="AA185" s="531"/>
      <c r="AB185" s="531"/>
      <c r="AC185" s="532" t="e">
        <f>IF(NFI_Expiration=1,IF(#REF!&lt;VLOOKUP(L$5,NFI,5,0),1,0)*Table_NFI[[#This Row],[NFI Core Kit]],Table_NFI[NFI Core Kit])</f>
        <v>#REF!</v>
      </c>
      <c r="AD185" s="532" t="e">
        <f>IF(NFI_Expiration=1,IF(#REF!&lt;VLOOKUP(M$5,NFI,5,0),1,0)*Table_NFI[[#This Row],[Sanitary Kit]],Table_NFI[Sanitary Kit])</f>
        <v>#REF!</v>
      </c>
      <c r="AE185" s="532" t="e">
        <f>IF(NFI_Expiration=1,IF(#REF!&lt;VLOOKUP(N$5,NFI,5,0),1,0)*Table_NFI[[#This Row],[Mosquito net]],Table_NFI[Mosquito net])</f>
        <v>#REF!</v>
      </c>
      <c r="AF185" s="532" t="e">
        <f>IF(NFI_Expiration=1,IF(#REF!&lt;VLOOKUP(O$5,NFI,5,0),1,0)*Table_NFI[[#This Row],[Tarpaulin]],Table_NFI[[#This Row],[Tarpaulin]])</f>
        <v>#REF!</v>
      </c>
      <c r="AG185" s="532" t="e">
        <f>IF(NFI_Expiration=1,IF(#REF!&lt;VLOOKUP(P$5,NFI,5,0),1,0)*Table_NFI[[#This Row],[Blanket]],Table_NFI[[#This Row],[Blanket]])</f>
        <v>#REF!</v>
      </c>
      <c r="AH185" s="532" t="e">
        <f>IF(NFI_Expiration=1,IF(#REF!&lt;VLOOKUP(Q$5,NFI,5,0),1,0)*Table_NFI[[#This Row],[Kitchen Set]],Table_NFI[Kitchen Set])</f>
        <v>#REF!</v>
      </c>
      <c r="AI185" s="532" t="e">
        <f>IF(NFI_Expiration=1,IF(#REF!&lt;VLOOKUP(R$5,NFI,5,0),1,0)*Table_NFI[[#This Row],[Clothes Kit]],Table_NFI[Clothes Kit])</f>
        <v>#REF!</v>
      </c>
      <c r="AJ185" s="532" t="e">
        <f>IF(NFI_Expiration=1,IF(#REF!&lt;VLOOKUP(S$5,NFI,5,0),1,0)*Table_NFI[[#This Row],[Plastic Bucket]],Table_NFI[Plastic Bucket])</f>
        <v>#REF!</v>
      </c>
      <c r="AK185" s="532" t="e">
        <f>IF(NFI_Expiration=1,IF(#REF!&lt;VLOOKUP(T$5,NFI,5,0),1,0)*Table_NFI[[#This Row],[Plastic Mat]],Table_NFI[Plastic Mat])*IF(Table_NFI[[#This Row],[Distribution Date]]&gt;"2014-04-01",1,2.5)</f>
        <v>#REF!</v>
      </c>
      <c r="AL185" s="532" t="e">
        <f>IF(NFI_Expiration=1,IF(#REF!&lt;VLOOKUP(U$5,NFI,5,0),1,0)*Table_NFI[[#This Row],[Winter Clothes Adult]],Table_NFI[Winter Clothes Adult])</f>
        <v>#REF!</v>
      </c>
      <c r="AM185" s="532"/>
      <c r="AN185" s="532"/>
      <c r="AO185" s="532"/>
      <c r="AP185" s="532">
        <f>IF(Table_NFI[[#This Row],[Winter Clothes Adult]]+Table_NFI[[#This Row],[Winter Clothes Children]]+Table_NFI[[#This Row],[Winter Items Other]]+Table_NFI[[#This Row],[Winter Blanket]]&gt;0,1,0)</f>
        <v>0</v>
      </c>
      <c r="AQ185" s="532"/>
      <c r="AR185" s="532"/>
      <c r="AS185" s="532"/>
      <c r="AT185" s="532"/>
      <c r="AU185" s="532"/>
      <c r="AV185" s="532"/>
      <c r="AW185" s="532"/>
      <c r="AX185" s="203" t="str">
        <f>IFERROR(VLOOKUP(Table_NFI[[#This Row],[Location]],CL,2,0),"")</f>
        <v>MMR015CMP014</v>
      </c>
      <c r="AZ185" s="524"/>
      <c r="DS185" s="181"/>
      <c r="DT185" s="181"/>
    </row>
    <row r="186" spans="2:124" hidden="1" x14ac:dyDescent="0.3">
      <c r="B186" s="530">
        <v>43109</v>
      </c>
      <c r="C186" s="530" t="str">
        <f>MONTH(Table_NFI[[#This Row],[Distribution Date]]) &amp; "/" &amp; YEAR(Table_NFI[[#This Row],[Distribution Date]])</f>
        <v>1/2018</v>
      </c>
      <c r="D186" s="196" t="s">
        <v>1452</v>
      </c>
      <c r="E186" s="196"/>
      <c r="F186" s="196" t="s">
        <v>506</v>
      </c>
      <c r="G186" s="195" t="s">
        <v>297</v>
      </c>
      <c r="H186" s="196" t="s">
        <v>1189</v>
      </c>
      <c r="I186" s="181">
        <v>1</v>
      </c>
      <c r="J186" s="531"/>
      <c r="K186" s="531"/>
      <c r="L186" s="531"/>
      <c r="M186" s="531"/>
      <c r="N186" s="531"/>
      <c r="O186" s="531"/>
      <c r="P186" s="531"/>
      <c r="Q186" s="531"/>
      <c r="R186" s="531"/>
      <c r="S186" s="531"/>
      <c r="T186" s="531"/>
      <c r="U186" s="531"/>
      <c r="V186" s="531"/>
      <c r="W186" s="531"/>
      <c r="X186" s="531"/>
      <c r="Y186" s="531"/>
      <c r="Z186" s="531"/>
      <c r="AA186" s="531"/>
      <c r="AB186" s="531"/>
      <c r="AC186" s="532" t="e">
        <f>IF(NFI_Expiration=1,IF(#REF!&lt;VLOOKUP(L$5,NFI,5,0),1,0)*Table_NFI[[#This Row],[NFI Core Kit]],Table_NFI[NFI Core Kit])</f>
        <v>#REF!</v>
      </c>
      <c r="AD186" s="532" t="e">
        <f>IF(NFI_Expiration=1,IF(#REF!&lt;VLOOKUP(M$5,NFI,5,0),1,0)*Table_NFI[[#This Row],[Sanitary Kit]],Table_NFI[Sanitary Kit])</f>
        <v>#REF!</v>
      </c>
      <c r="AE186" s="532" t="e">
        <f>IF(NFI_Expiration=1,IF(#REF!&lt;VLOOKUP(N$5,NFI,5,0),1,0)*Table_NFI[[#This Row],[Mosquito net]],Table_NFI[Mosquito net])</f>
        <v>#REF!</v>
      </c>
      <c r="AF186" s="532" t="e">
        <f>IF(NFI_Expiration=1,IF(#REF!&lt;VLOOKUP(O$5,NFI,5,0),1,0)*Table_NFI[[#This Row],[Tarpaulin]],Table_NFI[[#This Row],[Tarpaulin]])</f>
        <v>#REF!</v>
      </c>
      <c r="AG186" s="532" t="e">
        <f>IF(NFI_Expiration=1,IF(#REF!&lt;VLOOKUP(P$5,NFI,5,0),1,0)*Table_NFI[[#This Row],[Blanket]],Table_NFI[[#This Row],[Blanket]])</f>
        <v>#REF!</v>
      </c>
      <c r="AH186" s="532" t="e">
        <f>IF(NFI_Expiration=1,IF(#REF!&lt;VLOOKUP(Q$5,NFI,5,0),1,0)*Table_NFI[[#This Row],[Kitchen Set]],Table_NFI[Kitchen Set])</f>
        <v>#REF!</v>
      </c>
      <c r="AI186" s="532" t="e">
        <f>IF(NFI_Expiration=1,IF(#REF!&lt;VLOOKUP(R$5,NFI,5,0),1,0)*Table_NFI[[#This Row],[Clothes Kit]],Table_NFI[Clothes Kit])</f>
        <v>#REF!</v>
      </c>
      <c r="AJ186" s="532" t="e">
        <f>IF(NFI_Expiration=1,IF(#REF!&lt;VLOOKUP(S$5,NFI,5,0),1,0)*Table_NFI[[#This Row],[Plastic Bucket]],Table_NFI[Plastic Bucket])</f>
        <v>#REF!</v>
      </c>
      <c r="AK186" s="532" t="e">
        <f>IF(NFI_Expiration=1,IF(#REF!&lt;VLOOKUP(T$5,NFI,5,0),1,0)*Table_NFI[[#This Row],[Plastic Mat]],Table_NFI[Plastic Mat])*IF(Table_NFI[[#This Row],[Distribution Date]]&gt;"2014-04-01",1,2.5)</f>
        <v>#REF!</v>
      </c>
      <c r="AL186" s="532" t="e">
        <f>IF(NFI_Expiration=1,IF(#REF!&lt;VLOOKUP(U$5,NFI,5,0),1,0)*Table_NFI[[#This Row],[Winter Clothes Adult]],Table_NFI[Winter Clothes Adult])</f>
        <v>#REF!</v>
      </c>
      <c r="AM186" s="532"/>
      <c r="AN186" s="532"/>
      <c r="AO186" s="532"/>
      <c r="AP186" s="532">
        <f>IF(Table_NFI[[#This Row],[Winter Clothes Adult]]+Table_NFI[[#This Row],[Winter Clothes Children]]+Table_NFI[[#This Row],[Winter Items Other]]+Table_NFI[[#This Row],[Winter Blanket]]&gt;0,1,0)</f>
        <v>0</v>
      </c>
      <c r="AQ186" s="532"/>
      <c r="AR186" s="532"/>
      <c r="AS186" s="532"/>
      <c r="AT186" s="532"/>
      <c r="AU186" s="532"/>
      <c r="AV186" s="532"/>
      <c r="AW186" s="532"/>
      <c r="AX186" s="203" t="str">
        <f>IFERROR(VLOOKUP(Table_NFI[[#This Row],[Location]],CL,2,0),"")</f>
        <v>MMR015CMP232</v>
      </c>
      <c r="AY186" s="181" t="s">
        <v>541</v>
      </c>
      <c r="AZ186" s="524"/>
      <c r="DS186" s="181"/>
      <c r="DT186" s="181"/>
    </row>
    <row r="187" spans="2:124" hidden="1" x14ac:dyDescent="0.3">
      <c r="B187" s="530">
        <v>43109</v>
      </c>
      <c r="C187" s="530" t="str">
        <f>MONTH(Table_NFI[[#This Row],[Distribution Date]]) &amp; "/" &amp; YEAR(Table_NFI[[#This Row],[Distribution Date]])</f>
        <v>1/2018</v>
      </c>
      <c r="D187" s="196" t="s">
        <v>1452</v>
      </c>
      <c r="E187" s="196"/>
      <c r="F187" s="196" t="s">
        <v>378</v>
      </c>
      <c r="G187" s="195" t="s">
        <v>151</v>
      </c>
      <c r="H187" s="196" t="s">
        <v>154</v>
      </c>
      <c r="I187" s="181"/>
      <c r="J187" s="531">
        <v>3</v>
      </c>
      <c r="K187" s="531"/>
      <c r="L187" s="531"/>
      <c r="M187" s="531"/>
      <c r="N187" s="531"/>
      <c r="O187" s="531"/>
      <c r="P187" s="531"/>
      <c r="Q187" s="531">
        <v>3</v>
      </c>
      <c r="R187" s="531"/>
      <c r="S187" s="531"/>
      <c r="T187" s="531"/>
      <c r="U187" s="531">
        <v>3</v>
      </c>
      <c r="V187" s="531">
        <v>3</v>
      </c>
      <c r="W187" s="531">
        <v>3</v>
      </c>
      <c r="X187" s="531"/>
      <c r="Y187" s="531"/>
      <c r="Z187" s="531"/>
      <c r="AA187" s="531"/>
      <c r="AB187" s="531"/>
      <c r="AC187" s="532" t="e">
        <f>IF(NFI_Expiration=1,IF(#REF!&lt;VLOOKUP(L$5,NFI,5,0),1,0)*Table_NFI[[#This Row],[NFI Core Kit]],Table_NFI[NFI Core Kit])</f>
        <v>#REF!</v>
      </c>
      <c r="AD187" s="532" t="e">
        <f>IF(NFI_Expiration=1,IF(#REF!&lt;VLOOKUP(M$5,NFI,5,0),1,0)*Table_NFI[[#This Row],[Sanitary Kit]],Table_NFI[Sanitary Kit])</f>
        <v>#REF!</v>
      </c>
      <c r="AE187" s="532" t="e">
        <f>IF(NFI_Expiration=1,IF(#REF!&lt;VLOOKUP(N$5,NFI,5,0),1,0)*Table_NFI[[#This Row],[Mosquito net]],Table_NFI[Mosquito net])</f>
        <v>#REF!</v>
      </c>
      <c r="AF187" s="532" t="e">
        <f>IF(NFI_Expiration=1,IF(#REF!&lt;VLOOKUP(O$5,NFI,5,0),1,0)*Table_NFI[[#This Row],[Tarpaulin]],Table_NFI[[#This Row],[Tarpaulin]])</f>
        <v>#REF!</v>
      </c>
      <c r="AG187" s="532" t="e">
        <f>IF(NFI_Expiration=1,IF(#REF!&lt;VLOOKUP(P$5,NFI,5,0),1,0)*Table_NFI[[#This Row],[Blanket]],Table_NFI[[#This Row],[Blanket]])</f>
        <v>#REF!</v>
      </c>
      <c r="AH187" s="532" t="e">
        <f>IF(NFI_Expiration=1,IF(#REF!&lt;VLOOKUP(Q$5,NFI,5,0),1,0)*Table_NFI[[#This Row],[Kitchen Set]],Table_NFI[Kitchen Set])</f>
        <v>#REF!</v>
      </c>
      <c r="AI187" s="532" t="e">
        <f>IF(NFI_Expiration=1,IF(#REF!&lt;VLOOKUP(R$5,NFI,5,0),1,0)*Table_NFI[[#This Row],[Clothes Kit]],Table_NFI[Clothes Kit])</f>
        <v>#REF!</v>
      </c>
      <c r="AJ187" s="532" t="e">
        <f>IF(NFI_Expiration=1,IF(#REF!&lt;VLOOKUP(S$5,NFI,5,0),1,0)*Table_NFI[[#This Row],[Plastic Bucket]],Table_NFI[Plastic Bucket])</f>
        <v>#REF!</v>
      </c>
      <c r="AK187" s="532" t="e">
        <f>IF(NFI_Expiration=1,IF(#REF!&lt;VLOOKUP(T$5,NFI,5,0),1,0)*Table_NFI[[#This Row],[Plastic Mat]],Table_NFI[Plastic Mat])*IF(Table_NFI[[#This Row],[Distribution Date]]&gt;"2014-04-01",1,2.5)</f>
        <v>#REF!</v>
      </c>
      <c r="AL187" s="532" t="e">
        <f>IF(NFI_Expiration=1,IF(#REF!&lt;VLOOKUP(U$5,NFI,5,0),1,0)*Table_NFI[[#This Row],[Winter Clothes Adult]],Table_NFI[Winter Clothes Adult])</f>
        <v>#REF!</v>
      </c>
      <c r="AM187" s="532"/>
      <c r="AN187" s="532"/>
      <c r="AO187" s="532"/>
      <c r="AP187" s="532">
        <f>IF(Table_NFI[[#This Row],[Winter Clothes Adult]]+Table_NFI[[#This Row],[Winter Clothes Children]]+Table_NFI[[#This Row],[Winter Items Other]]+Table_NFI[[#This Row],[Winter Blanket]]&gt;0,1,0)</f>
        <v>1</v>
      </c>
      <c r="AQ187" s="532"/>
      <c r="AR187" s="532"/>
      <c r="AS187" s="532"/>
      <c r="AT187" s="532"/>
      <c r="AU187" s="532"/>
      <c r="AV187" s="532"/>
      <c r="AW187" s="532"/>
      <c r="AX187" s="203" t="str">
        <f>IFERROR(VLOOKUP(Table_NFI[[#This Row],[Location]],CL,2,0),"")</f>
        <v>MMR001CMP132</v>
      </c>
      <c r="AZ187" s="524"/>
      <c r="DS187" s="181"/>
      <c r="DT187" s="181"/>
    </row>
    <row r="188" spans="2:124" hidden="1" x14ac:dyDescent="0.3">
      <c r="B188" s="530">
        <v>43111</v>
      </c>
      <c r="C188" s="530" t="str">
        <f>MONTH(Table_NFI[[#This Row],[Distribution Date]]) &amp; "/" &amp; YEAR(Table_NFI[[#This Row],[Distribution Date]])</f>
        <v>1/2018</v>
      </c>
      <c r="D188" s="196" t="s">
        <v>1452</v>
      </c>
      <c r="E188" s="196"/>
      <c r="F188" s="196" t="s">
        <v>506</v>
      </c>
      <c r="G188" s="195" t="s">
        <v>297</v>
      </c>
      <c r="H188" s="196" t="s">
        <v>1273</v>
      </c>
      <c r="I188" s="181">
        <v>1</v>
      </c>
      <c r="J188" s="531"/>
      <c r="K188" s="531"/>
      <c r="L188" s="531"/>
      <c r="M188" s="531"/>
      <c r="N188" s="531"/>
      <c r="O188" s="531"/>
      <c r="P188" s="531"/>
      <c r="Q188" s="531"/>
      <c r="R188" s="531"/>
      <c r="S188" s="531"/>
      <c r="T188" s="531"/>
      <c r="U188" s="531"/>
      <c r="V188" s="531"/>
      <c r="W188" s="531"/>
      <c r="X188" s="531"/>
      <c r="Y188" s="531"/>
      <c r="Z188" s="531"/>
      <c r="AA188" s="531"/>
      <c r="AB188" s="531"/>
      <c r="AC188" s="532" t="e">
        <f>IF(NFI_Expiration=1,IF(#REF!&lt;VLOOKUP(L$5,NFI,5,0),1,0)*Table_NFI[[#This Row],[NFI Core Kit]],Table_NFI[NFI Core Kit])</f>
        <v>#REF!</v>
      </c>
      <c r="AD188" s="532" t="e">
        <f>IF(NFI_Expiration=1,IF(#REF!&lt;VLOOKUP(M$5,NFI,5,0),1,0)*Table_NFI[[#This Row],[Sanitary Kit]],Table_NFI[Sanitary Kit])</f>
        <v>#REF!</v>
      </c>
      <c r="AE188" s="532" t="e">
        <f>IF(NFI_Expiration=1,IF(#REF!&lt;VLOOKUP(N$5,NFI,5,0),1,0)*Table_NFI[[#This Row],[Mosquito net]],Table_NFI[Mosquito net])</f>
        <v>#REF!</v>
      </c>
      <c r="AF188" s="532" t="e">
        <f>IF(NFI_Expiration=1,IF(#REF!&lt;VLOOKUP(O$5,NFI,5,0),1,0)*Table_NFI[[#This Row],[Tarpaulin]],Table_NFI[[#This Row],[Tarpaulin]])</f>
        <v>#REF!</v>
      </c>
      <c r="AG188" s="532" t="e">
        <f>IF(NFI_Expiration=1,IF(#REF!&lt;VLOOKUP(P$5,NFI,5,0),1,0)*Table_NFI[[#This Row],[Blanket]],Table_NFI[[#This Row],[Blanket]])</f>
        <v>#REF!</v>
      </c>
      <c r="AH188" s="532" t="e">
        <f>IF(NFI_Expiration=1,IF(#REF!&lt;VLOOKUP(Q$5,NFI,5,0),1,0)*Table_NFI[[#This Row],[Kitchen Set]],Table_NFI[Kitchen Set])</f>
        <v>#REF!</v>
      </c>
      <c r="AI188" s="532" t="e">
        <f>IF(NFI_Expiration=1,IF(#REF!&lt;VLOOKUP(R$5,NFI,5,0),1,0)*Table_NFI[[#This Row],[Clothes Kit]],Table_NFI[Clothes Kit])</f>
        <v>#REF!</v>
      </c>
      <c r="AJ188" s="532" t="e">
        <f>IF(NFI_Expiration=1,IF(#REF!&lt;VLOOKUP(S$5,NFI,5,0),1,0)*Table_NFI[[#This Row],[Plastic Bucket]],Table_NFI[Plastic Bucket])</f>
        <v>#REF!</v>
      </c>
      <c r="AK188" s="532" t="e">
        <f>IF(NFI_Expiration=1,IF(#REF!&lt;VLOOKUP(T$5,NFI,5,0),1,0)*Table_NFI[[#This Row],[Plastic Mat]],Table_NFI[Plastic Mat])*IF(Table_NFI[[#This Row],[Distribution Date]]&gt;"2014-04-01",1,2.5)</f>
        <v>#REF!</v>
      </c>
      <c r="AL188" s="532" t="e">
        <f>IF(NFI_Expiration=1,IF(#REF!&lt;VLOOKUP(U$5,NFI,5,0),1,0)*Table_NFI[[#This Row],[Winter Clothes Adult]],Table_NFI[Winter Clothes Adult])</f>
        <v>#REF!</v>
      </c>
      <c r="AM188" s="532"/>
      <c r="AN188" s="532"/>
      <c r="AO188" s="532"/>
      <c r="AP188" s="532">
        <f>IF(Table_NFI[[#This Row],[Winter Clothes Adult]]+Table_NFI[[#This Row],[Winter Clothes Children]]+Table_NFI[[#This Row],[Winter Items Other]]+Table_NFI[[#This Row],[Winter Blanket]]&gt;0,1,0)</f>
        <v>0</v>
      </c>
      <c r="AQ188" s="532"/>
      <c r="AR188" s="532"/>
      <c r="AS188" s="532"/>
      <c r="AT188" s="532"/>
      <c r="AU188" s="532"/>
      <c r="AV188" s="532"/>
      <c r="AW188" s="532"/>
      <c r="AX188" s="203" t="str">
        <f>IFERROR(VLOOKUP(Table_NFI[[#This Row],[Location]],CL,2,0),"")</f>
        <v>MMR015CMP248</v>
      </c>
      <c r="AZ188" s="524"/>
      <c r="DS188" s="181"/>
      <c r="DT188" s="181"/>
    </row>
    <row r="189" spans="2:124" hidden="1" x14ac:dyDescent="0.3">
      <c r="B189" s="530">
        <v>43112</v>
      </c>
      <c r="C189" s="530" t="str">
        <f>MONTH(Table_NFI[[#This Row],[Distribution Date]]) &amp; "/" &amp; YEAR(Table_NFI[[#This Row],[Distribution Date]])</f>
        <v>1/2018</v>
      </c>
      <c r="D189" s="196" t="s">
        <v>1452</v>
      </c>
      <c r="E189" s="196"/>
      <c r="F189" s="196" t="s">
        <v>506</v>
      </c>
      <c r="G189" s="195" t="s">
        <v>297</v>
      </c>
      <c r="H189" s="196" t="s">
        <v>759</v>
      </c>
      <c r="I189" s="181">
        <v>1</v>
      </c>
      <c r="J189" s="531"/>
      <c r="K189" s="531"/>
      <c r="L189" s="531"/>
      <c r="M189" s="531"/>
      <c r="N189" s="531"/>
      <c r="O189" s="531"/>
      <c r="P189" s="531"/>
      <c r="Q189" s="531"/>
      <c r="R189" s="531"/>
      <c r="S189" s="531"/>
      <c r="T189" s="531"/>
      <c r="U189" s="531"/>
      <c r="V189" s="531"/>
      <c r="W189" s="531"/>
      <c r="X189" s="531"/>
      <c r="Y189" s="531"/>
      <c r="Z189" s="531"/>
      <c r="AA189" s="531"/>
      <c r="AB189" s="531"/>
      <c r="AC189" s="532" t="e">
        <f>IF(NFI_Expiration=1,IF(#REF!&lt;VLOOKUP(L$5,NFI,5,0),1,0)*Table_NFI[[#This Row],[NFI Core Kit]],Table_NFI[NFI Core Kit])</f>
        <v>#REF!</v>
      </c>
      <c r="AD189" s="532" t="e">
        <f>IF(NFI_Expiration=1,IF(#REF!&lt;VLOOKUP(M$5,NFI,5,0),1,0)*Table_NFI[[#This Row],[Sanitary Kit]],Table_NFI[Sanitary Kit])</f>
        <v>#REF!</v>
      </c>
      <c r="AE189" s="532" t="e">
        <f>IF(NFI_Expiration=1,IF(#REF!&lt;VLOOKUP(N$5,NFI,5,0),1,0)*Table_NFI[[#This Row],[Mosquito net]],Table_NFI[Mosquito net])</f>
        <v>#REF!</v>
      </c>
      <c r="AF189" s="532" t="e">
        <f>IF(NFI_Expiration=1,IF(#REF!&lt;VLOOKUP(O$5,NFI,5,0),1,0)*Table_NFI[[#This Row],[Tarpaulin]],Table_NFI[[#This Row],[Tarpaulin]])</f>
        <v>#REF!</v>
      </c>
      <c r="AG189" s="532" t="e">
        <f>IF(NFI_Expiration=1,IF(#REF!&lt;VLOOKUP(P$5,NFI,5,0),1,0)*Table_NFI[[#This Row],[Blanket]],Table_NFI[[#This Row],[Blanket]])</f>
        <v>#REF!</v>
      </c>
      <c r="AH189" s="532" t="e">
        <f>IF(NFI_Expiration=1,IF(#REF!&lt;VLOOKUP(Q$5,NFI,5,0),1,0)*Table_NFI[[#This Row],[Kitchen Set]],Table_NFI[Kitchen Set])</f>
        <v>#REF!</v>
      </c>
      <c r="AI189" s="532" t="e">
        <f>IF(NFI_Expiration=1,IF(#REF!&lt;VLOOKUP(R$5,NFI,5,0),1,0)*Table_NFI[[#This Row],[Clothes Kit]],Table_NFI[Clothes Kit])</f>
        <v>#REF!</v>
      </c>
      <c r="AJ189" s="532" t="e">
        <f>IF(NFI_Expiration=1,IF(#REF!&lt;VLOOKUP(S$5,NFI,5,0),1,0)*Table_NFI[[#This Row],[Plastic Bucket]],Table_NFI[Plastic Bucket])</f>
        <v>#REF!</v>
      </c>
      <c r="AK189" s="532" t="e">
        <f>IF(NFI_Expiration=1,IF(#REF!&lt;VLOOKUP(T$5,NFI,5,0),1,0)*Table_NFI[[#This Row],[Plastic Mat]],Table_NFI[Plastic Mat])*IF(Table_NFI[[#This Row],[Distribution Date]]&gt;"2014-04-01",1,2.5)</f>
        <v>#REF!</v>
      </c>
      <c r="AL189" s="532" t="e">
        <f>IF(NFI_Expiration=1,IF(#REF!&lt;VLOOKUP(U$5,NFI,5,0),1,0)*Table_NFI[[#This Row],[Winter Clothes Adult]],Table_NFI[Winter Clothes Adult])</f>
        <v>#REF!</v>
      </c>
      <c r="AM189" s="532"/>
      <c r="AN189" s="532"/>
      <c r="AO189" s="532"/>
      <c r="AP189" s="532">
        <f>IF(Table_NFI[[#This Row],[Winter Clothes Adult]]+Table_NFI[[#This Row],[Winter Clothes Children]]+Table_NFI[[#This Row],[Winter Items Other]]+Table_NFI[[#This Row],[Winter Blanket]]&gt;0,1,0)</f>
        <v>0</v>
      </c>
      <c r="AQ189" s="532"/>
      <c r="AR189" s="532"/>
      <c r="AS189" s="532"/>
      <c r="AT189" s="532"/>
      <c r="AU189" s="532"/>
      <c r="AV189" s="532"/>
      <c r="AW189" s="532"/>
      <c r="AX189" s="203" t="str">
        <f>IFERROR(VLOOKUP(Table_NFI[[#This Row],[Location]],CL,2,0),"")</f>
        <v>MMR015CMP014</v>
      </c>
      <c r="AZ189" s="524"/>
      <c r="DS189" s="181"/>
      <c r="DT189" s="181"/>
    </row>
    <row r="190" spans="2:124" hidden="1" x14ac:dyDescent="0.3">
      <c r="B190" s="530">
        <v>43115</v>
      </c>
      <c r="C190" s="530" t="str">
        <f>MONTH(Table_NFI[[#This Row],[Distribution Date]]) &amp; "/" &amp; YEAR(Table_NFI[[#This Row],[Distribution Date]])</f>
        <v>1/2018</v>
      </c>
      <c r="D190" s="196" t="s">
        <v>1452</v>
      </c>
      <c r="E190" s="196"/>
      <c r="F190" s="196" t="s">
        <v>506</v>
      </c>
      <c r="G190" s="195" t="s">
        <v>297</v>
      </c>
      <c r="H190" s="196" t="s">
        <v>1189</v>
      </c>
      <c r="I190" s="181">
        <v>18</v>
      </c>
      <c r="J190" s="531"/>
      <c r="K190" s="531"/>
      <c r="L190" s="531"/>
      <c r="M190" s="531"/>
      <c r="N190" s="531"/>
      <c r="O190" s="531"/>
      <c r="P190" s="531"/>
      <c r="Q190" s="531"/>
      <c r="R190" s="531"/>
      <c r="S190" s="531"/>
      <c r="T190" s="531"/>
      <c r="U190" s="531"/>
      <c r="V190" s="531"/>
      <c r="W190" s="531"/>
      <c r="X190" s="531"/>
      <c r="Y190" s="531"/>
      <c r="Z190" s="531"/>
      <c r="AA190" s="531"/>
      <c r="AB190" s="531"/>
      <c r="AC190" s="532" t="e">
        <f>IF(NFI_Expiration=1,IF(#REF!&lt;VLOOKUP(L$5,NFI,5,0),1,0)*Table_NFI[[#This Row],[NFI Core Kit]],Table_NFI[NFI Core Kit])</f>
        <v>#REF!</v>
      </c>
      <c r="AD190" s="532" t="e">
        <f>IF(NFI_Expiration=1,IF(#REF!&lt;VLOOKUP(M$5,NFI,5,0),1,0)*Table_NFI[[#This Row],[Sanitary Kit]],Table_NFI[Sanitary Kit])</f>
        <v>#REF!</v>
      </c>
      <c r="AE190" s="532" t="e">
        <f>IF(NFI_Expiration=1,IF(#REF!&lt;VLOOKUP(N$5,NFI,5,0),1,0)*Table_NFI[[#This Row],[Mosquito net]],Table_NFI[Mosquito net])</f>
        <v>#REF!</v>
      </c>
      <c r="AF190" s="532" t="e">
        <f>IF(NFI_Expiration=1,IF(#REF!&lt;VLOOKUP(O$5,NFI,5,0),1,0)*Table_NFI[[#This Row],[Tarpaulin]],Table_NFI[[#This Row],[Tarpaulin]])</f>
        <v>#REF!</v>
      </c>
      <c r="AG190" s="532" t="e">
        <f>IF(NFI_Expiration=1,IF(#REF!&lt;VLOOKUP(P$5,NFI,5,0),1,0)*Table_NFI[[#This Row],[Blanket]],Table_NFI[[#This Row],[Blanket]])</f>
        <v>#REF!</v>
      </c>
      <c r="AH190" s="532" t="e">
        <f>IF(NFI_Expiration=1,IF(#REF!&lt;VLOOKUP(Q$5,NFI,5,0),1,0)*Table_NFI[[#This Row],[Kitchen Set]],Table_NFI[Kitchen Set])</f>
        <v>#REF!</v>
      </c>
      <c r="AI190" s="532" t="e">
        <f>IF(NFI_Expiration=1,IF(#REF!&lt;VLOOKUP(R$5,NFI,5,0),1,0)*Table_NFI[[#This Row],[Clothes Kit]],Table_NFI[Clothes Kit])</f>
        <v>#REF!</v>
      </c>
      <c r="AJ190" s="532" t="e">
        <f>IF(NFI_Expiration=1,IF(#REF!&lt;VLOOKUP(S$5,NFI,5,0),1,0)*Table_NFI[[#This Row],[Plastic Bucket]],Table_NFI[Plastic Bucket])</f>
        <v>#REF!</v>
      </c>
      <c r="AK190" s="532" t="e">
        <f>IF(NFI_Expiration=1,IF(#REF!&lt;VLOOKUP(T$5,NFI,5,0),1,0)*Table_NFI[[#This Row],[Plastic Mat]],Table_NFI[Plastic Mat])*IF(Table_NFI[[#This Row],[Distribution Date]]&gt;"2014-04-01",1,2.5)</f>
        <v>#REF!</v>
      </c>
      <c r="AL190" s="532" t="e">
        <f>IF(NFI_Expiration=1,IF(#REF!&lt;VLOOKUP(U$5,NFI,5,0),1,0)*Table_NFI[[#This Row],[Winter Clothes Adult]],Table_NFI[Winter Clothes Adult])</f>
        <v>#REF!</v>
      </c>
      <c r="AM190" s="532"/>
      <c r="AN190" s="532"/>
      <c r="AO190" s="532"/>
      <c r="AP190" s="532">
        <f>IF(Table_NFI[[#This Row],[Winter Clothes Adult]]+Table_NFI[[#This Row],[Winter Clothes Children]]+Table_NFI[[#This Row],[Winter Items Other]]+Table_NFI[[#This Row],[Winter Blanket]]&gt;0,1,0)</f>
        <v>0</v>
      </c>
      <c r="AQ190" s="532"/>
      <c r="AR190" s="532"/>
      <c r="AS190" s="532"/>
      <c r="AT190" s="532"/>
      <c r="AU190" s="532"/>
      <c r="AV190" s="532"/>
      <c r="AW190" s="532"/>
      <c r="AX190" s="203" t="str">
        <f>IFERROR(VLOOKUP(Table_NFI[[#This Row],[Location]],CL,2,0),"")</f>
        <v>MMR015CMP232</v>
      </c>
      <c r="AY190" s="181" t="s">
        <v>1592</v>
      </c>
      <c r="AZ190" s="524"/>
      <c r="DS190" s="181"/>
      <c r="DT190" s="181"/>
    </row>
    <row r="191" spans="2:124" hidden="1" x14ac:dyDescent="0.3">
      <c r="B191" s="530">
        <v>43115</v>
      </c>
      <c r="C191" s="530" t="str">
        <f>MONTH(Table_NFI[[#This Row],[Distribution Date]]) &amp; "/" &amp; YEAR(Table_NFI[[#This Row],[Distribution Date]])</f>
        <v>1/2018</v>
      </c>
      <c r="D191" s="196" t="s">
        <v>1452</v>
      </c>
      <c r="E191" s="196"/>
      <c r="F191" s="196" t="s">
        <v>506</v>
      </c>
      <c r="G191" s="195" t="s">
        <v>288</v>
      </c>
      <c r="H191" s="196" t="s">
        <v>372</v>
      </c>
      <c r="I191" s="181">
        <v>2</v>
      </c>
      <c r="J191" s="531"/>
      <c r="K191" s="531"/>
      <c r="L191" s="531"/>
      <c r="M191" s="531"/>
      <c r="N191" s="531"/>
      <c r="O191" s="531"/>
      <c r="P191" s="531"/>
      <c r="Q191" s="531">
        <v>2</v>
      </c>
      <c r="R191" s="531"/>
      <c r="S191" s="531">
        <v>2</v>
      </c>
      <c r="T191" s="531"/>
      <c r="U191" s="531"/>
      <c r="V191" s="531"/>
      <c r="W191" s="531"/>
      <c r="X191" s="531">
        <v>2</v>
      </c>
      <c r="Y191" s="531"/>
      <c r="Z191" s="531"/>
      <c r="AA191" s="531"/>
      <c r="AB191" s="531"/>
      <c r="AC191" s="532" t="e">
        <f>IF(NFI_Expiration=1,IF(#REF!&lt;VLOOKUP(L$5,NFI,5,0),1,0)*Table_NFI[[#This Row],[NFI Core Kit]],Table_NFI[NFI Core Kit])</f>
        <v>#REF!</v>
      </c>
      <c r="AD191" s="532" t="e">
        <f>IF(NFI_Expiration=1,IF(#REF!&lt;VLOOKUP(M$5,NFI,5,0),1,0)*Table_NFI[[#This Row],[Sanitary Kit]],Table_NFI[Sanitary Kit])</f>
        <v>#REF!</v>
      </c>
      <c r="AE191" s="532" t="e">
        <f>IF(NFI_Expiration=1,IF(#REF!&lt;VLOOKUP(N$5,NFI,5,0),1,0)*Table_NFI[[#This Row],[Mosquito net]],Table_NFI[Mosquito net])</f>
        <v>#REF!</v>
      </c>
      <c r="AF191" s="532" t="e">
        <f>IF(NFI_Expiration=1,IF(#REF!&lt;VLOOKUP(O$5,NFI,5,0),1,0)*Table_NFI[[#This Row],[Tarpaulin]],Table_NFI[[#This Row],[Tarpaulin]])</f>
        <v>#REF!</v>
      </c>
      <c r="AG191" s="532" t="e">
        <f>IF(NFI_Expiration=1,IF(#REF!&lt;VLOOKUP(P$5,NFI,5,0),1,0)*Table_NFI[[#This Row],[Blanket]],Table_NFI[[#This Row],[Blanket]])</f>
        <v>#REF!</v>
      </c>
      <c r="AH191" s="532" t="e">
        <f>IF(NFI_Expiration=1,IF(#REF!&lt;VLOOKUP(Q$5,NFI,5,0),1,0)*Table_NFI[[#This Row],[Kitchen Set]],Table_NFI[Kitchen Set])</f>
        <v>#REF!</v>
      </c>
      <c r="AI191" s="532" t="e">
        <f>IF(NFI_Expiration=1,IF(#REF!&lt;VLOOKUP(R$5,NFI,5,0),1,0)*Table_NFI[[#This Row],[Clothes Kit]],Table_NFI[Clothes Kit])</f>
        <v>#REF!</v>
      </c>
      <c r="AJ191" s="532" t="e">
        <f>IF(NFI_Expiration=1,IF(#REF!&lt;VLOOKUP(S$5,NFI,5,0),1,0)*Table_NFI[[#This Row],[Plastic Bucket]],Table_NFI[Plastic Bucket])</f>
        <v>#REF!</v>
      </c>
      <c r="AK191" s="532" t="e">
        <f>IF(NFI_Expiration=1,IF(#REF!&lt;VLOOKUP(T$5,NFI,5,0),1,0)*Table_NFI[[#This Row],[Plastic Mat]],Table_NFI[Plastic Mat])*IF(Table_NFI[[#This Row],[Distribution Date]]&gt;"2014-04-01",1,2.5)</f>
        <v>#REF!</v>
      </c>
      <c r="AL191" s="532" t="e">
        <f>IF(NFI_Expiration=1,IF(#REF!&lt;VLOOKUP(U$5,NFI,5,0),1,0)*Table_NFI[[#This Row],[Winter Clothes Adult]],Table_NFI[Winter Clothes Adult])</f>
        <v>#REF!</v>
      </c>
      <c r="AM191" s="532"/>
      <c r="AN191" s="532"/>
      <c r="AO191" s="532"/>
      <c r="AP191" s="532">
        <f>IF(Table_NFI[[#This Row],[Winter Clothes Adult]]+Table_NFI[[#This Row],[Winter Clothes Children]]+Table_NFI[[#This Row],[Winter Items Other]]+Table_NFI[[#This Row],[Winter Blanket]]&gt;0,1,0)</f>
        <v>1</v>
      </c>
      <c r="AQ191" s="532"/>
      <c r="AR191" s="532"/>
      <c r="AS191" s="532"/>
      <c r="AT191" s="532"/>
      <c r="AU191" s="532"/>
      <c r="AV191" s="532"/>
      <c r="AW191" s="532"/>
      <c r="AX191" s="203" t="str">
        <f>IFERROR(VLOOKUP(Table_NFI[[#This Row],[Location]],CL,2,0),"")</f>
        <v>MMR015CMP003</v>
      </c>
      <c r="AY191" s="181" t="s">
        <v>1592</v>
      </c>
      <c r="AZ191" s="524"/>
      <c r="DS191" s="181"/>
      <c r="DT191" s="181"/>
    </row>
    <row r="192" spans="2:124" hidden="1" x14ac:dyDescent="0.3">
      <c r="B192" s="530">
        <v>43115</v>
      </c>
      <c r="C192" s="530" t="str">
        <f>MONTH(Table_NFI[[#This Row],[Distribution Date]]) &amp; "/" &amp; YEAR(Table_NFI[[#This Row],[Distribution Date]])</f>
        <v>1/2018</v>
      </c>
      <c r="D192" s="196" t="s">
        <v>1452</v>
      </c>
      <c r="E192" s="196"/>
      <c r="F192" s="196" t="s">
        <v>506</v>
      </c>
      <c r="G192" s="195" t="s">
        <v>288</v>
      </c>
      <c r="H192" s="196" t="s">
        <v>291</v>
      </c>
      <c r="I192" s="181">
        <v>8</v>
      </c>
      <c r="J192" s="531"/>
      <c r="K192" s="531"/>
      <c r="L192" s="531"/>
      <c r="M192" s="531"/>
      <c r="N192" s="531"/>
      <c r="O192" s="531"/>
      <c r="P192" s="531"/>
      <c r="Q192" s="531">
        <v>8</v>
      </c>
      <c r="R192" s="531"/>
      <c r="S192" s="531">
        <v>8</v>
      </c>
      <c r="T192" s="531"/>
      <c r="U192" s="531"/>
      <c r="V192" s="531"/>
      <c r="W192" s="531"/>
      <c r="X192" s="531">
        <v>8</v>
      </c>
      <c r="Y192" s="531"/>
      <c r="Z192" s="531"/>
      <c r="AA192" s="531"/>
      <c r="AB192" s="531"/>
      <c r="AC192" s="532" t="e">
        <f>IF(NFI_Expiration=1,IF(#REF!&lt;VLOOKUP(L$5,NFI,5,0),1,0)*Table_NFI[[#This Row],[NFI Core Kit]],Table_NFI[NFI Core Kit])</f>
        <v>#REF!</v>
      </c>
      <c r="AD192" s="532" t="e">
        <f>IF(NFI_Expiration=1,IF(#REF!&lt;VLOOKUP(M$5,NFI,5,0),1,0)*Table_NFI[[#This Row],[Sanitary Kit]],Table_NFI[Sanitary Kit])</f>
        <v>#REF!</v>
      </c>
      <c r="AE192" s="532" t="e">
        <f>IF(NFI_Expiration=1,IF(#REF!&lt;VLOOKUP(N$5,NFI,5,0),1,0)*Table_NFI[[#This Row],[Mosquito net]],Table_NFI[Mosquito net])</f>
        <v>#REF!</v>
      </c>
      <c r="AF192" s="532" t="e">
        <f>IF(NFI_Expiration=1,IF(#REF!&lt;VLOOKUP(O$5,NFI,5,0),1,0)*Table_NFI[[#This Row],[Tarpaulin]],Table_NFI[[#This Row],[Tarpaulin]])</f>
        <v>#REF!</v>
      </c>
      <c r="AG192" s="532" t="e">
        <f>IF(NFI_Expiration=1,IF(#REF!&lt;VLOOKUP(P$5,NFI,5,0),1,0)*Table_NFI[[#This Row],[Blanket]],Table_NFI[[#This Row],[Blanket]])</f>
        <v>#REF!</v>
      </c>
      <c r="AH192" s="532" t="e">
        <f>IF(NFI_Expiration=1,IF(#REF!&lt;VLOOKUP(Q$5,NFI,5,0),1,0)*Table_NFI[[#This Row],[Kitchen Set]],Table_NFI[Kitchen Set])</f>
        <v>#REF!</v>
      </c>
      <c r="AI192" s="532" t="e">
        <f>IF(NFI_Expiration=1,IF(#REF!&lt;VLOOKUP(R$5,NFI,5,0),1,0)*Table_NFI[[#This Row],[Clothes Kit]],Table_NFI[Clothes Kit])</f>
        <v>#REF!</v>
      </c>
      <c r="AJ192" s="532" t="e">
        <f>IF(NFI_Expiration=1,IF(#REF!&lt;VLOOKUP(S$5,NFI,5,0),1,0)*Table_NFI[[#This Row],[Plastic Bucket]],Table_NFI[Plastic Bucket])</f>
        <v>#REF!</v>
      </c>
      <c r="AK192" s="532" t="e">
        <f>IF(NFI_Expiration=1,IF(#REF!&lt;VLOOKUP(T$5,NFI,5,0),1,0)*Table_NFI[[#This Row],[Plastic Mat]],Table_NFI[Plastic Mat])*IF(Table_NFI[[#This Row],[Distribution Date]]&gt;"2014-04-01",1,2.5)</f>
        <v>#REF!</v>
      </c>
      <c r="AL192" s="532" t="e">
        <f>IF(NFI_Expiration=1,IF(#REF!&lt;VLOOKUP(U$5,NFI,5,0),1,0)*Table_NFI[[#This Row],[Winter Clothes Adult]],Table_NFI[Winter Clothes Adult])</f>
        <v>#REF!</v>
      </c>
      <c r="AM192" s="532"/>
      <c r="AN192" s="532"/>
      <c r="AO192" s="532"/>
      <c r="AP192" s="532">
        <f>IF(Table_NFI[[#This Row],[Winter Clothes Adult]]+Table_NFI[[#This Row],[Winter Clothes Children]]+Table_NFI[[#This Row],[Winter Items Other]]+Table_NFI[[#This Row],[Winter Blanket]]&gt;0,1,0)</f>
        <v>1</v>
      </c>
      <c r="AQ192" s="532"/>
      <c r="AR192" s="532"/>
      <c r="AS192" s="532"/>
      <c r="AT192" s="532"/>
      <c r="AU192" s="532"/>
      <c r="AV192" s="532"/>
      <c r="AW192" s="532"/>
      <c r="AX192" s="203" t="str">
        <f>IFERROR(VLOOKUP(Table_NFI[[#This Row],[Location]],CL,2,0),"")</f>
        <v>MMR015CMP004</v>
      </c>
      <c r="AY192" s="181" t="s">
        <v>1592</v>
      </c>
      <c r="AZ192" s="524"/>
      <c r="DS192" s="181"/>
      <c r="DT192" s="181"/>
    </row>
    <row r="193" spans="2:124" hidden="1" x14ac:dyDescent="0.3">
      <c r="B193" s="530">
        <v>43115</v>
      </c>
      <c r="C193" s="530" t="str">
        <f>MONTH(Table_NFI[[#This Row],[Distribution Date]]) &amp; "/" &amp; YEAR(Table_NFI[[#This Row],[Distribution Date]])</f>
        <v>1/2018</v>
      </c>
      <c r="D193" s="196" t="s">
        <v>1452</v>
      </c>
      <c r="E193" s="196"/>
      <c r="F193" s="196" t="s">
        <v>506</v>
      </c>
      <c r="G193" s="195" t="s">
        <v>288</v>
      </c>
      <c r="H193" s="196" t="s">
        <v>915</v>
      </c>
      <c r="I193" s="181">
        <v>15</v>
      </c>
      <c r="J193" s="531"/>
      <c r="K193" s="531"/>
      <c r="L193" s="531"/>
      <c r="M193" s="531"/>
      <c r="N193" s="531"/>
      <c r="O193" s="531"/>
      <c r="P193" s="531"/>
      <c r="Q193" s="531">
        <v>15</v>
      </c>
      <c r="R193" s="531"/>
      <c r="S193" s="531">
        <v>15</v>
      </c>
      <c r="T193" s="531"/>
      <c r="U193" s="531"/>
      <c r="V193" s="531"/>
      <c r="W193" s="531"/>
      <c r="X193" s="531">
        <v>15</v>
      </c>
      <c r="Y193" s="531"/>
      <c r="Z193" s="531"/>
      <c r="AA193" s="531"/>
      <c r="AB193" s="531"/>
      <c r="AC193" s="532" t="e">
        <f>IF(NFI_Expiration=1,IF(#REF!&lt;VLOOKUP(L$5,NFI,5,0),1,0)*Table_NFI[[#This Row],[NFI Core Kit]],Table_NFI[NFI Core Kit])</f>
        <v>#REF!</v>
      </c>
      <c r="AD193" s="532" t="e">
        <f>IF(NFI_Expiration=1,IF(#REF!&lt;VLOOKUP(M$5,NFI,5,0),1,0)*Table_NFI[[#This Row],[Sanitary Kit]],Table_NFI[Sanitary Kit])</f>
        <v>#REF!</v>
      </c>
      <c r="AE193" s="532" t="e">
        <f>IF(NFI_Expiration=1,IF(#REF!&lt;VLOOKUP(N$5,NFI,5,0),1,0)*Table_NFI[[#This Row],[Mosquito net]],Table_NFI[Mosquito net])</f>
        <v>#REF!</v>
      </c>
      <c r="AF193" s="532" t="e">
        <f>IF(NFI_Expiration=1,IF(#REF!&lt;VLOOKUP(O$5,NFI,5,0),1,0)*Table_NFI[[#This Row],[Tarpaulin]],Table_NFI[[#This Row],[Tarpaulin]])</f>
        <v>#REF!</v>
      </c>
      <c r="AG193" s="532" t="e">
        <f>IF(NFI_Expiration=1,IF(#REF!&lt;VLOOKUP(P$5,NFI,5,0),1,0)*Table_NFI[[#This Row],[Blanket]],Table_NFI[[#This Row],[Blanket]])</f>
        <v>#REF!</v>
      </c>
      <c r="AH193" s="532" t="e">
        <f>IF(NFI_Expiration=1,IF(#REF!&lt;VLOOKUP(Q$5,NFI,5,0),1,0)*Table_NFI[[#This Row],[Kitchen Set]],Table_NFI[Kitchen Set])</f>
        <v>#REF!</v>
      </c>
      <c r="AI193" s="532" t="e">
        <f>IF(NFI_Expiration=1,IF(#REF!&lt;VLOOKUP(R$5,NFI,5,0),1,0)*Table_NFI[[#This Row],[Clothes Kit]],Table_NFI[Clothes Kit])</f>
        <v>#REF!</v>
      </c>
      <c r="AJ193" s="532" t="e">
        <f>IF(NFI_Expiration=1,IF(#REF!&lt;VLOOKUP(S$5,NFI,5,0),1,0)*Table_NFI[[#This Row],[Plastic Bucket]],Table_NFI[Plastic Bucket])</f>
        <v>#REF!</v>
      </c>
      <c r="AK193" s="532" t="e">
        <f>IF(NFI_Expiration=1,IF(#REF!&lt;VLOOKUP(T$5,NFI,5,0),1,0)*Table_NFI[[#This Row],[Plastic Mat]],Table_NFI[Plastic Mat])*IF(Table_NFI[[#This Row],[Distribution Date]]&gt;"2014-04-01",1,2.5)</f>
        <v>#REF!</v>
      </c>
      <c r="AL193" s="532" t="e">
        <f>IF(NFI_Expiration=1,IF(#REF!&lt;VLOOKUP(U$5,NFI,5,0),1,0)*Table_NFI[[#This Row],[Winter Clothes Adult]],Table_NFI[Winter Clothes Adult])</f>
        <v>#REF!</v>
      </c>
      <c r="AM193" s="532"/>
      <c r="AN193" s="532"/>
      <c r="AO193" s="532"/>
      <c r="AP193" s="532">
        <f>IF(Table_NFI[[#This Row],[Winter Clothes Adult]]+Table_NFI[[#This Row],[Winter Clothes Children]]+Table_NFI[[#This Row],[Winter Items Other]]+Table_NFI[[#This Row],[Winter Blanket]]&gt;0,1,0)</f>
        <v>1</v>
      </c>
      <c r="AQ193" s="532"/>
      <c r="AR193" s="532"/>
      <c r="AS193" s="532"/>
      <c r="AT193" s="532"/>
      <c r="AU193" s="532"/>
      <c r="AV193" s="532"/>
      <c r="AW193" s="532"/>
      <c r="AX193" s="203" t="str">
        <f>IFERROR(VLOOKUP(Table_NFI[[#This Row],[Location]],CL,2,0),"")</f>
        <v>MMR015CMP215</v>
      </c>
      <c r="AY193" s="181" t="s">
        <v>1592</v>
      </c>
      <c r="AZ193" s="524"/>
      <c r="DS193" s="181"/>
      <c r="DT193" s="181"/>
    </row>
    <row r="194" spans="2:124" hidden="1" x14ac:dyDescent="0.3">
      <c r="B194" s="530">
        <v>43116</v>
      </c>
      <c r="C194" s="530" t="str">
        <f>MONTH(Table_NFI[[#This Row],[Distribution Date]]) &amp; "/" &amp; YEAR(Table_NFI[[#This Row],[Distribution Date]])</f>
        <v>1/2018</v>
      </c>
      <c r="D194" s="196" t="s">
        <v>1452</v>
      </c>
      <c r="E194" s="196"/>
      <c r="F194" s="196" t="s">
        <v>378</v>
      </c>
      <c r="G194" s="195" t="s">
        <v>151</v>
      </c>
      <c r="H194" s="196" t="s">
        <v>909</v>
      </c>
      <c r="I194" s="181"/>
      <c r="J194" s="531">
        <v>8</v>
      </c>
      <c r="K194" s="531"/>
      <c r="L194" s="531"/>
      <c r="M194" s="531"/>
      <c r="N194" s="531"/>
      <c r="O194" s="531"/>
      <c r="P194" s="531"/>
      <c r="Q194" s="531">
        <v>8</v>
      </c>
      <c r="R194" s="531"/>
      <c r="S194" s="531"/>
      <c r="T194" s="531"/>
      <c r="U194" s="531">
        <v>8</v>
      </c>
      <c r="V194" s="531">
        <v>8</v>
      </c>
      <c r="W194" s="531">
        <v>8</v>
      </c>
      <c r="X194" s="531">
        <v>8</v>
      </c>
      <c r="Y194" s="531"/>
      <c r="Z194" s="531"/>
      <c r="AA194" s="531"/>
      <c r="AB194" s="531"/>
      <c r="AC194" s="532" t="e">
        <f>IF(NFI_Expiration=1,IF(#REF!&lt;VLOOKUP(L$5,NFI,5,0),1,0)*Table_NFI[[#This Row],[NFI Core Kit]],Table_NFI[NFI Core Kit])</f>
        <v>#REF!</v>
      </c>
      <c r="AD194" s="532" t="e">
        <f>IF(NFI_Expiration=1,IF(#REF!&lt;VLOOKUP(M$5,NFI,5,0),1,0)*Table_NFI[[#This Row],[Sanitary Kit]],Table_NFI[Sanitary Kit])</f>
        <v>#REF!</v>
      </c>
      <c r="AE194" s="532" t="e">
        <f>IF(NFI_Expiration=1,IF(#REF!&lt;VLOOKUP(N$5,NFI,5,0),1,0)*Table_NFI[[#This Row],[Mosquito net]],Table_NFI[Mosquito net])</f>
        <v>#REF!</v>
      </c>
      <c r="AF194" s="532" t="e">
        <f>IF(NFI_Expiration=1,IF(#REF!&lt;VLOOKUP(O$5,NFI,5,0),1,0)*Table_NFI[[#This Row],[Tarpaulin]],Table_NFI[[#This Row],[Tarpaulin]])</f>
        <v>#REF!</v>
      </c>
      <c r="AG194" s="532" t="e">
        <f>IF(NFI_Expiration=1,IF(#REF!&lt;VLOOKUP(P$5,NFI,5,0),1,0)*Table_NFI[[#This Row],[Blanket]],Table_NFI[[#This Row],[Blanket]])</f>
        <v>#REF!</v>
      </c>
      <c r="AH194" s="532" t="e">
        <f>IF(NFI_Expiration=1,IF(#REF!&lt;VLOOKUP(Q$5,NFI,5,0),1,0)*Table_NFI[[#This Row],[Kitchen Set]],Table_NFI[Kitchen Set])</f>
        <v>#REF!</v>
      </c>
      <c r="AI194" s="532" t="e">
        <f>IF(NFI_Expiration=1,IF(#REF!&lt;VLOOKUP(R$5,NFI,5,0),1,0)*Table_NFI[[#This Row],[Clothes Kit]],Table_NFI[Clothes Kit])</f>
        <v>#REF!</v>
      </c>
      <c r="AJ194" s="532" t="e">
        <f>IF(NFI_Expiration=1,IF(#REF!&lt;VLOOKUP(S$5,NFI,5,0),1,0)*Table_NFI[[#This Row],[Plastic Bucket]],Table_NFI[Plastic Bucket])</f>
        <v>#REF!</v>
      </c>
      <c r="AK194" s="532" t="e">
        <f>IF(NFI_Expiration=1,IF(#REF!&lt;VLOOKUP(T$5,NFI,5,0),1,0)*Table_NFI[[#This Row],[Plastic Mat]],Table_NFI[Plastic Mat])*IF(Table_NFI[[#This Row],[Distribution Date]]&gt;"2014-04-01",1,2.5)</f>
        <v>#REF!</v>
      </c>
      <c r="AL194" s="532" t="e">
        <f>IF(NFI_Expiration=1,IF(#REF!&lt;VLOOKUP(U$5,NFI,5,0),1,0)*Table_NFI[[#This Row],[Winter Clothes Adult]],Table_NFI[Winter Clothes Adult])</f>
        <v>#REF!</v>
      </c>
      <c r="AM194" s="532"/>
      <c r="AN194" s="532"/>
      <c r="AO194" s="532"/>
      <c r="AP194" s="532">
        <f>IF(Table_NFI[[#This Row],[Winter Clothes Adult]]+Table_NFI[[#This Row],[Winter Clothes Children]]+Table_NFI[[#This Row],[Winter Items Other]]+Table_NFI[[#This Row],[Winter Blanket]]&gt;0,1,0)</f>
        <v>1</v>
      </c>
      <c r="AQ194" s="532"/>
      <c r="AR194" s="532"/>
      <c r="AS194" s="532"/>
      <c r="AT194" s="532"/>
      <c r="AU194" s="532"/>
      <c r="AV194" s="532"/>
      <c r="AW194" s="532"/>
      <c r="AX194" s="203" t="str">
        <f>IFERROR(VLOOKUP(Table_NFI[[#This Row],[Location]],CL,2,0),"")</f>
        <v>MMR001CMP228</v>
      </c>
      <c r="AY194" s="181" t="s">
        <v>1593</v>
      </c>
      <c r="AZ194" s="524"/>
      <c r="DS194" s="181"/>
      <c r="DT194" s="181"/>
    </row>
    <row r="195" spans="2:124" hidden="1" x14ac:dyDescent="0.3">
      <c r="B195" s="530">
        <v>43116</v>
      </c>
      <c r="C195" s="530" t="str">
        <f>MONTH(Table_NFI[[#This Row],[Distribution Date]]) &amp; "/" &amp; YEAR(Table_NFI[[#This Row],[Distribution Date]])</f>
        <v>1/2018</v>
      </c>
      <c r="D195" s="196" t="s">
        <v>1452</v>
      </c>
      <c r="E195" s="196"/>
      <c r="F195" s="196" t="s">
        <v>378</v>
      </c>
      <c r="G195" s="195" t="s">
        <v>151</v>
      </c>
      <c r="H195" s="196" t="s">
        <v>160</v>
      </c>
      <c r="I195" s="181"/>
      <c r="J195" s="531">
        <v>1</v>
      </c>
      <c r="K195" s="531"/>
      <c r="L195" s="531"/>
      <c r="M195" s="531"/>
      <c r="N195" s="531"/>
      <c r="O195" s="531"/>
      <c r="P195" s="531"/>
      <c r="Q195" s="531">
        <v>1</v>
      </c>
      <c r="R195" s="531"/>
      <c r="S195" s="531"/>
      <c r="T195" s="531"/>
      <c r="U195" s="531">
        <v>1</v>
      </c>
      <c r="V195" s="531">
        <v>1</v>
      </c>
      <c r="W195" s="531">
        <v>1</v>
      </c>
      <c r="X195" s="531">
        <v>1</v>
      </c>
      <c r="Y195" s="531"/>
      <c r="Z195" s="531"/>
      <c r="AA195" s="531"/>
      <c r="AB195" s="531"/>
      <c r="AC195" s="532" t="e">
        <f>IF(NFI_Expiration=1,IF(#REF!&lt;VLOOKUP(L$5,NFI,5,0),1,0)*Table_NFI[[#This Row],[NFI Core Kit]],Table_NFI[NFI Core Kit])</f>
        <v>#REF!</v>
      </c>
      <c r="AD195" s="532" t="e">
        <f>IF(NFI_Expiration=1,IF(#REF!&lt;VLOOKUP(M$5,NFI,5,0),1,0)*Table_NFI[[#This Row],[Sanitary Kit]],Table_NFI[Sanitary Kit])</f>
        <v>#REF!</v>
      </c>
      <c r="AE195" s="532" t="e">
        <f>IF(NFI_Expiration=1,IF(#REF!&lt;VLOOKUP(N$5,NFI,5,0),1,0)*Table_NFI[[#This Row],[Mosquito net]],Table_NFI[Mosquito net])</f>
        <v>#REF!</v>
      </c>
      <c r="AF195" s="532" t="e">
        <f>IF(NFI_Expiration=1,IF(#REF!&lt;VLOOKUP(O$5,NFI,5,0),1,0)*Table_NFI[[#This Row],[Tarpaulin]],Table_NFI[[#This Row],[Tarpaulin]])</f>
        <v>#REF!</v>
      </c>
      <c r="AG195" s="532" t="e">
        <f>IF(NFI_Expiration=1,IF(#REF!&lt;VLOOKUP(P$5,NFI,5,0),1,0)*Table_NFI[[#This Row],[Blanket]],Table_NFI[[#This Row],[Blanket]])</f>
        <v>#REF!</v>
      </c>
      <c r="AH195" s="532" t="e">
        <f>IF(NFI_Expiration=1,IF(#REF!&lt;VLOOKUP(Q$5,NFI,5,0),1,0)*Table_NFI[[#This Row],[Kitchen Set]],Table_NFI[Kitchen Set])</f>
        <v>#REF!</v>
      </c>
      <c r="AI195" s="532" t="e">
        <f>IF(NFI_Expiration=1,IF(#REF!&lt;VLOOKUP(R$5,NFI,5,0),1,0)*Table_NFI[[#This Row],[Clothes Kit]],Table_NFI[Clothes Kit])</f>
        <v>#REF!</v>
      </c>
      <c r="AJ195" s="532" t="e">
        <f>IF(NFI_Expiration=1,IF(#REF!&lt;VLOOKUP(S$5,NFI,5,0),1,0)*Table_NFI[[#This Row],[Plastic Bucket]],Table_NFI[Plastic Bucket])</f>
        <v>#REF!</v>
      </c>
      <c r="AK195" s="532" t="e">
        <f>IF(NFI_Expiration=1,IF(#REF!&lt;VLOOKUP(T$5,NFI,5,0),1,0)*Table_NFI[[#This Row],[Plastic Mat]],Table_NFI[Plastic Mat])*IF(Table_NFI[[#This Row],[Distribution Date]]&gt;"2014-04-01",1,2.5)</f>
        <v>#REF!</v>
      </c>
      <c r="AL195" s="532" t="e">
        <f>IF(NFI_Expiration=1,IF(#REF!&lt;VLOOKUP(U$5,NFI,5,0),1,0)*Table_NFI[[#This Row],[Winter Clothes Adult]],Table_NFI[Winter Clothes Adult])</f>
        <v>#REF!</v>
      </c>
      <c r="AM195" s="532"/>
      <c r="AN195" s="532"/>
      <c r="AO195" s="532"/>
      <c r="AP195" s="532">
        <f>IF(Table_NFI[[#This Row],[Winter Clothes Adult]]+Table_NFI[[#This Row],[Winter Clothes Children]]+Table_NFI[[#This Row],[Winter Items Other]]+Table_NFI[[#This Row],[Winter Blanket]]&gt;0,1,0)</f>
        <v>1</v>
      </c>
      <c r="AQ195" s="532"/>
      <c r="AR195" s="532"/>
      <c r="AS195" s="532"/>
      <c r="AT195" s="532"/>
      <c r="AU195" s="532"/>
      <c r="AV195" s="532"/>
      <c r="AW195" s="532"/>
      <c r="AX195" s="203" t="str">
        <f>IFERROR(VLOOKUP(Table_NFI[[#This Row],[Location]],CL,2,0),"")</f>
        <v>MMR001CMP133</v>
      </c>
      <c r="AY195" s="181" t="s">
        <v>1594</v>
      </c>
      <c r="AZ195" s="524"/>
      <c r="DS195" s="181"/>
      <c r="DT195" s="181"/>
    </row>
    <row r="196" spans="2:124" hidden="1" x14ac:dyDescent="0.3">
      <c r="B196" s="530">
        <v>43116</v>
      </c>
      <c r="C196" s="530" t="str">
        <f>MONTH(Table_NFI[[#This Row],[Distribution Date]]) &amp; "/" &amp; YEAR(Table_NFI[[#This Row],[Distribution Date]])</f>
        <v>1/2018</v>
      </c>
      <c r="D196" s="196" t="s">
        <v>1452</v>
      </c>
      <c r="E196" s="196"/>
      <c r="F196" s="196" t="s">
        <v>378</v>
      </c>
      <c r="G196" s="195" t="s">
        <v>151</v>
      </c>
      <c r="H196" s="196" t="s">
        <v>936</v>
      </c>
      <c r="I196" s="181"/>
      <c r="J196" s="531">
        <v>25</v>
      </c>
      <c r="K196" s="531"/>
      <c r="L196" s="531"/>
      <c r="M196" s="531"/>
      <c r="N196" s="531"/>
      <c r="O196" s="531"/>
      <c r="P196" s="531"/>
      <c r="Q196" s="531">
        <v>25</v>
      </c>
      <c r="R196" s="531"/>
      <c r="S196" s="531"/>
      <c r="T196" s="531"/>
      <c r="U196" s="531">
        <v>25</v>
      </c>
      <c r="V196" s="531">
        <v>25</v>
      </c>
      <c r="W196" s="531">
        <v>25</v>
      </c>
      <c r="X196" s="531">
        <v>25</v>
      </c>
      <c r="Y196" s="531"/>
      <c r="Z196" s="531"/>
      <c r="AA196" s="531"/>
      <c r="AB196" s="531"/>
      <c r="AC196" s="532" t="e">
        <f>IF(NFI_Expiration=1,IF(#REF!&lt;VLOOKUP(L$5,NFI,5,0),1,0)*Table_NFI[[#This Row],[NFI Core Kit]],Table_NFI[NFI Core Kit])</f>
        <v>#REF!</v>
      </c>
      <c r="AD196" s="532" t="e">
        <f>IF(NFI_Expiration=1,IF(#REF!&lt;VLOOKUP(M$5,NFI,5,0),1,0)*Table_NFI[[#This Row],[Sanitary Kit]],Table_NFI[Sanitary Kit])</f>
        <v>#REF!</v>
      </c>
      <c r="AE196" s="532" t="e">
        <f>IF(NFI_Expiration=1,IF(#REF!&lt;VLOOKUP(N$5,NFI,5,0),1,0)*Table_NFI[[#This Row],[Mosquito net]],Table_NFI[Mosquito net])</f>
        <v>#REF!</v>
      </c>
      <c r="AF196" s="532" t="e">
        <f>IF(NFI_Expiration=1,IF(#REF!&lt;VLOOKUP(O$5,NFI,5,0),1,0)*Table_NFI[[#This Row],[Tarpaulin]],Table_NFI[[#This Row],[Tarpaulin]])</f>
        <v>#REF!</v>
      </c>
      <c r="AG196" s="532" t="e">
        <f>IF(NFI_Expiration=1,IF(#REF!&lt;VLOOKUP(P$5,NFI,5,0),1,0)*Table_NFI[[#This Row],[Blanket]],Table_NFI[[#This Row],[Blanket]])</f>
        <v>#REF!</v>
      </c>
      <c r="AH196" s="532" t="e">
        <f>IF(NFI_Expiration=1,IF(#REF!&lt;VLOOKUP(Q$5,NFI,5,0),1,0)*Table_NFI[[#This Row],[Kitchen Set]],Table_NFI[Kitchen Set])</f>
        <v>#REF!</v>
      </c>
      <c r="AI196" s="532" t="e">
        <f>IF(NFI_Expiration=1,IF(#REF!&lt;VLOOKUP(R$5,NFI,5,0),1,0)*Table_NFI[[#This Row],[Clothes Kit]],Table_NFI[Clothes Kit])</f>
        <v>#REF!</v>
      </c>
      <c r="AJ196" s="532" t="e">
        <f>IF(NFI_Expiration=1,IF(#REF!&lt;VLOOKUP(S$5,NFI,5,0),1,0)*Table_NFI[[#This Row],[Plastic Bucket]],Table_NFI[Plastic Bucket])</f>
        <v>#REF!</v>
      </c>
      <c r="AK196" s="532" t="e">
        <f>IF(NFI_Expiration=1,IF(#REF!&lt;VLOOKUP(T$5,NFI,5,0),1,0)*Table_NFI[[#This Row],[Plastic Mat]],Table_NFI[Plastic Mat])*IF(Table_NFI[[#This Row],[Distribution Date]]&gt;"2014-04-01",1,2.5)</f>
        <v>#REF!</v>
      </c>
      <c r="AL196" s="532" t="e">
        <f>IF(NFI_Expiration=1,IF(#REF!&lt;VLOOKUP(U$5,NFI,5,0),1,0)*Table_NFI[[#This Row],[Winter Clothes Adult]],Table_NFI[Winter Clothes Adult])</f>
        <v>#REF!</v>
      </c>
      <c r="AM196" s="532"/>
      <c r="AN196" s="532"/>
      <c r="AO196" s="532"/>
      <c r="AP196" s="532">
        <f>IF(Table_NFI[[#This Row],[Winter Clothes Adult]]+Table_NFI[[#This Row],[Winter Clothes Children]]+Table_NFI[[#This Row],[Winter Items Other]]+Table_NFI[[#This Row],[Winter Blanket]]&gt;0,1,0)</f>
        <v>1</v>
      </c>
      <c r="AQ196" s="532"/>
      <c r="AR196" s="532"/>
      <c r="AS196" s="532"/>
      <c r="AT196" s="532"/>
      <c r="AU196" s="532"/>
      <c r="AV196" s="532"/>
      <c r="AW196" s="532"/>
      <c r="AX196" s="203" t="str">
        <f>IFERROR(VLOOKUP(Table_NFI[[#This Row],[Location]],CL,2,0),"")</f>
        <v>MMR001CMP230</v>
      </c>
      <c r="AY196" s="181" t="s">
        <v>1595</v>
      </c>
      <c r="AZ196" s="524"/>
      <c r="DS196" s="181"/>
      <c r="DT196" s="181"/>
    </row>
    <row r="197" spans="2:124" hidden="1" x14ac:dyDescent="0.3">
      <c r="B197" s="530">
        <v>43125</v>
      </c>
      <c r="C197" s="530" t="str">
        <f>MONTH(Table_NFI[[#This Row],[Distribution Date]]) &amp; "/" &amp; YEAR(Table_NFI[[#This Row],[Distribution Date]])</f>
        <v>1/2018</v>
      </c>
      <c r="D197" s="196" t="s">
        <v>1452</v>
      </c>
      <c r="E197" s="196"/>
      <c r="F197" s="196" t="s">
        <v>506</v>
      </c>
      <c r="G197" s="195" t="s">
        <v>297</v>
      </c>
      <c r="H197" s="196" t="s">
        <v>1189</v>
      </c>
      <c r="I197" s="181">
        <v>1</v>
      </c>
      <c r="J197" s="531"/>
      <c r="K197" s="531"/>
      <c r="L197" s="531"/>
      <c r="M197" s="531">
        <v>7</v>
      </c>
      <c r="N197" s="531"/>
      <c r="O197" s="531"/>
      <c r="P197" s="531"/>
      <c r="Q197" s="531">
        <v>6</v>
      </c>
      <c r="R197" s="531"/>
      <c r="S197" s="531"/>
      <c r="T197" s="531"/>
      <c r="U197" s="531">
        <v>19</v>
      </c>
      <c r="V197" s="531">
        <v>19</v>
      </c>
      <c r="W197" s="531"/>
      <c r="X197" s="531">
        <v>19</v>
      </c>
      <c r="Y197" s="531"/>
      <c r="Z197" s="531"/>
      <c r="AA197" s="531"/>
      <c r="AB197" s="531"/>
      <c r="AC197" s="532" t="e">
        <f>IF(NFI_Expiration=1,IF(#REF!&lt;VLOOKUP(L$5,NFI,5,0),1,0)*Table_NFI[[#This Row],[NFI Core Kit]],Table_NFI[NFI Core Kit])</f>
        <v>#REF!</v>
      </c>
      <c r="AD197" s="532" t="e">
        <f>IF(NFI_Expiration=1,IF(#REF!&lt;VLOOKUP(M$5,NFI,5,0),1,0)*Table_NFI[[#This Row],[Sanitary Kit]],Table_NFI[Sanitary Kit])</f>
        <v>#REF!</v>
      </c>
      <c r="AE197" s="532" t="e">
        <f>IF(NFI_Expiration=1,IF(#REF!&lt;VLOOKUP(N$5,NFI,5,0),1,0)*Table_NFI[[#This Row],[Mosquito net]],Table_NFI[Mosquito net])</f>
        <v>#REF!</v>
      </c>
      <c r="AF197" s="532" t="e">
        <f>IF(NFI_Expiration=1,IF(#REF!&lt;VLOOKUP(O$5,NFI,5,0),1,0)*Table_NFI[[#This Row],[Tarpaulin]],Table_NFI[[#This Row],[Tarpaulin]])</f>
        <v>#REF!</v>
      </c>
      <c r="AG197" s="532" t="e">
        <f>IF(NFI_Expiration=1,IF(#REF!&lt;VLOOKUP(P$5,NFI,5,0),1,0)*Table_NFI[[#This Row],[Blanket]],Table_NFI[[#This Row],[Blanket]])</f>
        <v>#REF!</v>
      </c>
      <c r="AH197" s="532" t="e">
        <f>IF(NFI_Expiration=1,IF(#REF!&lt;VLOOKUP(Q$5,NFI,5,0),1,0)*Table_NFI[[#This Row],[Kitchen Set]],Table_NFI[Kitchen Set])</f>
        <v>#REF!</v>
      </c>
      <c r="AI197" s="532" t="e">
        <f>IF(NFI_Expiration=1,IF(#REF!&lt;VLOOKUP(R$5,NFI,5,0),1,0)*Table_NFI[[#This Row],[Clothes Kit]],Table_NFI[Clothes Kit])</f>
        <v>#REF!</v>
      </c>
      <c r="AJ197" s="532" t="e">
        <f>IF(NFI_Expiration=1,IF(#REF!&lt;VLOOKUP(S$5,NFI,5,0),1,0)*Table_NFI[[#This Row],[Plastic Bucket]],Table_NFI[Plastic Bucket])</f>
        <v>#REF!</v>
      </c>
      <c r="AK197" s="532" t="e">
        <f>IF(NFI_Expiration=1,IF(#REF!&lt;VLOOKUP(T$5,NFI,5,0),1,0)*Table_NFI[[#This Row],[Plastic Mat]],Table_NFI[Plastic Mat])*IF(Table_NFI[[#This Row],[Distribution Date]]&gt;"2014-04-01",1,2.5)</f>
        <v>#REF!</v>
      </c>
      <c r="AL197" s="532" t="e">
        <f>IF(NFI_Expiration=1,IF(#REF!&lt;VLOOKUP(U$5,NFI,5,0),1,0)*Table_NFI[[#This Row],[Winter Clothes Adult]],Table_NFI[Winter Clothes Adult])</f>
        <v>#REF!</v>
      </c>
      <c r="AM197" s="532"/>
      <c r="AN197" s="532"/>
      <c r="AO197" s="532"/>
      <c r="AP197" s="532">
        <f>IF(Table_NFI[[#This Row],[Winter Clothes Adult]]+Table_NFI[[#This Row],[Winter Clothes Children]]+Table_NFI[[#This Row],[Winter Items Other]]+Table_NFI[[#This Row],[Winter Blanket]]&gt;0,1,0)</f>
        <v>1</v>
      </c>
      <c r="AQ197" s="532"/>
      <c r="AR197" s="532"/>
      <c r="AS197" s="532"/>
      <c r="AT197" s="532"/>
      <c r="AU197" s="532"/>
      <c r="AV197" s="532"/>
      <c r="AW197" s="532"/>
      <c r="AX197" s="203" t="str">
        <f>IFERROR(VLOOKUP(Table_NFI[[#This Row],[Location]],CL,2,0),"")</f>
        <v>MMR015CMP232</v>
      </c>
      <c r="AZ197" s="524"/>
      <c r="DS197" s="181"/>
      <c r="DT197" s="181"/>
    </row>
    <row r="198" spans="2:124" hidden="1" x14ac:dyDescent="0.3">
      <c r="B198" s="530">
        <v>43139</v>
      </c>
      <c r="C198" s="530" t="str">
        <f>MONTH(Table_NFI[[#This Row],[Distribution Date]]) &amp; "/" &amp; YEAR(Table_NFI[[#This Row],[Distribution Date]])</f>
        <v>2/2018</v>
      </c>
      <c r="D198" s="196" t="s">
        <v>1452</v>
      </c>
      <c r="E198" s="196"/>
      <c r="F198" s="196" t="s">
        <v>506</v>
      </c>
      <c r="G198" s="195" t="s">
        <v>297</v>
      </c>
      <c r="H198" s="196" t="s">
        <v>759</v>
      </c>
      <c r="I198" s="181">
        <v>18</v>
      </c>
      <c r="J198" s="531"/>
      <c r="K198" s="531"/>
      <c r="L198" s="531"/>
      <c r="M198" s="531"/>
      <c r="N198" s="531"/>
      <c r="O198" s="531"/>
      <c r="P198" s="531"/>
      <c r="Q198" s="531"/>
      <c r="R198" s="531"/>
      <c r="S198" s="531"/>
      <c r="T198" s="531"/>
      <c r="U198" s="531"/>
      <c r="V198" s="531"/>
      <c r="W198" s="531"/>
      <c r="X198" s="531"/>
      <c r="Y198" s="531"/>
      <c r="Z198" s="531"/>
      <c r="AA198" s="531"/>
      <c r="AB198" s="531"/>
      <c r="AC198" s="532" t="e">
        <f>IF(NFI_Expiration=1,IF(#REF!&lt;VLOOKUP(L$5,NFI,5,0),1,0)*Table_NFI[[#This Row],[NFI Core Kit]],Table_NFI[NFI Core Kit])</f>
        <v>#REF!</v>
      </c>
      <c r="AD198" s="532" t="e">
        <f>IF(NFI_Expiration=1,IF(#REF!&lt;VLOOKUP(M$5,NFI,5,0),1,0)*Table_NFI[[#This Row],[Sanitary Kit]],Table_NFI[Sanitary Kit])</f>
        <v>#REF!</v>
      </c>
      <c r="AE198" s="532" t="e">
        <f>IF(NFI_Expiration=1,IF(#REF!&lt;VLOOKUP(N$5,NFI,5,0),1,0)*Table_NFI[[#This Row],[Mosquito net]],Table_NFI[Mosquito net])</f>
        <v>#REF!</v>
      </c>
      <c r="AF198" s="532" t="e">
        <f>IF(NFI_Expiration=1,IF(#REF!&lt;VLOOKUP(O$5,NFI,5,0),1,0)*Table_NFI[[#This Row],[Tarpaulin]],Table_NFI[[#This Row],[Tarpaulin]])</f>
        <v>#REF!</v>
      </c>
      <c r="AG198" s="532" t="e">
        <f>IF(NFI_Expiration=1,IF(#REF!&lt;VLOOKUP(P$5,NFI,5,0),1,0)*Table_NFI[[#This Row],[Blanket]],Table_NFI[[#This Row],[Blanket]])</f>
        <v>#REF!</v>
      </c>
      <c r="AH198" s="532" t="e">
        <f>IF(NFI_Expiration=1,IF(#REF!&lt;VLOOKUP(Q$5,NFI,5,0),1,0)*Table_NFI[[#This Row],[Kitchen Set]],Table_NFI[Kitchen Set])</f>
        <v>#REF!</v>
      </c>
      <c r="AI198" s="532" t="e">
        <f>IF(NFI_Expiration=1,IF(#REF!&lt;VLOOKUP(R$5,NFI,5,0),1,0)*Table_NFI[[#This Row],[Clothes Kit]],Table_NFI[Clothes Kit])</f>
        <v>#REF!</v>
      </c>
      <c r="AJ198" s="532" t="e">
        <f>IF(NFI_Expiration=1,IF(#REF!&lt;VLOOKUP(S$5,NFI,5,0),1,0)*Table_NFI[[#This Row],[Plastic Bucket]],Table_NFI[Plastic Bucket])</f>
        <v>#REF!</v>
      </c>
      <c r="AK198" s="532" t="e">
        <f>IF(NFI_Expiration=1,IF(#REF!&lt;VLOOKUP(T$5,NFI,5,0),1,0)*Table_NFI[[#This Row],[Plastic Mat]],Table_NFI[Plastic Mat])*IF(Table_NFI[[#This Row],[Distribution Date]]&gt;"2014-04-01",1,2.5)</f>
        <v>#REF!</v>
      </c>
      <c r="AL198" s="532" t="e">
        <f>IF(NFI_Expiration=1,IF(#REF!&lt;VLOOKUP(U$5,NFI,5,0),1,0)*Table_NFI[[#This Row],[Winter Clothes Adult]],Table_NFI[Winter Clothes Adult])</f>
        <v>#REF!</v>
      </c>
      <c r="AM198" s="532"/>
      <c r="AN198" s="532"/>
      <c r="AO198" s="532"/>
      <c r="AP198" s="532">
        <f>IF(Table_NFI[[#This Row],[Winter Clothes Adult]]+Table_NFI[[#This Row],[Winter Clothes Children]]+Table_NFI[[#This Row],[Winter Items Other]]+Table_NFI[[#This Row],[Winter Blanket]]&gt;0,1,0)</f>
        <v>0</v>
      </c>
      <c r="AQ198" s="532"/>
      <c r="AR198" s="532"/>
      <c r="AS198" s="532"/>
      <c r="AT198" s="532"/>
      <c r="AU198" s="532"/>
      <c r="AV198" s="532"/>
      <c r="AW198" s="532"/>
      <c r="AX198" s="203" t="str">
        <f>IFERROR(VLOOKUP(Table_NFI[[#This Row],[Location]],CL,2,0),"")</f>
        <v>MMR015CMP014</v>
      </c>
      <c r="AY198" s="181" t="s">
        <v>1596</v>
      </c>
      <c r="AZ198" s="524"/>
      <c r="DS198" s="181"/>
      <c r="DT198" s="181"/>
    </row>
    <row r="199" spans="2:124" hidden="1" x14ac:dyDescent="0.3">
      <c r="B199" s="530">
        <v>43143</v>
      </c>
      <c r="C199" s="530" t="str">
        <f>MONTH(Table_NFI[[#This Row],[Distribution Date]]) &amp; "/" &amp; YEAR(Table_NFI[[#This Row],[Distribution Date]])</f>
        <v>2/2018</v>
      </c>
      <c r="D199" s="196" t="s">
        <v>1452</v>
      </c>
      <c r="E199" s="196"/>
      <c r="F199" s="196" t="s">
        <v>378</v>
      </c>
      <c r="G199" s="195" t="s">
        <v>151</v>
      </c>
      <c r="H199" s="196" t="s">
        <v>154</v>
      </c>
      <c r="I199" s="181"/>
      <c r="J199" s="531">
        <v>8</v>
      </c>
      <c r="K199" s="531"/>
      <c r="L199" s="531"/>
      <c r="M199" s="531"/>
      <c r="N199" s="531"/>
      <c r="O199" s="531"/>
      <c r="P199" s="531"/>
      <c r="Q199" s="531">
        <v>8</v>
      </c>
      <c r="R199" s="531"/>
      <c r="S199" s="531"/>
      <c r="T199" s="531"/>
      <c r="U199" s="531">
        <v>8</v>
      </c>
      <c r="V199" s="531">
        <v>8</v>
      </c>
      <c r="W199" s="531">
        <v>8</v>
      </c>
      <c r="X199" s="531"/>
      <c r="Y199" s="531"/>
      <c r="Z199" s="531"/>
      <c r="AA199" s="531"/>
      <c r="AB199" s="531"/>
      <c r="AC199" s="532" t="e">
        <f>IF(NFI_Expiration=1,IF(#REF!&lt;VLOOKUP(L$5,NFI,5,0),1,0)*Table_NFI[[#This Row],[NFI Core Kit]],Table_NFI[NFI Core Kit])</f>
        <v>#REF!</v>
      </c>
      <c r="AD199" s="532" t="e">
        <f>IF(NFI_Expiration=1,IF(#REF!&lt;VLOOKUP(M$5,NFI,5,0),1,0)*Table_NFI[[#This Row],[Sanitary Kit]],Table_NFI[Sanitary Kit])</f>
        <v>#REF!</v>
      </c>
      <c r="AE199" s="532" t="e">
        <f>IF(NFI_Expiration=1,IF(#REF!&lt;VLOOKUP(N$5,NFI,5,0),1,0)*Table_NFI[[#This Row],[Mosquito net]],Table_NFI[Mosquito net])</f>
        <v>#REF!</v>
      </c>
      <c r="AF199" s="532" t="e">
        <f>IF(NFI_Expiration=1,IF(#REF!&lt;VLOOKUP(O$5,NFI,5,0),1,0)*Table_NFI[[#This Row],[Tarpaulin]],Table_NFI[[#This Row],[Tarpaulin]])</f>
        <v>#REF!</v>
      </c>
      <c r="AG199" s="532" t="e">
        <f>IF(NFI_Expiration=1,IF(#REF!&lt;VLOOKUP(P$5,NFI,5,0),1,0)*Table_NFI[[#This Row],[Blanket]],Table_NFI[[#This Row],[Blanket]])</f>
        <v>#REF!</v>
      </c>
      <c r="AH199" s="532" t="e">
        <f>IF(NFI_Expiration=1,IF(#REF!&lt;VLOOKUP(Q$5,NFI,5,0),1,0)*Table_NFI[[#This Row],[Kitchen Set]],Table_NFI[Kitchen Set])</f>
        <v>#REF!</v>
      </c>
      <c r="AI199" s="532" t="e">
        <f>IF(NFI_Expiration=1,IF(#REF!&lt;VLOOKUP(R$5,NFI,5,0),1,0)*Table_NFI[[#This Row],[Clothes Kit]],Table_NFI[Clothes Kit])</f>
        <v>#REF!</v>
      </c>
      <c r="AJ199" s="532" t="e">
        <f>IF(NFI_Expiration=1,IF(#REF!&lt;VLOOKUP(S$5,NFI,5,0),1,0)*Table_NFI[[#This Row],[Plastic Bucket]],Table_NFI[Plastic Bucket])</f>
        <v>#REF!</v>
      </c>
      <c r="AK199" s="532" t="e">
        <f>IF(NFI_Expiration=1,IF(#REF!&lt;VLOOKUP(T$5,NFI,5,0),1,0)*Table_NFI[[#This Row],[Plastic Mat]],Table_NFI[Plastic Mat])*IF(Table_NFI[[#This Row],[Distribution Date]]&gt;"2014-04-01",1,2.5)</f>
        <v>#REF!</v>
      </c>
      <c r="AL199" s="532" t="e">
        <f>IF(NFI_Expiration=1,IF(#REF!&lt;VLOOKUP(U$5,NFI,5,0),1,0)*Table_NFI[[#This Row],[Winter Clothes Adult]],Table_NFI[Winter Clothes Adult])</f>
        <v>#REF!</v>
      </c>
      <c r="AM199" s="532"/>
      <c r="AN199" s="532"/>
      <c r="AO199" s="532"/>
      <c r="AP199" s="532">
        <f>IF(Table_NFI[[#This Row],[Winter Clothes Adult]]+Table_NFI[[#This Row],[Winter Clothes Children]]+Table_NFI[[#This Row],[Winter Items Other]]+Table_NFI[[#This Row],[Winter Blanket]]&gt;0,1,0)</f>
        <v>1</v>
      </c>
      <c r="AQ199" s="532"/>
      <c r="AR199" s="532"/>
      <c r="AS199" s="532"/>
      <c r="AT199" s="532"/>
      <c r="AU199" s="532"/>
      <c r="AV199" s="532"/>
      <c r="AW199" s="532"/>
      <c r="AX199" s="203" t="str">
        <f>IFERROR(VLOOKUP(Table_NFI[[#This Row],[Location]],CL,2,0),"")</f>
        <v>MMR001CMP132</v>
      </c>
      <c r="AZ199" s="524"/>
      <c r="DS199" s="181"/>
      <c r="DT199" s="181"/>
    </row>
    <row r="200" spans="2:124" hidden="1" x14ac:dyDescent="0.3">
      <c r="B200" s="530">
        <v>43143</v>
      </c>
      <c r="C200" s="530" t="str">
        <f>MONTH(Table_NFI[[#This Row],[Distribution Date]]) &amp; "/" &amp; YEAR(Table_NFI[[#This Row],[Distribution Date]])</f>
        <v>2/2018</v>
      </c>
      <c r="D200" s="196" t="s">
        <v>1452</v>
      </c>
      <c r="E200" s="196"/>
      <c r="F200" s="196" t="s">
        <v>378</v>
      </c>
      <c r="G200" s="195" t="s">
        <v>151</v>
      </c>
      <c r="H200" s="196" t="s">
        <v>909</v>
      </c>
      <c r="I200" s="181">
        <v>1</v>
      </c>
      <c r="J200" s="531"/>
      <c r="K200" s="531"/>
      <c r="L200" s="531"/>
      <c r="M200" s="531"/>
      <c r="N200" s="531"/>
      <c r="O200" s="531"/>
      <c r="P200" s="531"/>
      <c r="Q200" s="531"/>
      <c r="R200" s="531"/>
      <c r="S200" s="531"/>
      <c r="T200" s="531"/>
      <c r="U200" s="531"/>
      <c r="V200" s="531"/>
      <c r="W200" s="531"/>
      <c r="X200" s="531"/>
      <c r="Y200" s="531"/>
      <c r="Z200" s="531"/>
      <c r="AA200" s="531"/>
      <c r="AB200" s="531"/>
      <c r="AC200" s="532" t="e">
        <f>IF(NFI_Expiration=1,IF(#REF!&lt;VLOOKUP(L$5,NFI,5,0),1,0)*Table_NFI[[#This Row],[NFI Core Kit]],Table_NFI[NFI Core Kit])</f>
        <v>#REF!</v>
      </c>
      <c r="AD200" s="532" t="e">
        <f>IF(NFI_Expiration=1,IF(#REF!&lt;VLOOKUP(M$5,NFI,5,0),1,0)*Table_NFI[[#This Row],[Sanitary Kit]],Table_NFI[Sanitary Kit])</f>
        <v>#REF!</v>
      </c>
      <c r="AE200" s="532" t="e">
        <f>IF(NFI_Expiration=1,IF(#REF!&lt;VLOOKUP(N$5,NFI,5,0),1,0)*Table_NFI[[#This Row],[Mosquito net]],Table_NFI[Mosquito net])</f>
        <v>#REF!</v>
      </c>
      <c r="AF200" s="532" t="e">
        <f>IF(NFI_Expiration=1,IF(#REF!&lt;VLOOKUP(O$5,NFI,5,0),1,0)*Table_NFI[[#This Row],[Tarpaulin]],Table_NFI[[#This Row],[Tarpaulin]])</f>
        <v>#REF!</v>
      </c>
      <c r="AG200" s="532" t="e">
        <f>IF(NFI_Expiration=1,IF(#REF!&lt;VLOOKUP(P$5,NFI,5,0),1,0)*Table_NFI[[#This Row],[Blanket]],Table_NFI[[#This Row],[Blanket]])</f>
        <v>#REF!</v>
      </c>
      <c r="AH200" s="532" t="e">
        <f>IF(NFI_Expiration=1,IF(#REF!&lt;VLOOKUP(Q$5,NFI,5,0),1,0)*Table_NFI[[#This Row],[Kitchen Set]],Table_NFI[Kitchen Set])</f>
        <v>#REF!</v>
      </c>
      <c r="AI200" s="532" t="e">
        <f>IF(NFI_Expiration=1,IF(#REF!&lt;VLOOKUP(R$5,NFI,5,0),1,0)*Table_NFI[[#This Row],[Clothes Kit]],Table_NFI[Clothes Kit])</f>
        <v>#REF!</v>
      </c>
      <c r="AJ200" s="532" t="e">
        <f>IF(NFI_Expiration=1,IF(#REF!&lt;VLOOKUP(S$5,NFI,5,0),1,0)*Table_NFI[[#This Row],[Plastic Bucket]],Table_NFI[Plastic Bucket])</f>
        <v>#REF!</v>
      </c>
      <c r="AK200" s="532" t="e">
        <f>IF(NFI_Expiration=1,IF(#REF!&lt;VLOOKUP(T$5,NFI,5,0),1,0)*Table_NFI[[#This Row],[Plastic Mat]],Table_NFI[Plastic Mat])*IF(Table_NFI[[#This Row],[Distribution Date]]&gt;"2014-04-01",1,2.5)</f>
        <v>#REF!</v>
      </c>
      <c r="AL200" s="532" t="e">
        <f>IF(NFI_Expiration=1,IF(#REF!&lt;VLOOKUP(U$5,NFI,5,0),1,0)*Table_NFI[[#This Row],[Winter Clothes Adult]],Table_NFI[Winter Clothes Adult])</f>
        <v>#REF!</v>
      </c>
      <c r="AM200" s="532"/>
      <c r="AN200" s="532"/>
      <c r="AO200" s="532"/>
      <c r="AP200" s="532">
        <f>IF(Table_NFI[[#This Row],[Winter Clothes Adult]]+Table_NFI[[#This Row],[Winter Clothes Children]]+Table_NFI[[#This Row],[Winter Items Other]]+Table_NFI[[#This Row],[Winter Blanket]]&gt;0,1,0)</f>
        <v>0</v>
      </c>
      <c r="AQ200" s="532"/>
      <c r="AR200" s="532"/>
      <c r="AS200" s="532"/>
      <c r="AT200" s="532"/>
      <c r="AU200" s="532"/>
      <c r="AV200" s="532"/>
      <c r="AW200" s="532"/>
      <c r="AX200" s="203" t="str">
        <f>IFERROR(VLOOKUP(Table_NFI[[#This Row],[Location]],CL,2,0),"")</f>
        <v>MMR001CMP228</v>
      </c>
      <c r="AZ200" s="524"/>
      <c r="DS200" s="181"/>
      <c r="DT200" s="181"/>
    </row>
    <row r="201" spans="2:124" hidden="1" x14ac:dyDescent="0.3">
      <c r="B201" s="530">
        <v>43143</v>
      </c>
      <c r="C201" s="530" t="str">
        <f>MONTH(Table_NFI[[#This Row],[Distribution Date]]) &amp; "/" &amp; YEAR(Table_NFI[[#This Row],[Distribution Date]])</f>
        <v>2/2018</v>
      </c>
      <c r="D201" s="196" t="s">
        <v>1452</v>
      </c>
      <c r="E201" s="196"/>
      <c r="F201" s="196" t="s">
        <v>378</v>
      </c>
      <c r="G201" s="195" t="s">
        <v>151</v>
      </c>
      <c r="H201" s="196" t="s">
        <v>936</v>
      </c>
      <c r="I201" s="181">
        <v>1</v>
      </c>
      <c r="J201" s="531"/>
      <c r="K201" s="531"/>
      <c r="L201" s="531"/>
      <c r="M201" s="531"/>
      <c r="N201" s="531"/>
      <c r="O201" s="531"/>
      <c r="P201" s="531"/>
      <c r="Q201" s="531"/>
      <c r="R201" s="531"/>
      <c r="S201" s="531"/>
      <c r="T201" s="531"/>
      <c r="U201" s="531"/>
      <c r="V201" s="531"/>
      <c r="W201" s="531"/>
      <c r="X201" s="531"/>
      <c r="Y201" s="531"/>
      <c r="Z201" s="531"/>
      <c r="AA201" s="531"/>
      <c r="AB201" s="531"/>
      <c r="AC201" s="532" t="e">
        <f>IF(NFI_Expiration=1,IF(#REF!&lt;VLOOKUP(L$5,NFI,5,0),1,0)*Table_NFI[[#This Row],[NFI Core Kit]],Table_NFI[NFI Core Kit])</f>
        <v>#REF!</v>
      </c>
      <c r="AD201" s="532" t="e">
        <f>IF(NFI_Expiration=1,IF(#REF!&lt;VLOOKUP(M$5,NFI,5,0),1,0)*Table_NFI[[#This Row],[Sanitary Kit]],Table_NFI[Sanitary Kit])</f>
        <v>#REF!</v>
      </c>
      <c r="AE201" s="532" t="e">
        <f>IF(NFI_Expiration=1,IF(#REF!&lt;VLOOKUP(N$5,NFI,5,0),1,0)*Table_NFI[[#This Row],[Mosquito net]],Table_NFI[Mosquito net])</f>
        <v>#REF!</v>
      </c>
      <c r="AF201" s="532" t="e">
        <f>IF(NFI_Expiration=1,IF(#REF!&lt;VLOOKUP(O$5,NFI,5,0),1,0)*Table_NFI[[#This Row],[Tarpaulin]],Table_NFI[[#This Row],[Tarpaulin]])</f>
        <v>#REF!</v>
      </c>
      <c r="AG201" s="532" t="e">
        <f>IF(NFI_Expiration=1,IF(#REF!&lt;VLOOKUP(P$5,NFI,5,0),1,0)*Table_NFI[[#This Row],[Blanket]],Table_NFI[[#This Row],[Blanket]])</f>
        <v>#REF!</v>
      </c>
      <c r="AH201" s="532" t="e">
        <f>IF(NFI_Expiration=1,IF(#REF!&lt;VLOOKUP(Q$5,NFI,5,0),1,0)*Table_NFI[[#This Row],[Kitchen Set]],Table_NFI[Kitchen Set])</f>
        <v>#REF!</v>
      </c>
      <c r="AI201" s="532" t="e">
        <f>IF(NFI_Expiration=1,IF(#REF!&lt;VLOOKUP(R$5,NFI,5,0),1,0)*Table_NFI[[#This Row],[Clothes Kit]],Table_NFI[Clothes Kit])</f>
        <v>#REF!</v>
      </c>
      <c r="AJ201" s="532" t="e">
        <f>IF(NFI_Expiration=1,IF(#REF!&lt;VLOOKUP(S$5,NFI,5,0),1,0)*Table_NFI[[#This Row],[Plastic Bucket]],Table_NFI[Plastic Bucket])</f>
        <v>#REF!</v>
      </c>
      <c r="AK201" s="532" t="e">
        <f>IF(NFI_Expiration=1,IF(#REF!&lt;VLOOKUP(T$5,NFI,5,0),1,0)*Table_NFI[[#This Row],[Plastic Mat]],Table_NFI[Plastic Mat])*IF(Table_NFI[[#This Row],[Distribution Date]]&gt;"2014-04-01",1,2.5)</f>
        <v>#REF!</v>
      </c>
      <c r="AL201" s="532" t="e">
        <f>IF(NFI_Expiration=1,IF(#REF!&lt;VLOOKUP(U$5,NFI,5,0),1,0)*Table_NFI[[#This Row],[Winter Clothes Adult]],Table_NFI[Winter Clothes Adult])</f>
        <v>#REF!</v>
      </c>
      <c r="AM201" s="532"/>
      <c r="AN201" s="532"/>
      <c r="AO201" s="532"/>
      <c r="AP201" s="532">
        <f>IF(Table_NFI[[#This Row],[Winter Clothes Adult]]+Table_NFI[[#This Row],[Winter Clothes Children]]+Table_NFI[[#This Row],[Winter Items Other]]+Table_NFI[[#This Row],[Winter Blanket]]&gt;0,1,0)</f>
        <v>0</v>
      </c>
      <c r="AQ201" s="532"/>
      <c r="AR201" s="532"/>
      <c r="AS201" s="532"/>
      <c r="AT201" s="532"/>
      <c r="AU201" s="532"/>
      <c r="AV201" s="532"/>
      <c r="AW201" s="532"/>
      <c r="AX201" s="203" t="str">
        <f>IFERROR(VLOOKUP(Table_NFI[[#This Row],[Location]],CL,2,0),"")</f>
        <v>MMR001CMP230</v>
      </c>
      <c r="AZ201" s="524"/>
      <c r="DS201" s="181"/>
      <c r="DT201" s="181"/>
    </row>
    <row r="202" spans="2:124" hidden="1" x14ac:dyDescent="0.3">
      <c r="B202" s="530">
        <v>43145</v>
      </c>
      <c r="C202" s="530" t="str">
        <f>MONTH(Table_NFI[[#This Row],[Distribution Date]]) &amp; "/" &amp; YEAR(Table_NFI[[#This Row],[Distribution Date]])</f>
        <v>2/2018</v>
      </c>
      <c r="D202" s="196" t="s">
        <v>1452</v>
      </c>
      <c r="E202" s="196"/>
      <c r="F202" s="196" t="s">
        <v>506</v>
      </c>
      <c r="G202" s="195" t="s">
        <v>297</v>
      </c>
      <c r="H202" s="196" t="s">
        <v>1273</v>
      </c>
      <c r="I202" s="181">
        <v>1</v>
      </c>
      <c r="J202" s="531"/>
      <c r="K202" s="531"/>
      <c r="L202" s="531"/>
      <c r="M202" s="531"/>
      <c r="N202" s="531"/>
      <c r="O202" s="531"/>
      <c r="P202" s="531"/>
      <c r="Q202" s="531"/>
      <c r="R202" s="531"/>
      <c r="S202" s="531"/>
      <c r="T202" s="531"/>
      <c r="U202" s="531"/>
      <c r="V202" s="531"/>
      <c r="W202" s="531"/>
      <c r="X202" s="531"/>
      <c r="Y202" s="531"/>
      <c r="Z202" s="531"/>
      <c r="AA202" s="531"/>
      <c r="AB202" s="531"/>
      <c r="AC202" s="532" t="e">
        <f>IF(NFI_Expiration=1,IF(#REF!&lt;VLOOKUP(L$5,NFI,5,0),1,0)*Table_NFI[[#This Row],[NFI Core Kit]],Table_NFI[NFI Core Kit])</f>
        <v>#REF!</v>
      </c>
      <c r="AD202" s="532" t="e">
        <f>IF(NFI_Expiration=1,IF(#REF!&lt;VLOOKUP(M$5,NFI,5,0),1,0)*Table_NFI[[#This Row],[Sanitary Kit]],Table_NFI[Sanitary Kit])</f>
        <v>#REF!</v>
      </c>
      <c r="AE202" s="532" t="e">
        <f>IF(NFI_Expiration=1,IF(#REF!&lt;VLOOKUP(N$5,NFI,5,0),1,0)*Table_NFI[[#This Row],[Mosquito net]],Table_NFI[Mosquito net])</f>
        <v>#REF!</v>
      </c>
      <c r="AF202" s="532" t="e">
        <f>IF(NFI_Expiration=1,IF(#REF!&lt;VLOOKUP(O$5,NFI,5,0),1,0)*Table_NFI[[#This Row],[Tarpaulin]],Table_NFI[[#This Row],[Tarpaulin]])</f>
        <v>#REF!</v>
      </c>
      <c r="AG202" s="532" t="e">
        <f>IF(NFI_Expiration=1,IF(#REF!&lt;VLOOKUP(P$5,NFI,5,0),1,0)*Table_NFI[[#This Row],[Blanket]],Table_NFI[[#This Row],[Blanket]])</f>
        <v>#REF!</v>
      </c>
      <c r="AH202" s="532" t="e">
        <f>IF(NFI_Expiration=1,IF(#REF!&lt;VLOOKUP(Q$5,NFI,5,0),1,0)*Table_NFI[[#This Row],[Kitchen Set]],Table_NFI[Kitchen Set])</f>
        <v>#REF!</v>
      </c>
      <c r="AI202" s="532" t="e">
        <f>IF(NFI_Expiration=1,IF(#REF!&lt;VLOOKUP(R$5,NFI,5,0),1,0)*Table_NFI[[#This Row],[Clothes Kit]],Table_NFI[Clothes Kit])</f>
        <v>#REF!</v>
      </c>
      <c r="AJ202" s="532" t="e">
        <f>IF(NFI_Expiration=1,IF(#REF!&lt;VLOOKUP(S$5,NFI,5,0),1,0)*Table_NFI[[#This Row],[Plastic Bucket]],Table_NFI[Plastic Bucket])</f>
        <v>#REF!</v>
      </c>
      <c r="AK202" s="532" t="e">
        <f>IF(NFI_Expiration=1,IF(#REF!&lt;VLOOKUP(T$5,NFI,5,0),1,0)*Table_NFI[[#This Row],[Plastic Mat]],Table_NFI[Plastic Mat])*IF(Table_NFI[[#This Row],[Distribution Date]]&gt;"2014-04-01",1,2.5)</f>
        <v>#REF!</v>
      </c>
      <c r="AL202" s="532" t="e">
        <f>IF(NFI_Expiration=1,IF(#REF!&lt;VLOOKUP(U$5,NFI,5,0),1,0)*Table_NFI[[#This Row],[Winter Clothes Adult]],Table_NFI[Winter Clothes Adult])</f>
        <v>#REF!</v>
      </c>
      <c r="AM202" s="532"/>
      <c r="AN202" s="532"/>
      <c r="AO202" s="532"/>
      <c r="AP202" s="532">
        <f>IF(Table_NFI[[#This Row],[Winter Clothes Adult]]+Table_NFI[[#This Row],[Winter Clothes Children]]+Table_NFI[[#This Row],[Winter Items Other]]+Table_NFI[[#This Row],[Winter Blanket]]&gt;0,1,0)</f>
        <v>0</v>
      </c>
      <c r="AQ202" s="532"/>
      <c r="AR202" s="532"/>
      <c r="AS202" s="532"/>
      <c r="AT202" s="532"/>
      <c r="AU202" s="532"/>
      <c r="AV202" s="532"/>
      <c r="AW202" s="532"/>
      <c r="AX202" s="203" t="str">
        <f>IFERROR(VLOOKUP(Table_NFI[[#This Row],[Location]],CL,2,0),"")</f>
        <v>MMR015CMP248</v>
      </c>
      <c r="AZ202" s="524"/>
      <c r="DS202" s="181"/>
      <c r="DT202" s="181"/>
    </row>
    <row r="203" spans="2:124" hidden="1" x14ac:dyDescent="0.3">
      <c r="B203" s="530">
        <v>43145</v>
      </c>
      <c r="C203" s="530" t="str">
        <f>MONTH(Table_NFI[[#This Row],[Distribution Date]]) &amp; "/" &amp; YEAR(Table_NFI[[#This Row],[Distribution Date]])</f>
        <v>2/2018</v>
      </c>
      <c r="D203" s="196" t="s">
        <v>1452</v>
      </c>
      <c r="E203" s="196"/>
      <c r="F203" s="196" t="s">
        <v>506</v>
      </c>
      <c r="G203" s="195" t="s">
        <v>297</v>
      </c>
      <c r="H203" s="196" t="s">
        <v>1189</v>
      </c>
      <c r="I203" s="181">
        <v>1</v>
      </c>
      <c r="J203" s="531"/>
      <c r="K203" s="531"/>
      <c r="L203" s="531"/>
      <c r="M203" s="531"/>
      <c r="N203" s="531"/>
      <c r="O203" s="531"/>
      <c r="P203" s="531"/>
      <c r="Q203" s="531"/>
      <c r="R203" s="531"/>
      <c r="S203" s="531"/>
      <c r="T203" s="531"/>
      <c r="U203" s="531"/>
      <c r="V203" s="531"/>
      <c r="W203" s="531"/>
      <c r="X203" s="531"/>
      <c r="Y203" s="531"/>
      <c r="Z203" s="531"/>
      <c r="AA203" s="531"/>
      <c r="AB203" s="531"/>
      <c r="AC203" s="532" t="e">
        <f>IF(NFI_Expiration=1,IF(#REF!&lt;VLOOKUP(L$5,NFI,5,0),1,0)*Table_NFI[[#This Row],[NFI Core Kit]],Table_NFI[NFI Core Kit])</f>
        <v>#REF!</v>
      </c>
      <c r="AD203" s="532" t="e">
        <f>IF(NFI_Expiration=1,IF(#REF!&lt;VLOOKUP(M$5,NFI,5,0),1,0)*Table_NFI[[#This Row],[Sanitary Kit]],Table_NFI[Sanitary Kit])</f>
        <v>#REF!</v>
      </c>
      <c r="AE203" s="532" t="e">
        <f>IF(NFI_Expiration=1,IF(#REF!&lt;VLOOKUP(N$5,NFI,5,0),1,0)*Table_NFI[[#This Row],[Mosquito net]],Table_NFI[Mosquito net])</f>
        <v>#REF!</v>
      </c>
      <c r="AF203" s="532" t="e">
        <f>IF(NFI_Expiration=1,IF(#REF!&lt;VLOOKUP(O$5,NFI,5,0),1,0)*Table_NFI[[#This Row],[Tarpaulin]],Table_NFI[[#This Row],[Tarpaulin]])</f>
        <v>#REF!</v>
      </c>
      <c r="AG203" s="532" t="e">
        <f>IF(NFI_Expiration=1,IF(#REF!&lt;VLOOKUP(P$5,NFI,5,0),1,0)*Table_NFI[[#This Row],[Blanket]],Table_NFI[[#This Row],[Blanket]])</f>
        <v>#REF!</v>
      </c>
      <c r="AH203" s="532" t="e">
        <f>IF(NFI_Expiration=1,IF(#REF!&lt;VLOOKUP(Q$5,NFI,5,0),1,0)*Table_NFI[[#This Row],[Kitchen Set]],Table_NFI[Kitchen Set])</f>
        <v>#REF!</v>
      </c>
      <c r="AI203" s="532" t="e">
        <f>IF(NFI_Expiration=1,IF(#REF!&lt;VLOOKUP(R$5,NFI,5,0),1,0)*Table_NFI[[#This Row],[Clothes Kit]],Table_NFI[Clothes Kit])</f>
        <v>#REF!</v>
      </c>
      <c r="AJ203" s="532" t="e">
        <f>IF(NFI_Expiration=1,IF(#REF!&lt;VLOOKUP(S$5,NFI,5,0),1,0)*Table_NFI[[#This Row],[Plastic Bucket]],Table_NFI[Plastic Bucket])</f>
        <v>#REF!</v>
      </c>
      <c r="AK203" s="532" t="e">
        <f>IF(NFI_Expiration=1,IF(#REF!&lt;VLOOKUP(T$5,NFI,5,0),1,0)*Table_NFI[[#This Row],[Plastic Mat]],Table_NFI[Plastic Mat])*IF(Table_NFI[[#This Row],[Distribution Date]]&gt;"2014-04-01",1,2.5)</f>
        <v>#REF!</v>
      </c>
      <c r="AL203" s="532" t="e">
        <f>IF(NFI_Expiration=1,IF(#REF!&lt;VLOOKUP(U$5,NFI,5,0),1,0)*Table_NFI[[#This Row],[Winter Clothes Adult]],Table_NFI[Winter Clothes Adult])</f>
        <v>#REF!</v>
      </c>
      <c r="AM203" s="532"/>
      <c r="AN203" s="532"/>
      <c r="AO203" s="532"/>
      <c r="AP203" s="532">
        <f>IF(Table_NFI[[#This Row],[Winter Clothes Adult]]+Table_NFI[[#This Row],[Winter Clothes Children]]+Table_NFI[[#This Row],[Winter Items Other]]+Table_NFI[[#This Row],[Winter Blanket]]&gt;0,1,0)</f>
        <v>0</v>
      </c>
      <c r="AQ203" s="532"/>
      <c r="AR203" s="532"/>
      <c r="AS203" s="532"/>
      <c r="AT203" s="532"/>
      <c r="AU203" s="532"/>
      <c r="AV203" s="532"/>
      <c r="AW203" s="532"/>
      <c r="AX203" s="203" t="str">
        <f>IFERROR(VLOOKUP(Table_NFI[[#This Row],[Location]],CL,2,0),"")</f>
        <v>MMR015CMP232</v>
      </c>
      <c r="AZ203" s="524"/>
      <c r="DS203" s="181"/>
      <c r="DT203" s="181"/>
    </row>
    <row r="204" spans="2:124" hidden="1" x14ac:dyDescent="0.3">
      <c r="B204" s="530">
        <v>43151</v>
      </c>
      <c r="C204" s="530" t="str">
        <f>MONTH(Table_NFI[[#This Row],[Distribution Date]]) &amp; "/" &amp; YEAR(Table_NFI[[#This Row],[Distribution Date]])</f>
        <v>2/2018</v>
      </c>
      <c r="D204" s="196" t="s">
        <v>1452</v>
      </c>
      <c r="E204" s="196"/>
      <c r="F204" s="196" t="s">
        <v>506</v>
      </c>
      <c r="G204" s="195" t="s">
        <v>288</v>
      </c>
      <c r="H204" s="196" t="s">
        <v>1128</v>
      </c>
      <c r="I204" s="181"/>
      <c r="J204" s="531">
        <v>2</v>
      </c>
      <c r="K204" s="531"/>
      <c r="L204" s="531"/>
      <c r="M204" s="531"/>
      <c r="N204" s="531">
        <v>2</v>
      </c>
      <c r="O204" s="531"/>
      <c r="P204" s="531">
        <v>2</v>
      </c>
      <c r="Q204" s="531">
        <v>2</v>
      </c>
      <c r="R204" s="531"/>
      <c r="S204" s="531"/>
      <c r="T204" s="531"/>
      <c r="U204" s="531">
        <v>2</v>
      </c>
      <c r="V204" s="531">
        <v>2</v>
      </c>
      <c r="W204" s="531">
        <v>2</v>
      </c>
      <c r="X204" s="531"/>
      <c r="Y204" s="531"/>
      <c r="Z204" s="531"/>
      <c r="AA204" s="531"/>
      <c r="AB204" s="531"/>
      <c r="AC204" s="532" t="e">
        <f>IF(NFI_Expiration=1,IF(#REF!&lt;VLOOKUP(L$5,NFI,5,0),1,0)*Table_NFI[[#This Row],[NFI Core Kit]],Table_NFI[NFI Core Kit])</f>
        <v>#REF!</v>
      </c>
      <c r="AD204" s="532" t="e">
        <f>IF(NFI_Expiration=1,IF(#REF!&lt;VLOOKUP(M$5,NFI,5,0),1,0)*Table_NFI[[#This Row],[Sanitary Kit]],Table_NFI[Sanitary Kit])</f>
        <v>#REF!</v>
      </c>
      <c r="AE204" s="532" t="e">
        <f>IF(NFI_Expiration=1,IF(#REF!&lt;VLOOKUP(N$5,NFI,5,0),1,0)*Table_NFI[[#This Row],[Mosquito net]],Table_NFI[Mosquito net])</f>
        <v>#REF!</v>
      </c>
      <c r="AF204" s="532" t="e">
        <f>IF(NFI_Expiration=1,IF(#REF!&lt;VLOOKUP(O$5,NFI,5,0),1,0)*Table_NFI[[#This Row],[Tarpaulin]],Table_NFI[[#This Row],[Tarpaulin]])</f>
        <v>#REF!</v>
      </c>
      <c r="AG204" s="532" t="e">
        <f>IF(NFI_Expiration=1,IF(#REF!&lt;VLOOKUP(P$5,NFI,5,0),1,0)*Table_NFI[[#This Row],[Blanket]],Table_NFI[[#This Row],[Blanket]])</f>
        <v>#REF!</v>
      </c>
      <c r="AH204" s="532" t="e">
        <f>IF(NFI_Expiration=1,IF(#REF!&lt;VLOOKUP(Q$5,NFI,5,0),1,0)*Table_NFI[[#This Row],[Kitchen Set]],Table_NFI[Kitchen Set])</f>
        <v>#REF!</v>
      </c>
      <c r="AI204" s="532" t="e">
        <f>IF(NFI_Expiration=1,IF(#REF!&lt;VLOOKUP(R$5,NFI,5,0),1,0)*Table_NFI[[#This Row],[Clothes Kit]],Table_NFI[Clothes Kit])</f>
        <v>#REF!</v>
      </c>
      <c r="AJ204" s="532" t="e">
        <f>IF(NFI_Expiration=1,IF(#REF!&lt;VLOOKUP(S$5,NFI,5,0),1,0)*Table_NFI[[#This Row],[Plastic Bucket]],Table_NFI[Plastic Bucket])</f>
        <v>#REF!</v>
      </c>
      <c r="AK204" s="532" t="e">
        <f>IF(NFI_Expiration=1,IF(#REF!&lt;VLOOKUP(T$5,NFI,5,0),1,0)*Table_NFI[[#This Row],[Plastic Mat]],Table_NFI[Plastic Mat])*IF(Table_NFI[[#This Row],[Distribution Date]]&gt;"2014-04-01",1,2.5)</f>
        <v>#REF!</v>
      </c>
      <c r="AL204" s="532" t="e">
        <f>IF(NFI_Expiration=1,IF(#REF!&lt;VLOOKUP(U$5,NFI,5,0),1,0)*Table_NFI[[#This Row],[Winter Clothes Adult]],Table_NFI[Winter Clothes Adult])</f>
        <v>#REF!</v>
      </c>
      <c r="AM204" s="532"/>
      <c r="AN204" s="532"/>
      <c r="AO204" s="532"/>
      <c r="AP204" s="532">
        <f>IF(Table_NFI[[#This Row],[Winter Clothes Adult]]+Table_NFI[[#This Row],[Winter Clothes Children]]+Table_NFI[[#This Row],[Winter Items Other]]+Table_NFI[[#This Row],[Winter Blanket]]&gt;0,1,0)</f>
        <v>1</v>
      </c>
      <c r="AQ204" s="532"/>
      <c r="AR204" s="532"/>
      <c r="AS204" s="532"/>
      <c r="AT204" s="532"/>
      <c r="AU204" s="532"/>
      <c r="AV204" s="532"/>
      <c r="AW204" s="532"/>
      <c r="AX204" s="203" t="str">
        <f>IFERROR(VLOOKUP(Table_NFI[[#This Row],[Location]],CL,2,0),"")</f>
        <v>MMR015CMP224</v>
      </c>
      <c r="AZ204" s="524"/>
      <c r="DS204" s="181"/>
      <c r="DT204" s="181"/>
    </row>
    <row r="205" spans="2:124" hidden="1" x14ac:dyDescent="0.3">
      <c r="B205" s="530">
        <v>43152</v>
      </c>
      <c r="C205" s="530" t="str">
        <f>MONTH(Table_NFI[[#This Row],[Distribution Date]]) &amp; "/" &amp; YEAR(Table_NFI[[#This Row],[Distribution Date]])</f>
        <v>2/2018</v>
      </c>
      <c r="D205" s="196" t="s">
        <v>1452</v>
      </c>
      <c r="E205" s="196"/>
      <c r="F205" s="196" t="s">
        <v>506</v>
      </c>
      <c r="G205" s="195" t="s">
        <v>288</v>
      </c>
      <c r="H205" s="196" t="s">
        <v>1128</v>
      </c>
      <c r="I205" s="181">
        <v>1</v>
      </c>
      <c r="J205" s="531"/>
      <c r="K205" s="531"/>
      <c r="L205" s="531"/>
      <c r="M205" s="531"/>
      <c r="N205" s="531"/>
      <c r="O205" s="531"/>
      <c r="P205" s="531"/>
      <c r="Q205" s="531"/>
      <c r="R205" s="531"/>
      <c r="S205" s="531"/>
      <c r="T205" s="531"/>
      <c r="U205" s="531"/>
      <c r="V205" s="531"/>
      <c r="W205" s="531"/>
      <c r="X205" s="531"/>
      <c r="Y205" s="531"/>
      <c r="Z205" s="531"/>
      <c r="AA205" s="531"/>
      <c r="AB205" s="531"/>
      <c r="AC205" s="532" t="e">
        <f>IF(NFI_Expiration=1,IF(#REF!&lt;VLOOKUP(L$5,NFI,5,0),1,0)*Table_NFI[[#This Row],[NFI Core Kit]],Table_NFI[NFI Core Kit])</f>
        <v>#REF!</v>
      </c>
      <c r="AD205" s="532" t="e">
        <f>IF(NFI_Expiration=1,IF(#REF!&lt;VLOOKUP(M$5,NFI,5,0),1,0)*Table_NFI[[#This Row],[Sanitary Kit]],Table_NFI[Sanitary Kit])</f>
        <v>#REF!</v>
      </c>
      <c r="AE205" s="532" t="e">
        <f>IF(NFI_Expiration=1,IF(#REF!&lt;VLOOKUP(N$5,NFI,5,0),1,0)*Table_NFI[[#This Row],[Mosquito net]],Table_NFI[Mosquito net])</f>
        <v>#REF!</v>
      </c>
      <c r="AF205" s="532" t="e">
        <f>IF(NFI_Expiration=1,IF(#REF!&lt;VLOOKUP(O$5,NFI,5,0),1,0)*Table_NFI[[#This Row],[Tarpaulin]],Table_NFI[[#This Row],[Tarpaulin]])</f>
        <v>#REF!</v>
      </c>
      <c r="AG205" s="532" t="e">
        <f>IF(NFI_Expiration=1,IF(#REF!&lt;VLOOKUP(P$5,NFI,5,0),1,0)*Table_NFI[[#This Row],[Blanket]],Table_NFI[[#This Row],[Blanket]])</f>
        <v>#REF!</v>
      </c>
      <c r="AH205" s="532" t="e">
        <f>IF(NFI_Expiration=1,IF(#REF!&lt;VLOOKUP(Q$5,NFI,5,0),1,0)*Table_NFI[[#This Row],[Kitchen Set]],Table_NFI[Kitchen Set])</f>
        <v>#REF!</v>
      </c>
      <c r="AI205" s="532" t="e">
        <f>IF(NFI_Expiration=1,IF(#REF!&lt;VLOOKUP(R$5,NFI,5,0),1,0)*Table_NFI[[#This Row],[Clothes Kit]],Table_NFI[Clothes Kit])</f>
        <v>#REF!</v>
      </c>
      <c r="AJ205" s="532" t="e">
        <f>IF(NFI_Expiration=1,IF(#REF!&lt;VLOOKUP(S$5,NFI,5,0),1,0)*Table_NFI[[#This Row],[Plastic Bucket]],Table_NFI[Plastic Bucket])</f>
        <v>#REF!</v>
      </c>
      <c r="AK205" s="532" t="e">
        <f>IF(NFI_Expiration=1,IF(#REF!&lt;VLOOKUP(T$5,NFI,5,0),1,0)*Table_NFI[[#This Row],[Plastic Mat]],Table_NFI[Plastic Mat])*IF(Table_NFI[[#This Row],[Distribution Date]]&gt;"2014-04-01",1,2.5)</f>
        <v>#REF!</v>
      </c>
      <c r="AL205" s="532" t="e">
        <f>IF(NFI_Expiration=1,IF(#REF!&lt;VLOOKUP(U$5,NFI,5,0),1,0)*Table_NFI[[#This Row],[Winter Clothes Adult]],Table_NFI[Winter Clothes Adult])</f>
        <v>#REF!</v>
      </c>
      <c r="AM205" s="532"/>
      <c r="AN205" s="532"/>
      <c r="AO205" s="532"/>
      <c r="AP205" s="532">
        <f>IF(Table_NFI[[#This Row],[Winter Clothes Adult]]+Table_NFI[[#This Row],[Winter Clothes Children]]+Table_NFI[[#This Row],[Winter Items Other]]+Table_NFI[[#This Row],[Winter Blanket]]&gt;0,1,0)</f>
        <v>0</v>
      </c>
      <c r="AQ205" s="532"/>
      <c r="AR205" s="532"/>
      <c r="AS205" s="532"/>
      <c r="AT205" s="532"/>
      <c r="AU205" s="532"/>
      <c r="AV205" s="532"/>
      <c r="AW205" s="532"/>
      <c r="AX205" s="203" t="str">
        <f>IFERROR(VLOOKUP(Table_NFI[[#This Row],[Location]],CL,2,0),"")</f>
        <v>MMR015CMP224</v>
      </c>
      <c r="AZ205" s="524"/>
      <c r="DS205" s="181"/>
      <c r="DT205" s="181"/>
    </row>
    <row r="206" spans="2:124" hidden="1" x14ac:dyDescent="0.3">
      <c r="B206" s="530">
        <v>43166</v>
      </c>
      <c r="C206" s="530" t="str">
        <f>MONTH(Table_NFI[[#This Row],[Distribution Date]]) &amp; "/" &amp; YEAR(Table_NFI[[#This Row],[Distribution Date]])</f>
        <v>3/2018</v>
      </c>
      <c r="D206" s="196" t="s">
        <v>1452</v>
      </c>
      <c r="E206" s="196"/>
      <c r="F206" s="196" t="s">
        <v>378</v>
      </c>
      <c r="G206" s="195" t="s">
        <v>151</v>
      </c>
      <c r="H206" s="196" t="s">
        <v>154</v>
      </c>
      <c r="I206" s="181">
        <v>2</v>
      </c>
      <c r="J206" s="531"/>
      <c r="K206" s="531"/>
      <c r="L206" s="531"/>
      <c r="M206" s="531"/>
      <c r="N206" s="531"/>
      <c r="O206" s="531"/>
      <c r="P206" s="531"/>
      <c r="Q206" s="531"/>
      <c r="R206" s="531"/>
      <c r="S206" s="531"/>
      <c r="T206" s="531"/>
      <c r="U206" s="531"/>
      <c r="V206" s="531"/>
      <c r="W206" s="531"/>
      <c r="X206" s="531"/>
      <c r="Y206" s="531"/>
      <c r="Z206" s="531"/>
      <c r="AA206" s="531"/>
      <c r="AB206" s="531"/>
      <c r="AC206" s="532" t="e">
        <f>IF(NFI_Expiration=1,IF(#REF!&lt;VLOOKUP(L$5,NFI,5,0),1,0)*Table_NFI[[#This Row],[NFI Core Kit]],Table_NFI[NFI Core Kit])</f>
        <v>#REF!</v>
      </c>
      <c r="AD206" s="532" t="e">
        <f>IF(NFI_Expiration=1,IF(#REF!&lt;VLOOKUP(M$5,NFI,5,0),1,0)*Table_NFI[[#This Row],[Sanitary Kit]],Table_NFI[Sanitary Kit])</f>
        <v>#REF!</v>
      </c>
      <c r="AE206" s="532" t="e">
        <f>IF(NFI_Expiration=1,IF(#REF!&lt;VLOOKUP(N$5,NFI,5,0),1,0)*Table_NFI[[#This Row],[Mosquito net]],Table_NFI[Mosquito net])</f>
        <v>#REF!</v>
      </c>
      <c r="AF206" s="532" t="e">
        <f>IF(NFI_Expiration=1,IF(#REF!&lt;VLOOKUP(O$5,NFI,5,0),1,0)*Table_NFI[[#This Row],[Tarpaulin]],Table_NFI[[#This Row],[Tarpaulin]])</f>
        <v>#REF!</v>
      </c>
      <c r="AG206" s="532" t="e">
        <f>IF(NFI_Expiration=1,IF(#REF!&lt;VLOOKUP(P$5,NFI,5,0),1,0)*Table_NFI[[#This Row],[Blanket]],Table_NFI[[#This Row],[Blanket]])</f>
        <v>#REF!</v>
      </c>
      <c r="AH206" s="532" t="e">
        <f>IF(NFI_Expiration=1,IF(#REF!&lt;VLOOKUP(Q$5,NFI,5,0),1,0)*Table_NFI[[#This Row],[Kitchen Set]],Table_NFI[Kitchen Set])</f>
        <v>#REF!</v>
      </c>
      <c r="AI206" s="532" t="e">
        <f>IF(NFI_Expiration=1,IF(#REF!&lt;VLOOKUP(R$5,NFI,5,0),1,0)*Table_NFI[[#This Row],[Clothes Kit]],Table_NFI[Clothes Kit])</f>
        <v>#REF!</v>
      </c>
      <c r="AJ206" s="532" t="e">
        <f>IF(NFI_Expiration=1,IF(#REF!&lt;VLOOKUP(S$5,NFI,5,0),1,0)*Table_NFI[[#This Row],[Plastic Bucket]],Table_NFI[Plastic Bucket])</f>
        <v>#REF!</v>
      </c>
      <c r="AK206" s="532" t="e">
        <f>IF(NFI_Expiration=1,IF(#REF!&lt;VLOOKUP(T$5,NFI,5,0),1,0)*Table_NFI[[#This Row],[Plastic Mat]],Table_NFI[Plastic Mat])*IF(Table_NFI[[#This Row],[Distribution Date]]&gt;"2014-04-01",1,2.5)</f>
        <v>#REF!</v>
      </c>
      <c r="AL206" s="532" t="e">
        <f>IF(NFI_Expiration=1,IF(#REF!&lt;VLOOKUP(U$5,NFI,5,0),1,0)*Table_NFI[[#This Row],[Winter Clothes Adult]],Table_NFI[Winter Clothes Adult])</f>
        <v>#REF!</v>
      </c>
      <c r="AM206" s="532"/>
      <c r="AN206" s="532"/>
      <c r="AO206" s="532"/>
      <c r="AP206" s="532">
        <f>IF(Table_NFI[[#This Row],[Winter Clothes Adult]]+Table_NFI[[#This Row],[Winter Clothes Children]]+Table_NFI[[#This Row],[Winter Items Other]]+Table_NFI[[#This Row],[Winter Blanket]]&gt;0,1,0)</f>
        <v>0</v>
      </c>
      <c r="AQ206" s="532"/>
      <c r="AR206" s="532"/>
      <c r="AS206" s="532"/>
      <c r="AT206" s="532"/>
      <c r="AU206" s="532"/>
      <c r="AV206" s="532"/>
      <c r="AW206" s="532"/>
      <c r="AX206" s="203" t="str">
        <f>IFERROR(VLOOKUP(Table_NFI[[#This Row],[Location]],CL,2,0),"")</f>
        <v>MMR001CMP132</v>
      </c>
      <c r="AZ206" s="524"/>
      <c r="DS206" s="181"/>
      <c r="DT206" s="181"/>
    </row>
    <row r="207" spans="2:124" hidden="1" x14ac:dyDescent="0.3">
      <c r="B207" s="530">
        <v>43175</v>
      </c>
      <c r="C207" s="530" t="str">
        <f>MONTH(Table_NFI[[#This Row],[Distribution Date]]) &amp; "/" &amp; YEAR(Table_NFI[[#This Row],[Distribution Date]])</f>
        <v>3/2018</v>
      </c>
      <c r="D207" s="196" t="s">
        <v>1452</v>
      </c>
      <c r="E207" s="196"/>
      <c r="F207" s="196" t="s">
        <v>378</v>
      </c>
      <c r="G207" s="195" t="s">
        <v>151</v>
      </c>
      <c r="H207" s="196" t="s">
        <v>154</v>
      </c>
      <c r="I207" s="181"/>
      <c r="J207" s="531">
        <v>16</v>
      </c>
      <c r="K207" s="531"/>
      <c r="L207" s="531"/>
      <c r="M207" s="531"/>
      <c r="N207" s="531"/>
      <c r="O207" s="531"/>
      <c r="P207" s="531"/>
      <c r="Q207" s="531">
        <v>16</v>
      </c>
      <c r="R207" s="531"/>
      <c r="S207" s="531"/>
      <c r="T207" s="531"/>
      <c r="U207" s="531">
        <v>16</v>
      </c>
      <c r="V207" s="531">
        <v>16</v>
      </c>
      <c r="W207" s="531">
        <v>16</v>
      </c>
      <c r="X207" s="531">
        <v>16</v>
      </c>
      <c r="Y207" s="531"/>
      <c r="Z207" s="531"/>
      <c r="AA207" s="531"/>
      <c r="AB207" s="531"/>
      <c r="AC207" s="532" t="e">
        <f>IF(NFI_Expiration=1,IF(#REF!&lt;VLOOKUP(L$5,NFI,5,0),1,0)*Table_NFI[[#This Row],[NFI Core Kit]],Table_NFI[NFI Core Kit])</f>
        <v>#REF!</v>
      </c>
      <c r="AD207" s="532" t="e">
        <f>IF(NFI_Expiration=1,IF(#REF!&lt;VLOOKUP(M$5,NFI,5,0),1,0)*Table_NFI[[#This Row],[Sanitary Kit]],Table_NFI[Sanitary Kit])</f>
        <v>#REF!</v>
      </c>
      <c r="AE207" s="532" t="e">
        <f>IF(NFI_Expiration=1,IF(#REF!&lt;VLOOKUP(N$5,NFI,5,0),1,0)*Table_NFI[[#This Row],[Mosquito net]],Table_NFI[Mosquito net])</f>
        <v>#REF!</v>
      </c>
      <c r="AF207" s="532" t="e">
        <f>IF(NFI_Expiration=1,IF(#REF!&lt;VLOOKUP(O$5,NFI,5,0),1,0)*Table_NFI[[#This Row],[Tarpaulin]],Table_NFI[[#This Row],[Tarpaulin]])</f>
        <v>#REF!</v>
      </c>
      <c r="AG207" s="532" t="e">
        <f>IF(NFI_Expiration=1,IF(#REF!&lt;VLOOKUP(P$5,NFI,5,0),1,0)*Table_NFI[[#This Row],[Blanket]],Table_NFI[[#This Row],[Blanket]])</f>
        <v>#REF!</v>
      </c>
      <c r="AH207" s="532" t="e">
        <f>IF(NFI_Expiration=1,IF(#REF!&lt;VLOOKUP(Q$5,NFI,5,0),1,0)*Table_NFI[[#This Row],[Kitchen Set]],Table_NFI[Kitchen Set])</f>
        <v>#REF!</v>
      </c>
      <c r="AI207" s="532" t="e">
        <f>IF(NFI_Expiration=1,IF(#REF!&lt;VLOOKUP(R$5,NFI,5,0),1,0)*Table_NFI[[#This Row],[Clothes Kit]],Table_NFI[Clothes Kit])</f>
        <v>#REF!</v>
      </c>
      <c r="AJ207" s="532" t="e">
        <f>IF(NFI_Expiration=1,IF(#REF!&lt;VLOOKUP(S$5,NFI,5,0),1,0)*Table_NFI[[#This Row],[Plastic Bucket]],Table_NFI[Plastic Bucket])</f>
        <v>#REF!</v>
      </c>
      <c r="AK207" s="532" t="e">
        <f>IF(NFI_Expiration=1,IF(#REF!&lt;VLOOKUP(T$5,NFI,5,0),1,0)*Table_NFI[[#This Row],[Plastic Mat]],Table_NFI[Plastic Mat])*IF(Table_NFI[[#This Row],[Distribution Date]]&gt;"2014-04-01",1,2.5)</f>
        <v>#REF!</v>
      </c>
      <c r="AL207" s="532" t="e">
        <f>IF(NFI_Expiration=1,IF(#REF!&lt;VLOOKUP(U$5,NFI,5,0),1,0)*Table_NFI[[#This Row],[Winter Clothes Adult]],Table_NFI[Winter Clothes Adult])</f>
        <v>#REF!</v>
      </c>
      <c r="AM207" s="532"/>
      <c r="AN207" s="532"/>
      <c r="AO207" s="532"/>
      <c r="AP207" s="532">
        <f>IF(Table_NFI[[#This Row],[Winter Clothes Adult]]+Table_NFI[[#This Row],[Winter Clothes Children]]+Table_NFI[[#This Row],[Winter Items Other]]+Table_NFI[[#This Row],[Winter Blanket]]&gt;0,1,0)</f>
        <v>1</v>
      </c>
      <c r="AQ207" s="532"/>
      <c r="AR207" s="532"/>
      <c r="AS207" s="532"/>
      <c r="AT207" s="532"/>
      <c r="AU207" s="532"/>
      <c r="AV207" s="532"/>
      <c r="AW207" s="532"/>
      <c r="AX207" s="203" t="str">
        <f>IFERROR(VLOOKUP(Table_NFI[[#This Row],[Location]],CL,2,0),"")</f>
        <v>MMR001CMP132</v>
      </c>
      <c r="AZ207" s="524"/>
      <c r="DS207" s="181"/>
      <c r="DT207" s="181"/>
    </row>
    <row r="208" spans="2:124" hidden="1" x14ac:dyDescent="0.3">
      <c r="B208" s="530">
        <v>43185</v>
      </c>
      <c r="C208" s="530" t="str">
        <f>MONTH(Table_NFI[[#This Row],[Distribution Date]]) &amp; "/" &amp; YEAR(Table_NFI[[#This Row],[Distribution Date]])</f>
        <v>3/2018</v>
      </c>
      <c r="D208" s="196" t="s">
        <v>1452</v>
      </c>
      <c r="E208" s="196"/>
      <c r="F208" s="196" t="s">
        <v>506</v>
      </c>
      <c r="G208" s="195" t="s">
        <v>297</v>
      </c>
      <c r="H208" s="196" t="s">
        <v>1135</v>
      </c>
      <c r="I208" s="181"/>
      <c r="J208" s="531"/>
      <c r="K208" s="531"/>
      <c r="L208" s="531"/>
      <c r="M208" s="531"/>
      <c r="N208" s="531"/>
      <c r="O208" s="531"/>
      <c r="P208" s="531"/>
      <c r="Q208" s="531"/>
      <c r="R208" s="531"/>
      <c r="S208" s="531"/>
      <c r="T208" s="531"/>
      <c r="U208" s="531"/>
      <c r="V208" s="531"/>
      <c r="W208" s="531"/>
      <c r="X208" s="531"/>
      <c r="Y208" s="531"/>
      <c r="Z208" s="531"/>
      <c r="AA208" s="531">
        <v>14</v>
      </c>
      <c r="AB208" s="531"/>
      <c r="AC208" s="532" t="e">
        <f>IF(NFI_Expiration=1,IF(#REF!&lt;VLOOKUP(L$5,NFI,5,0),1,0)*Table_NFI[[#This Row],[NFI Core Kit]],Table_NFI[NFI Core Kit])</f>
        <v>#REF!</v>
      </c>
      <c r="AD208" s="532" t="e">
        <f>IF(NFI_Expiration=1,IF(#REF!&lt;VLOOKUP(M$5,NFI,5,0),1,0)*Table_NFI[[#This Row],[Sanitary Kit]],Table_NFI[Sanitary Kit])</f>
        <v>#REF!</v>
      </c>
      <c r="AE208" s="532" t="e">
        <f>IF(NFI_Expiration=1,IF(#REF!&lt;VLOOKUP(N$5,NFI,5,0),1,0)*Table_NFI[[#This Row],[Mosquito net]],Table_NFI[Mosquito net])</f>
        <v>#REF!</v>
      </c>
      <c r="AF208" s="532" t="e">
        <f>IF(NFI_Expiration=1,IF(#REF!&lt;VLOOKUP(O$5,NFI,5,0),1,0)*Table_NFI[[#This Row],[Tarpaulin]],Table_NFI[[#This Row],[Tarpaulin]])</f>
        <v>#REF!</v>
      </c>
      <c r="AG208" s="532" t="e">
        <f>IF(NFI_Expiration=1,IF(#REF!&lt;VLOOKUP(P$5,NFI,5,0),1,0)*Table_NFI[[#This Row],[Blanket]],Table_NFI[[#This Row],[Blanket]])</f>
        <v>#REF!</v>
      </c>
      <c r="AH208" s="532" t="e">
        <f>IF(NFI_Expiration=1,IF(#REF!&lt;VLOOKUP(Q$5,NFI,5,0),1,0)*Table_NFI[[#This Row],[Kitchen Set]],Table_NFI[Kitchen Set])</f>
        <v>#REF!</v>
      </c>
      <c r="AI208" s="532" t="e">
        <f>IF(NFI_Expiration=1,IF(#REF!&lt;VLOOKUP(R$5,NFI,5,0),1,0)*Table_NFI[[#This Row],[Clothes Kit]],Table_NFI[Clothes Kit])</f>
        <v>#REF!</v>
      </c>
      <c r="AJ208" s="532" t="e">
        <f>IF(NFI_Expiration=1,IF(#REF!&lt;VLOOKUP(S$5,NFI,5,0),1,0)*Table_NFI[[#This Row],[Plastic Bucket]],Table_NFI[Plastic Bucket])</f>
        <v>#REF!</v>
      </c>
      <c r="AK208" s="532" t="e">
        <f>IF(NFI_Expiration=1,IF(#REF!&lt;VLOOKUP(T$5,NFI,5,0),1,0)*Table_NFI[[#This Row],[Plastic Mat]],Table_NFI[Plastic Mat])*IF(Table_NFI[[#This Row],[Distribution Date]]&gt;"2014-04-01",1,2.5)</f>
        <v>#REF!</v>
      </c>
      <c r="AL208" s="532" t="e">
        <f>IF(NFI_Expiration=1,IF(#REF!&lt;VLOOKUP(U$5,NFI,5,0),1,0)*Table_NFI[[#This Row],[Winter Clothes Adult]],Table_NFI[Winter Clothes Adult])</f>
        <v>#REF!</v>
      </c>
      <c r="AM208" s="532"/>
      <c r="AN208" s="532"/>
      <c r="AO208" s="532"/>
      <c r="AP208" s="532">
        <f>IF(Table_NFI[[#This Row],[Winter Clothes Adult]]+Table_NFI[[#This Row],[Winter Clothes Children]]+Table_NFI[[#This Row],[Winter Items Other]]+Table_NFI[[#This Row],[Winter Blanket]]&gt;0,1,0)</f>
        <v>0</v>
      </c>
      <c r="AQ208" s="532"/>
      <c r="AR208" s="532"/>
      <c r="AS208" s="532"/>
      <c r="AT208" s="532"/>
      <c r="AU208" s="532"/>
      <c r="AV208" s="532"/>
      <c r="AW208" s="532"/>
      <c r="AX208" s="203" t="str">
        <f>IFERROR(VLOOKUP(Table_NFI[[#This Row],[Location]],CL,2,0),"")</f>
        <v>MMR015CMP221</v>
      </c>
      <c r="AY208" s="181" t="s">
        <v>1597</v>
      </c>
      <c r="AZ208" s="524"/>
      <c r="DS208" s="181"/>
      <c r="DT208" s="181"/>
    </row>
    <row r="209" spans="2:124" hidden="1" x14ac:dyDescent="0.3">
      <c r="B209" s="530">
        <v>43180</v>
      </c>
      <c r="C209" s="530" t="str">
        <f>MONTH(Table_NFI[[#This Row],[Distribution Date]]) &amp; "/" &amp; YEAR(Table_NFI[[#This Row],[Distribution Date]])</f>
        <v>3/2018</v>
      </c>
      <c r="D209" s="196" t="s">
        <v>1256</v>
      </c>
      <c r="E209" s="196" t="s">
        <v>424</v>
      </c>
      <c r="F209" s="196" t="s">
        <v>378</v>
      </c>
      <c r="G209" s="195" t="s">
        <v>185</v>
      </c>
      <c r="H209" s="196" t="s">
        <v>209</v>
      </c>
      <c r="I209" s="181"/>
      <c r="J209" s="531"/>
      <c r="K209" s="531"/>
      <c r="L209" s="531"/>
      <c r="M209" s="531"/>
      <c r="N209" s="531"/>
      <c r="O209" s="531"/>
      <c r="P209" s="531">
        <v>124</v>
      </c>
      <c r="Q209" s="531"/>
      <c r="R209" s="531"/>
      <c r="S209" s="531"/>
      <c r="T209" s="531">
        <v>124</v>
      </c>
      <c r="U209" s="531"/>
      <c r="V209" s="531"/>
      <c r="W209" s="531"/>
      <c r="X209" s="531"/>
      <c r="Y209" s="531"/>
      <c r="Z209" s="531"/>
      <c r="AA209" s="531"/>
      <c r="AB209" s="531"/>
      <c r="AC209" s="532" t="e">
        <f>IF(NFI_Expiration=1,IF(#REF!&lt;VLOOKUP(L$5,NFI,5,0),1,0)*Table_NFI[[#This Row],[NFI Core Kit]],Table_NFI[NFI Core Kit])</f>
        <v>#REF!</v>
      </c>
      <c r="AD209" s="532" t="e">
        <f>IF(NFI_Expiration=1,IF(#REF!&lt;VLOOKUP(M$5,NFI,5,0),1,0)*Table_NFI[[#This Row],[Sanitary Kit]],Table_NFI[Sanitary Kit])</f>
        <v>#REF!</v>
      </c>
      <c r="AE209" s="532" t="e">
        <f>IF(NFI_Expiration=1,IF(#REF!&lt;VLOOKUP(N$5,NFI,5,0),1,0)*Table_NFI[[#This Row],[Mosquito net]],Table_NFI[Mosquito net])</f>
        <v>#REF!</v>
      </c>
      <c r="AF209" s="532" t="e">
        <f>IF(NFI_Expiration=1,IF(#REF!&lt;VLOOKUP(O$5,NFI,5,0),1,0)*Table_NFI[[#This Row],[Tarpaulin]],Table_NFI[[#This Row],[Tarpaulin]])</f>
        <v>#REF!</v>
      </c>
      <c r="AG209" s="532" t="e">
        <f>IF(NFI_Expiration=1,IF(#REF!&lt;VLOOKUP(P$5,NFI,5,0),1,0)*Table_NFI[[#This Row],[Blanket]],Table_NFI[[#This Row],[Blanket]])</f>
        <v>#REF!</v>
      </c>
      <c r="AH209" s="532" t="e">
        <f>IF(NFI_Expiration=1,IF(#REF!&lt;VLOOKUP(Q$5,NFI,5,0),1,0)*Table_NFI[[#This Row],[Kitchen Set]],Table_NFI[Kitchen Set])</f>
        <v>#REF!</v>
      </c>
      <c r="AI209" s="532" t="e">
        <f>IF(NFI_Expiration=1,IF(#REF!&lt;VLOOKUP(R$5,NFI,5,0),1,0)*Table_NFI[[#This Row],[Clothes Kit]],Table_NFI[Clothes Kit])</f>
        <v>#REF!</v>
      </c>
      <c r="AJ209" s="532" t="e">
        <f>IF(NFI_Expiration=1,IF(#REF!&lt;VLOOKUP(S$5,NFI,5,0),1,0)*Table_NFI[[#This Row],[Plastic Bucket]],Table_NFI[Plastic Bucket])</f>
        <v>#REF!</v>
      </c>
      <c r="AK209" s="532" t="e">
        <f>IF(NFI_Expiration=1,IF(#REF!&lt;VLOOKUP(T$5,NFI,5,0),1,0)*Table_NFI[[#This Row],[Plastic Mat]],Table_NFI[Plastic Mat])*IF(Table_NFI[[#This Row],[Distribution Date]]&gt;"2014-04-01",1,2.5)</f>
        <v>#REF!</v>
      </c>
      <c r="AL209" s="532" t="e">
        <f>IF(NFI_Expiration=1,IF(#REF!&lt;VLOOKUP(U$5,NFI,5,0),1,0)*Table_NFI[[#This Row],[Winter Clothes Adult]],Table_NFI[Winter Clothes Adult])</f>
        <v>#REF!</v>
      </c>
      <c r="AM209" s="532"/>
      <c r="AN209" s="532"/>
      <c r="AO209" s="532"/>
      <c r="AP209" s="532">
        <f>IF(Table_NFI[[#This Row],[Winter Clothes Adult]]+Table_NFI[[#This Row],[Winter Clothes Children]]+Table_NFI[[#This Row],[Winter Items Other]]+Table_NFI[[#This Row],[Winter Blanket]]&gt;0,1,0)</f>
        <v>0</v>
      </c>
      <c r="AQ209" s="532"/>
      <c r="AR209" s="532"/>
      <c r="AS209" s="532"/>
      <c r="AT209" s="532"/>
      <c r="AU209" s="532"/>
      <c r="AV209" s="532"/>
      <c r="AW209" s="532"/>
      <c r="AX209" s="203" t="str">
        <f>IFERROR(VLOOKUP(Table_NFI[[#This Row],[Location]],CL,2,0),"")</f>
        <v>MMR001CMP056</v>
      </c>
      <c r="AY209" s="181" t="s">
        <v>1599</v>
      </c>
      <c r="AZ209" s="524"/>
      <c r="DS209" s="181"/>
      <c r="DT209" s="181"/>
    </row>
    <row r="210" spans="2:124" hidden="1" x14ac:dyDescent="0.3">
      <c r="B210" s="530">
        <v>43187</v>
      </c>
      <c r="C210" s="530" t="str">
        <f>MONTH(Table_NFI[[#This Row],[Distribution Date]]) &amp; "/" &amp; YEAR(Table_NFI[[#This Row],[Distribution Date]])</f>
        <v>3/2018</v>
      </c>
      <c r="D210" s="196" t="s">
        <v>1256</v>
      </c>
      <c r="E210" s="196"/>
      <c r="F210" s="196" t="s">
        <v>378</v>
      </c>
      <c r="G210" s="195" t="s">
        <v>185</v>
      </c>
      <c r="H210" s="196" t="s">
        <v>12</v>
      </c>
      <c r="I210" s="181"/>
      <c r="J210" s="531"/>
      <c r="K210" s="531"/>
      <c r="L210" s="531"/>
      <c r="M210" s="531"/>
      <c r="N210" s="531"/>
      <c r="O210" s="531"/>
      <c r="P210" s="531">
        <v>387</v>
      </c>
      <c r="Q210" s="531"/>
      <c r="R210" s="531"/>
      <c r="S210" s="531"/>
      <c r="T210" s="531">
        <v>387</v>
      </c>
      <c r="U210" s="531"/>
      <c r="V210" s="531"/>
      <c r="W210" s="531"/>
      <c r="X210" s="531"/>
      <c r="Y210" s="531"/>
      <c r="Z210" s="531"/>
      <c r="AA210" s="531"/>
      <c r="AB210" s="531"/>
      <c r="AC210" s="532" t="e">
        <f>IF(NFI_Expiration=1,IF(#REF!&lt;VLOOKUP(L$5,NFI,5,0),1,0)*Table_NFI[[#This Row],[NFI Core Kit]],Table_NFI[NFI Core Kit])</f>
        <v>#REF!</v>
      </c>
      <c r="AD210" s="532" t="e">
        <f>IF(NFI_Expiration=1,IF(#REF!&lt;VLOOKUP(M$5,NFI,5,0),1,0)*Table_NFI[[#This Row],[Sanitary Kit]],Table_NFI[Sanitary Kit])</f>
        <v>#REF!</v>
      </c>
      <c r="AE210" s="532" t="e">
        <f>IF(NFI_Expiration=1,IF(#REF!&lt;VLOOKUP(N$5,NFI,5,0),1,0)*Table_NFI[[#This Row],[Mosquito net]],Table_NFI[Mosquito net])</f>
        <v>#REF!</v>
      </c>
      <c r="AF210" s="532" t="e">
        <f>IF(NFI_Expiration=1,IF(#REF!&lt;VLOOKUP(O$5,NFI,5,0),1,0)*Table_NFI[[#This Row],[Tarpaulin]],Table_NFI[[#This Row],[Tarpaulin]])</f>
        <v>#REF!</v>
      </c>
      <c r="AG210" s="532" t="e">
        <f>IF(NFI_Expiration=1,IF(#REF!&lt;VLOOKUP(P$5,NFI,5,0),1,0)*Table_NFI[[#This Row],[Blanket]],Table_NFI[[#This Row],[Blanket]])</f>
        <v>#REF!</v>
      </c>
      <c r="AH210" s="532" t="e">
        <f>IF(NFI_Expiration=1,IF(#REF!&lt;VLOOKUP(Q$5,NFI,5,0),1,0)*Table_NFI[[#This Row],[Kitchen Set]],Table_NFI[Kitchen Set])</f>
        <v>#REF!</v>
      </c>
      <c r="AI210" s="532" t="e">
        <f>IF(NFI_Expiration=1,IF(#REF!&lt;VLOOKUP(R$5,NFI,5,0),1,0)*Table_NFI[[#This Row],[Clothes Kit]],Table_NFI[Clothes Kit])</f>
        <v>#REF!</v>
      </c>
      <c r="AJ210" s="532" t="e">
        <f>IF(NFI_Expiration=1,IF(#REF!&lt;VLOOKUP(S$5,NFI,5,0),1,0)*Table_NFI[[#This Row],[Plastic Bucket]],Table_NFI[Plastic Bucket])</f>
        <v>#REF!</v>
      </c>
      <c r="AK210" s="532" t="e">
        <f>IF(NFI_Expiration=1,IF(#REF!&lt;VLOOKUP(T$5,NFI,5,0),1,0)*Table_NFI[[#This Row],[Plastic Mat]],Table_NFI[Plastic Mat])*IF(Table_NFI[[#This Row],[Distribution Date]]&gt;"2014-04-01",1,2.5)</f>
        <v>#REF!</v>
      </c>
      <c r="AL210" s="532" t="e">
        <f>IF(NFI_Expiration=1,IF(#REF!&lt;VLOOKUP(U$5,NFI,5,0),1,0)*Table_NFI[[#This Row],[Winter Clothes Adult]],Table_NFI[Winter Clothes Adult])</f>
        <v>#REF!</v>
      </c>
      <c r="AM210" s="532"/>
      <c r="AN210" s="532"/>
      <c r="AO210" s="532"/>
      <c r="AP210" s="532">
        <f>IF(Table_NFI[[#This Row],[Winter Clothes Adult]]+Table_NFI[[#This Row],[Winter Clothes Children]]+Table_NFI[[#This Row],[Winter Items Other]]+Table_NFI[[#This Row],[Winter Blanket]]&gt;0,1,0)</f>
        <v>0</v>
      </c>
      <c r="AQ210" s="532"/>
      <c r="AR210" s="532"/>
      <c r="AS210" s="532"/>
      <c r="AT210" s="532"/>
      <c r="AU210" s="532"/>
      <c r="AV210" s="532"/>
      <c r="AW210" s="532"/>
      <c r="AX210" s="203" t="str">
        <f>IFERROR(VLOOKUP(Table_NFI[[#This Row],[Location]],CL,2,0),"")</f>
        <v>MMR001CMP199</v>
      </c>
      <c r="AY210" s="181" t="s">
        <v>1600</v>
      </c>
      <c r="AZ210" s="524"/>
      <c r="DS210" s="181"/>
      <c r="DT210" s="181"/>
    </row>
    <row r="211" spans="2:124" hidden="1" x14ac:dyDescent="0.3">
      <c r="B211" s="530">
        <v>43189</v>
      </c>
      <c r="C211" s="530" t="str">
        <f>MONTH(Table_NFI[[#This Row],[Distribution Date]]) &amp; "/" &amp; YEAR(Table_NFI[[#This Row],[Distribution Date]])</f>
        <v>3/2018</v>
      </c>
      <c r="D211" s="196" t="s">
        <v>1256</v>
      </c>
      <c r="E211" s="196"/>
      <c r="F211" s="196" t="s">
        <v>378</v>
      </c>
      <c r="G211" s="217" t="s">
        <v>151</v>
      </c>
      <c r="H211" s="196" t="s">
        <v>12</v>
      </c>
      <c r="I211" s="181"/>
      <c r="J211" s="531"/>
      <c r="K211" s="531"/>
      <c r="L211" s="531"/>
      <c r="M211" s="531"/>
      <c r="N211" s="531"/>
      <c r="O211" s="531"/>
      <c r="P211" s="531">
        <v>77</v>
      </c>
      <c r="Q211" s="531"/>
      <c r="R211" s="531"/>
      <c r="S211" s="531"/>
      <c r="T211" s="531">
        <v>77</v>
      </c>
      <c r="U211" s="531"/>
      <c r="V211" s="531"/>
      <c r="W211" s="531"/>
      <c r="X211" s="531"/>
      <c r="Y211" s="531"/>
      <c r="Z211" s="531"/>
      <c r="AA211" s="531"/>
      <c r="AB211" s="531"/>
      <c r="AC211" s="532" t="e">
        <f>IF(NFI_Expiration=1,IF(#REF!&lt;VLOOKUP(L$5,NFI,5,0),1,0)*Table_NFI[[#This Row],[NFI Core Kit]],Table_NFI[NFI Core Kit])</f>
        <v>#REF!</v>
      </c>
      <c r="AD211" s="532" t="e">
        <f>IF(NFI_Expiration=1,IF(#REF!&lt;VLOOKUP(M$5,NFI,5,0),1,0)*Table_NFI[[#This Row],[Sanitary Kit]],Table_NFI[Sanitary Kit])</f>
        <v>#REF!</v>
      </c>
      <c r="AE211" s="532" t="e">
        <f>IF(NFI_Expiration=1,IF(#REF!&lt;VLOOKUP(N$5,NFI,5,0),1,0)*Table_NFI[[#This Row],[Mosquito net]],Table_NFI[Mosquito net])</f>
        <v>#REF!</v>
      </c>
      <c r="AF211" s="532" t="e">
        <f>IF(NFI_Expiration=1,IF(#REF!&lt;VLOOKUP(O$5,NFI,5,0),1,0)*Table_NFI[[#This Row],[Tarpaulin]],Table_NFI[[#This Row],[Tarpaulin]])</f>
        <v>#REF!</v>
      </c>
      <c r="AG211" s="532" t="e">
        <f>IF(NFI_Expiration=1,IF(#REF!&lt;VLOOKUP(P$5,NFI,5,0),1,0)*Table_NFI[[#This Row],[Blanket]],Table_NFI[[#This Row],[Blanket]])</f>
        <v>#REF!</v>
      </c>
      <c r="AH211" s="532" t="e">
        <f>IF(NFI_Expiration=1,IF(#REF!&lt;VLOOKUP(Q$5,NFI,5,0),1,0)*Table_NFI[[#This Row],[Kitchen Set]],Table_NFI[Kitchen Set])</f>
        <v>#REF!</v>
      </c>
      <c r="AI211" s="532" t="e">
        <f>IF(NFI_Expiration=1,IF(#REF!&lt;VLOOKUP(R$5,NFI,5,0),1,0)*Table_NFI[[#This Row],[Clothes Kit]],Table_NFI[Clothes Kit])</f>
        <v>#REF!</v>
      </c>
      <c r="AJ211" s="532" t="e">
        <f>IF(NFI_Expiration=1,IF(#REF!&lt;VLOOKUP(S$5,NFI,5,0),1,0)*Table_NFI[[#This Row],[Plastic Bucket]],Table_NFI[Plastic Bucket])</f>
        <v>#REF!</v>
      </c>
      <c r="AK211" s="532" t="e">
        <f>IF(NFI_Expiration=1,IF(#REF!&lt;VLOOKUP(T$5,NFI,5,0),1,0)*Table_NFI[[#This Row],[Plastic Mat]],Table_NFI[Plastic Mat])*IF(Table_NFI[[#This Row],[Distribution Date]]&gt;"2014-04-01",1,2.5)</f>
        <v>#REF!</v>
      </c>
      <c r="AL211" s="532" t="e">
        <f>IF(NFI_Expiration=1,IF(#REF!&lt;VLOOKUP(U$5,NFI,5,0),1,0)*Table_NFI[[#This Row],[Winter Clothes Adult]],Table_NFI[Winter Clothes Adult])</f>
        <v>#REF!</v>
      </c>
      <c r="AM211" s="532"/>
      <c r="AN211" s="532"/>
      <c r="AO211" s="532"/>
      <c r="AP211" s="532">
        <f>IF(Table_NFI[[#This Row],[Winter Clothes Adult]]+Table_NFI[[#This Row],[Winter Clothes Children]]+Table_NFI[[#This Row],[Winter Items Other]]+Table_NFI[[#This Row],[Winter Blanket]]&gt;0,1,0)</f>
        <v>0</v>
      </c>
      <c r="AQ211" s="532"/>
      <c r="AR211" s="532"/>
      <c r="AS211" s="532"/>
      <c r="AT211" s="532"/>
      <c r="AU211" s="532"/>
      <c r="AV211" s="532"/>
      <c r="AW211" s="532"/>
      <c r="AX211" s="203" t="str">
        <f>IFERROR(VLOOKUP(Table_NFI[[#This Row],[Location]],CL,2,0),"")</f>
        <v>MMR001CMP199</v>
      </c>
      <c r="AY211" s="181" t="s">
        <v>1601</v>
      </c>
      <c r="AZ211" s="524"/>
      <c r="DS211" s="181"/>
      <c r="DT211" s="181"/>
    </row>
    <row r="212" spans="2:124" hidden="1" x14ac:dyDescent="0.3">
      <c r="B212" s="530">
        <v>43180</v>
      </c>
      <c r="C212" s="530" t="str">
        <f>MONTH(Table_NFI[[#This Row],[Distribution Date]]) &amp; "/" &amp; YEAR(Table_NFI[[#This Row],[Distribution Date]])</f>
        <v>3/2018</v>
      </c>
      <c r="D212" s="196" t="s">
        <v>1256</v>
      </c>
      <c r="E212" s="196" t="s">
        <v>1598</v>
      </c>
      <c r="F212" s="196" t="s">
        <v>378</v>
      </c>
      <c r="G212" s="195" t="s">
        <v>185</v>
      </c>
      <c r="H212" s="196" t="s">
        <v>202</v>
      </c>
      <c r="I212" s="181"/>
      <c r="J212" s="531"/>
      <c r="K212" s="531"/>
      <c r="L212" s="531"/>
      <c r="M212" s="531"/>
      <c r="N212" s="531"/>
      <c r="O212" s="531"/>
      <c r="P212" s="531">
        <v>34</v>
      </c>
      <c r="Q212" s="531"/>
      <c r="R212" s="531"/>
      <c r="S212" s="531"/>
      <c r="T212" s="531">
        <v>34</v>
      </c>
      <c r="U212" s="531"/>
      <c r="V212" s="531"/>
      <c r="W212" s="531"/>
      <c r="X212" s="531"/>
      <c r="Y212" s="531"/>
      <c r="Z212" s="531"/>
      <c r="AA212" s="531"/>
      <c r="AB212" s="531"/>
      <c r="AC212" s="532" t="e">
        <f>IF(NFI_Expiration=1,IF(#REF!&lt;VLOOKUP(L$5,NFI,5,0),1,0)*Table_NFI[[#This Row],[NFI Core Kit]],Table_NFI[NFI Core Kit])</f>
        <v>#REF!</v>
      </c>
      <c r="AD212" s="532" t="e">
        <f>IF(NFI_Expiration=1,IF(#REF!&lt;VLOOKUP(M$5,NFI,5,0),1,0)*Table_NFI[[#This Row],[Sanitary Kit]],Table_NFI[Sanitary Kit])</f>
        <v>#REF!</v>
      </c>
      <c r="AE212" s="532" t="e">
        <f>IF(NFI_Expiration=1,IF(#REF!&lt;VLOOKUP(N$5,NFI,5,0),1,0)*Table_NFI[[#This Row],[Mosquito net]],Table_NFI[Mosquito net])</f>
        <v>#REF!</v>
      </c>
      <c r="AF212" s="532" t="e">
        <f>IF(NFI_Expiration=1,IF(#REF!&lt;VLOOKUP(O$5,NFI,5,0),1,0)*Table_NFI[[#This Row],[Tarpaulin]],Table_NFI[[#This Row],[Tarpaulin]])</f>
        <v>#REF!</v>
      </c>
      <c r="AG212" s="532" t="e">
        <f>IF(NFI_Expiration=1,IF(#REF!&lt;VLOOKUP(P$5,NFI,5,0),1,0)*Table_NFI[[#This Row],[Blanket]],Table_NFI[[#This Row],[Blanket]])</f>
        <v>#REF!</v>
      </c>
      <c r="AH212" s="532" t="e">
        <f>IF(NFI_Expiration=1,IF(#REF!&lt;VLOOKUP(Q$5,NFI,5,0),1,0)*Table_NFI[[#This Row],[Kitchen Set]],Table_NFI[Kitchen Set])</f>
        <v>#REF!</v>
      </c>
      <c r="AI212" s="532" t="e">
        <f>IF(NFI_Expiration=1,IF(#REF!&lt;VLOOKUP(R$5,NFI,5,0),1,0)*Table_NFI[[#This Row],[Clothes Kit]],Table_NFI[Clothes Kit])</f>
        <v>#REF!</v>
      </c>
      <c r="AJ212" s="532" t="e">
        <f>IF(NFI_Expiration=1,IF(#REF!&lt;VLOOKUP(S$5,NFI,5,0),1,0)*Table_NFI[[#This Row],[Plastic Bucket]],Table_NFI[Plastic Bucket])</f>
        <v>#REF!</v>
      </c>
      <c r="AK212" s="532" t="e">
        <f>IF(NFI_Expiration=1,IF(#REF!&lt;VLOOKUP(T$5,NFI,5,0),1,0)*Table_NFI[[#This Row],[Plastic Mat]],Table_NFI[Plastic Mat])*IF(Table_NFI[[#This Row],[Distribution Date]]&gt;"2014-04-01",1,2.5)</f>
        <v>#REF!</v>
      </c>
      <c r="AL212" s="532" t="e">
        <f>IF(NFI_Expiration=1,IF(#REF!&lt;VLOOKUP(U$5,NFI,5,0),1,0)*Table_NFI[[#This Row],[Winter Clothes Adult]],Table_NFI[Winter Clothes Adult])</f>
        <v>#REF!</v>
      </c>
      <c r="AM212" s="532"/>
      <c r="AN212" s="532"/>
      <c r="AO212" s="532"/>
      <c r="AP212" s="532">
        <f>IF(Table_NFI[[#This Row],[Winter Clothes Adult]]+Table_NFI[[#This Row],[Winter Clothes Children]]+Table_NFI[[#This Row],[Winter Items Other]]+Table_NFI[[#This Row],[Winter Blanket]]&gt;0,1,0)</f>
        <v>0</v>
      </c>
      <c r="AQ212" s="532"/>
      <c r="AR212" s="532"/>
      <c r="AS212" s="532"/>
      <c r="AT212" s="532"/>
      <c r="AU212" s="532"/>
      <c r="AV212" s="532"/>
      <c r="AW212" s="532"/>
      <c r="AX212" s="203" t="str">
        <f>IFERROR(VLOOKUP(Table_NFI[[#This Row],[Location]],CL,2,0),"")</f>
        <v>MMR001CMP062</v>
      </c>
      <c r="AY212" s="181" t="s">
        <v>1602</v>
      </c>
      <c r="AZ212" s="524"/>
      <c r="DS212" s="181"/>
      <c r="DT212" s="181"/>
    </row>
    <row r="213" spans="2:124" hidden="1" x14ac:dyDescent="0.25">
      <c r="B213" s="530">
        <v>43201</v>
      </c>
      <c r="C213" s="530"/>
      <c r="D213" s="196" t="s">
        <v>1452</v>
      </c>
      <c r="E213" s="196"/>
      <c r="F213" s="196" t="s">
        <v>506</v>
      </c>
      <c r="G213" s="195" t="s">
        <v>297</v>
      </c>
      <c r="H213" s="196" t="s">
        <v>1189</v>
      </c>
      <c r="I213" s="629"/>
      <c r="J213" s="531">
        <v>101</v>
      </c>
      <c r="K213" s="531"/>
      <c r="L213" s="531"/>
      <c r="M213" s="531"/>
      <c r="N213" s="531"/>
      <c r="O213" s="531"/>
      <c r="P213" s="531"/>
      <c r="Q213" s="531"/>
      <c r="R213" s="531"/>
      <c r="S213" s="531">
        <v>101</v>
      </c>
      <c r="T213" s="531"/>
      <c r="U213" s="531"/>
      <c r="V213" s="531"/>
      <c r="W213" s="531"/>
      <c r="X213" s="531"/>
      <c r="Y213" s="531"/>
      <c r="Z213" s="531"/>
      <c r="AA213" s="531"/>
      <c r="AB213" s="531"/>
      <c r="AC213" s="532" t="e">
        <f>IF(NFI_Expiration=1,IF(#REF!&lt;VLOOKUP(L$5,NFI,5,0),1,0)*Table_NFI[[#This Row],[NFI Core Kit]],Table_NFI[NFI Core Kit])</f>
        <v>#REF!</v>
      </c>
      <c r="AD213" s="532" t="e">
        <f>IF(NFI_Expiration=1,IF(#REF!&lt;VLOOKUP(M$5,NFI,5,0),1,0)*Table_NFI[[#This Row],[Sanitary Kit]],Table_NFI[Sanitary Kit])</f>
        <v>#REF!</v>
      </c>
      <c r="AE213" s="532" t="e">
        <f>IF(NFI_Expiration=1,IF(#REF!&lt;VLOOKUP(N$5,NFI,5,0),1,0)*Table_NFI[[#This Row],[Mosquito net]],Table_NFI[Mosquito net])</f>
        <v>#REF!</v>
      </c>
      <c r="AF213" s="532" t="e">
        <f>IF(NFI_Expiration=1,IF(#REF!&lt;VLOOKUP(O$5,NFI,5,0),1,0)*Table_NFI[[#This Row],[Tarpaulin]],Table_NFI[[#This Row],[Tarpaulin]])</f>
        <v>#REF!</v>
      </c>
      <c r="AG213" s="532" t="e">
        <f>IF(NFI_Expiration=1,IF(#REF!&lt;VLOOKUP(P$5,NFI,5,0),1,0)*Table_NFI[[#This Row],[Blanket]],Table_NFI[[#This Row],[Blanket]])</f>
        <v>#REF!</v>
      </c>
      <c r="AH213" s="532" t="e">
        <f>IF(NFI_Expiration=1,IF(#REF!&lt;VLOOKUP(Q$5,NFI,5,0),1,0)*Table_NFI[[#This Row],[Kitchen Set]],Table_NFI[Kitchen Set])</f>
        <v>#REF!</v>
      </c>
      <c r="AI213" s="532" t="e">
        <f>IF(NFI_Expiration=1,IF(#REF!&lt;VLOOKUP(R$5,NFI,5,0),1,0)*Table_NFI[[#This Row],[Clothes Kit]],Table_NFI[Clothes Kit])</f>
        <v>#REF!</v>
      </c>
      <c r="AJ213" s="532" t="e">
        <f>IF(NFI_Expiration=1,IF(#REF!&lt;VLOOKUP(S$5,NFI,5,0),1,0)*Table_NFI[[#This Row],[Plastic Bucket]],Table_NFI[Plastic Bucket])</f>
        <v>#REF!</v>
      </c>
      <c r="AK213" s="532" t="e">
        <f>IF(NFI_Expiration=1,IF(#REF!&lt;VLOOKUP(T$5,NFI,5,0),1,0)*Table_NFI[[#This Row],[Plastic Mat]],Table_NFI[Plastic Mat])*IF(Table_NFI[[#This Row],[Distribution Date]]&gt;"2014-04-01",1,2.5)</f>
        <v>#REF!</v>
      </c>
      <c r="AL213" s="532" t="e">
        <f>IF(NFI_Expiration=1,IF(#REF!&lt;VLOOKUP(U$5,NFI,5,0),1,0)*Table_NFI[[#This Row],[Winter Clothes Adult]],Table_NFI[Winter Clothes Adult])</f>
        <v>#REF!</v>
      </c>
      <c r="AM213" s="532"/>
      <c r="AN213" s="532"/>
      <c r="AO213" s="532"/>
      <c r="AP213" s="532">
        <f>IF(Table_NFI[[#This Row],[Winter Clothes Adult]]+Table_NFI[[#This Row],[Winter Clothes Children]]+Table_NFI[[#This Row],[Winter Items Other]]+Table_NFI[[#This Row],[Winter Blanket]]&gt;0,1,0)</f>
        <v>0</v>
      </c>
      <c r="AQ213" s="532"/>
      <c r="AR213" s="532"/>
      <c r="AS213" s="532"/>
      <c r="AT213" s="532"/>
      <c r="AU213" s="532"/>
      <c r="AV213" s="532"/>
      <c r="AW213" s="532"/>
      <c r="AX213" s="203" t="str">
        <f>IFERROR(VLOOKUP(Table_NFI[[#This Row],[Location]],CL,2,0),"")</f>
        <v>MMR015CMP232</v>
      </c>
      <c r="AZ213" s="524"/>
      <c r="DS213" s="181"/>
      <c r="DT213" s="181"/>
    </row>
    <row r="214" spans="2:124" hidden="1" x14ac:dyDescent="0.25">
      <c r="B214" s="530">
        <v>43195</v>
      </c>
      <c r="C214" s="530"/>
      <c r="D214" s="196" t="s">
        <v>1452</v>
      </c>
      <c r="E214" s="196"/>
      <c r="F214" s="196" t="s">
        <v>506</v>
      </c>
      <c r="G214" s="195" t="s">
        <v>297</v>
      </c>
      <c r="H214" s="196" t="s">
        <v>759</v>
      </c>
      <c r="I214" s="628">
        <v>1</v>
      </c>
      <c r="J214" s="531"/>
      <c r="K214" s="531"/>
      <c r="L214" s="531"/>
      <c r="M214" s="531"/>
      <c r="N214" s="531"/>
      <c r="O214" s="531"/>
      <c r="P214" s="531"/>
      <c r="Q214" s="531"/>
      <c r="R214" s="531"/>
      <c r="S214" s="531"/>
      <c r="T214" s="531"/>
      <c r="U214" s="531"/>
      <c r="V214" s="531"/>
      <c r="W214" s="531"/>
      <c r="X214" s="531"/>
      <c r="Y214" s="531"/>
      <c r="Z214" s="531"/>
      <c r="AA214" s="531"/>
      <c r="AB214" s="531"/>
      <c r="AC214" s="532" t="e">
        <f>IF(NFI_Expiration=1,IF(#REF!&lt;VLOOKUP(L$5,NFI,5,0),1,0)*Table_NFI[[#This Row],[NFI Core Kit]],Table_NFI[NFI Core Kit])</f>
        <v>#REF!</v>
      </c>
      <c r="AD214" s="532" t="e">
        <f>IF(NFI_Expiration=1,IF(#REF!&lt;VLOOKUP(M$5,NFI,5,0),1,0)*Table_NFI[[#This Row],[Sanitary Kit]],Table_NFI[Sanitary Kit])</f>
        <v>#REF!</v>
      </c>
      <c r="AE214" s="532" t="e">
        <f>IF(NFI_Expiration=1,IF(#REF!&lt;VLOOKUP(N$5,NFI,5,0),1,0)*Table_NFI[[#This Row],[Mosquito net]],Table_NFI[Mosquito net])</f>
        <v>#REF!</v>
      </c>
      <c r="AF214" s="532" t="e">
        <f>IF(NFI_Expiration=1,IF(#REF!&lt;VLOOKUP(O$5,NFI,5,0),1,0)*Table_NFI[[#This Row],[Tarpaulin]],Table_NFI[[#This Row],[Tarpaulin]])</f>
        <v>#REF!</v>
      </c>
      <c r="AG214" s="532" t="e">
        <f>IF(NFI_Expiration=1,IF(#REF!&lt;VLOOKUP(P$5,NFI,5,0),1,0)*Table_NFI[[#This Row],[Blanket]],Table_NFI[[#This Row],[Blanket]])</f>
        <v>#REF!</v>
      </c>
      <c r="AH214" s="532" t="e">
        <f>IF(NFI_Expiration=1,IF(#REF!&lt;VLOOKUP(Q$5,NFI,5,0),1,0)*Table_NFI[[#This Row],[Kitchen Set]],Table_NFI[Kitchen Set])</f>
        <v>#REF!</v>
      </c>
      <c r="AI214" s="532" t="e">
        <f>IF(NFI_Expiration=1,IF(#REF!&lt;VLOOKUP(R$5,NFI,5,0),1,0)*Table_NFI[[#This Row],[Clothes Kit]],Table_NFI[Clothes Kit])</f>
        <v>#REF!</v>
      </c>
      <c r="AJ214" s="532" t="e">
        <f>IF(NFI_Expiration=1,IF(#REF!&lt;VLOOKUP(S$5,NFI,5,0),1,0)*Table_NFI[[#This Row],[Plastic Bucket]],Table_NFI[Plastic Bucket])</f>
        <v>#REF!</v>
      </c>
      <c r="AK214" s="532" t="e">
        <f>IF(NFI_Expiration=1,IF(#REF!&lt;VLOOKUP(T$5,NFI,5,0),1,0)*Table_NFI[[#This Row],[Plastic Mat]],Table_NFI[Plastic Mat])*IF(Table_NFI[[#This Row],[Distribution Date]]&gt;"2014-04-01",1,2.5)</f>
        <v>#REF!</v>
      </c>
      <c r="AL214" s="532" t="e">
        <f>IF(NFI_Expiration=1,IF(#REF!&lt;VLOOKUP(U$5,NFI,5,0),1,0)*Table_NFI[[#This Row],[Winter Clothes Adult]],Table_NFI[Winter Clothes Adult])</f>
        <v>#REF!</v>
      </c>
      <c r="AM214" s="532"/>
      <c r="AN214" s="532"/>
      <c r="AO214" s="532"/>
      <c r="AP214" s="532">
        <f>IF(Table_NFI[[#This Row],[Winter Clothes Adult]]+Table_NFI[[#This Row],[Winter Clothes Children]]+Table_NFI[[#This Row],[Winter Items Other]]+Table_NFI[[#This Row],[Winter Blanket]]&gt;0,1,0)</f>
        <v>0</v>
      </c>
      <c r="AQ214" s="532"/>
      <c r="AR214" s="532"/>
      <c r="AS214" s="532"/>
      <c r="AT214" s="532"/>
      <c r="AU214" s="532"/>
      <c r="AV214" s="532"/>
      <c r="AW214" s="532"/>
      <c r="AX214" s="203" t="str">
        <f>IFERROR(VLOOKUP(Table_NFI[[#This Row],[Location]],CL,2,0),"")</f>
        <v>MMR015CMP014</v>
      </c>
      <c r="AZ214" s="524"/>
      <c r="DS214" s="181"/>
      <c r="DT214" s="181"/>
    </row>
    <row r="215" spans="2:124" hidden="1" x14ac:dyDescent="0.25">
      <c r="B215" s="530">
        <v>43195</v>
      </c>
      <c r="C215" s="530" t="str">
        <f>MONTH(Table_NFI[[#This Row],[Distribution Date]]) &amp; "/" &amp; YEAR(Table_NFI[[#This Row],[Distribution Date]])</f>
        <v>4/2018</v>
      </c>
      <c r="D215" s="196" t="s">
        <v>1452</v>
      </c>
      <c r="E215" s="196"/>
      <c r="F215" s="196" t="s">
        <v>506</v>
      </c>
      <c r="G215" s="195" t="s">
        <v>297</v>
      </c>
      <c r="H215" s="196" t="s">
        <v>1273</v>
      </c>
      <c r="I215" s="628">
        <v>1</v>
      </c>
      <c r="J215" s="531"/>
      <c r="K215" s="531"/>
      <c r="L215" s="531"/>
      <c r="M215" s="531"/>
      <c r="N215" s="531"/>
      <c r="O215" s="531"/>
      <c r="P215" s="531"/>
      <c r="Q215" s="531"/>
      <c r="R215" s="531"/>
      <c r="S215" s="531"/>
      <c r="T215" s="531"/>
      <c r="U215" s="531"/>
      <c r="V215" s="531"/>
      <c r="W215" s="531"/>
      <c r="X215" s="531"/>
      <c r="Y215" s="531"/>
      <c r="Z215" s="531"/>
      <c r="AA215" s="531"/>
      <c r="AB215" s="531"/>
      <c r="AC215" s="532" t="e">
        <f>IF(NFI_Expiration=1,IF(#REF!&lt;VLOOKUP(L$5,NFI,5,0),1,0)*Table_NFI[[#This Row],[NFI Core Kit]],Table_NFI[NFI Core Kit])</f>
        <v>#REF!</v>
      </c>
      <c r="AD215" s="532" t="e">
        <f>IF(NFI_Expiration=1,IF(#REF!&lt;VLOOKUP(M$5,NFI,5,0),1,0)*Table_NFI[[#This Row],[Sanitary Kit]],Table_NFI[Sanitary Kit])</f>
        <v>#REF!</v>
      </c>
      <c r="AE215" s="532" t="e">
        <f>IF(NFI_Expiration=1,IF(#REF!&lt;VLOOKUP(N$5,NFI,5,0),1,0)*Table_NFI[[#This Row],[Mosquito net]],Table_NFI[Mosquito net])</f>
        <v>#REF!</v>
      </c>
      <c r="AF215" s="532" t="e">
        <f>IF(NFI_Expiration=1,IF(#REF!&lt;VLOOKUP(O$5,NFI,5,0),1,0)*Table_NFI[[#This Row],[Tarpaulin]],Table_NFI[[#This Row],[Tarpaulin]])</f>
        <v>#REF!</v>
      </c>
      <c r="AG215" s="532" t="e">
        <f>IF(NFI_Expiration=1,IF(#REF!&lt;VLOOKUP(P$5,NFI,5,0),1,0)*Table_NFI[[#This Row],[Blanket]],Table_NFI[[#This Row],[Blanket]])</f>
        <v>#REF!</v>
      </c>
      <c r="AH215" s="532" t="e">
        <f>IF(NFI_Expiration=1,IF(#REF!&lt;VLOOKUP(Q$5,NFI,5,0),1,0)*Table_NFI[[#This Row],[Kitchen Set]],Table_NFI[Kitchen Set])</f>
        <v>#REF!</v>
      </c>
      <c r="AI215" s="532" t="e">
        <f>IF(NFI_Expiration=1,IF(#REF!&lt;VLOOKUP(R$5,NFI,5,0),1,0)*Table_NFI[[#This Row],[Clothes Kit]],Table_NFI[Clothes Kit])</f>
        <v>#REF!</v>
      </c>
      <c r="AJ215" s="532" t="e">
        <f>IF(NFI_Expiration=1,IF(#REF!&lt;VLOOKUP(S$5,NFI,5,0),1,0)*Table_NFI[[#This Row],[Plastic Bucket]],Table_NFI[Plastic Bucket])</f>
        <v>#REF!</v>
      </c>
      <c r="AK215" s="532" t="e">
        <f>IF(NFI_Expiration=1,IF(#REF!&lt;VLOOKUP(T$5,NFI,5,0),1,0)*Table_NFI[[#This Row],[Plastic Mat]],Table_NFI[Plastic Mat])*IF(Table_NFI[[#This Row],[Distribution Date]]&gt;"2014-04-01",1,2.5)</f>
        <v>#REF!</v>
      </c>
      <c r="AL215" s="532" t="e">
        <f>IF(NFI_Expiration=1,IF(#REF!&lt;VLOOKUP(U$5,NFI,5,0),1,0)*Table_NFI[[#This Row],[Winter Clothes Adult]],Table_NFI[Winter Clothes Adult])</f>
        <v>#REF!</v>
      </c>
      <c r="AM215" s="532"/>
      <c r="AN215" s="532"/>
      <c r="AO215" s="532"/>
      <c r="AP215" s="532">
        <f>IF(Table_NFI[[#This Row],[Winter Clothes Adult]]+Table_NFI[[#This Row],[Winter Clothes Children]]+Table_NFI[[#This Row],[Winter Items Other]]+Table_NFI[[#This Row],[Winter Blanket]]&gt;0,1,0)</f>
        <v>0</v>
      </c>
      <c r="AQ215" s="532"/>
      <c r="AR215" s="532"/>
      <c r="AS215" s="532"/>
      <c r="AT215" s="532"/>
      <c r="AU215" s="532"/>
      <c r="AV215" s="532"/>
      <c r="AW215" s="532"/>
      <c r="AX215" s="203" t="str">
        <f>IFERROR(VLOOKUP(Table_NFI[[#This Row],[Location]],CL,2,0),"")</f>
        <v>MMR015CMP248</v>
      </c>
      <c r="AZ215" s="524"/>
      <c r="DS215" s="181"/>
      <c r="DT215" s="181"/>
    </row>
    <row r="216" spans="2:124" hidden="1" x14ac:dyDescent="0.25">
      <c r="B216" s="530">
        <v>43195</v>
      </c>
      <c r="C216" s="530" t="str">
        <f>MONTH(Table_NFI[[#This Row],[Distribution Date]]) &amp; "/" &amp; YEAR(Table_NFI[[#This Row],[Distribution Date]])</f>
        <v>4/2018</v>
      </c>
      <c r="D216" s="196" t="s">
        <v>1452</v>
      </c>
      <c r="E216" s="196"/>
      <c r="F216" s="196" t="s">
        <v>506</v>
      </c>
      <c r="G216" s="195" t="s">
        <v>297</v>
      </c>
      <c r="H216" s="196" t="s">
        <v>1273</v>
      </c>
      <c r="I216" s="628">
        <v>1</v>
      </c>
      <c r="J216" s="531"/>
      <c r="K216" s="531"/>
      <c r="L216" s="531"/>
      <c r="M216" s="531"/>
      <c r="N216" s="531"/>
      <c r="O216" s="531"/>
      <c r="P216" s="531"/>
      <c r="Q216" s="531"/>
      <c r="R216" s="531"/>
      <c r="S216" s="531"/>
      <c r="T216" s="531"/>
      <c r="U216" s="531"/>
      <c r="V216" s="531"/>
      <c r="W216" s="531"/>
      <c r="X216" s="531"/>
      <c r="Y216" s="531"/>
      <c r="Z216" s="531"/>
      <c r="AA216" s="531"/>
      <c r="AB216" s="531"/>
      <c r="AC216" s="532" t="e">
        <f>IF(NFI_Expiration=1,IF(#REF!&lt;VLOOKUP(L$5,NFI,5,0),1,0)*Table_NFI[[#This Row],[NFI Core Kit]],Table_NFI[NFI Core Kit])</f>
        <v>#REF!</v>
      </c>
      <c r="AD216" s="532" t="e">
        <f>IF(NFI_Expiration=1,IF(#REF!&lt;VLOOKUP(M$5,NFI,5,0),1,0)*Table_NFI[[#This Row],[Sanitary Kit]],Table_NFI[Sanitary Kit])</f>
        <v>#REF!</v>
      </c>
      <c r="AE216" s="532" t="e">
        <f>IF(NFI_Expiration=1,IF(#REF!&lt;VLOOKUP(N$5,NFI,5,0),1,0)*Table_NFI[[#This Row],[Mosquito net]],Table_NFI[Mosquito net])</f>
        <v>#REF!</v>
      </c>
      <c r="AF216" s="532" t="e">
        <f>IF(NFI_Expiration=1,IF(#REF!&lt;VLOOKUP(O$5,NFI,5,0),1,0)*Table_NFI[[#This Row],[Tarpaulin]],Table_NFI[[#This Row],[Tarpaulin]])</f>
        <v>#REF!</v>
      </c>
      <c r="AG216" s="532" t="e">
        <f>IF(NFI_Expiration=1,IF(#REF!&lt;VLOOKUP(P$5,NFI,5,0),1,0)*Table_NFI[[#This Row],[Blanket]],Table_NFI[[#This Row],[Blanket]])</f>
        <v>#REF!</v>
      </c>
      <c r="AH216" s="532" t="e">
        <f>IF(NFI_Expiration=1,IF(#REF!&lt;VLOOKUP(Q$5,NFI,5,0),1,0)*Table_NFI[[#This Row],[Kitchen Set]],Table_NFI[Kitchen Set])</f>
        <v>#REF!</v>
      </c>
      <c r="AI216" s="532" t="e">
        <f>IF(NFI_Expiration=1,IF(#REF!&lt;VLOOKUP(R$5,NFI,5,0),1,0)*Table_NFI[[#This Row],[Clothes Kit]],Table_NFI[Clothes Kit])</f>
        <v>#REF!</v>
      </c>
      <c r="AJ216" s="532" t="e">
        <f>IF(NFI_Expiration=1,IF(#REF!&lt;VLOOKUP(S$5,NFI,5,0),1,0)*Table_NFI[[#This Row],[Plastic Bucket]],Table_NFI[Plastic Bucket])</f>
        <v>#REF!</v>
      </c>
      <c r="AK216" s="532" t="e">
        <f>IF(NFI_Expiration=1,IF(#REF!&lt;VLOOKUP(T$5,NFI,5,0),1,0)*Table_NFI[[#This Row],[Plastic Mat]],Table_NFI[Plastic Mat])*IF(Table_NFI[[#This Row],[Distribution Date]]&gt;"2014-04-01",1,2.5)</f>
        <v>#REF!</v>
      </c>
      <c r="AL216" s="532" t="e">
        <f>IF(NFI_Expiration=1,IF(#REF!&lt;VLOOKUP(U$5,NFI,5,0),1,0)*Table_NFI[[#This Row],[Winter Clothes Adult]],Table_NFI[Winter Clothes Adult])</f>
        <v>#REF!</v>
      </c>
      <c r="AM216" s="532"/>
      <c r="AN216" s="532"/>
      <c r="AO216" s="532"/>
      <c r="AP216" s="532">
        <f>IF(Table_NFI[[#This Row],[Winter Clothes Adult]]+Table_NFI[[#This Row],[Winter Clothes Children]]+Table_NFI[[#This Row],[Winter Items Other]]+Table_NFI[[#This Row],[Winter Blanket]]&gt;0,1,0)</f>
        <v>0</v>
      </c>
      <c r="AQ216" s="532"/>
      <c r="AR216" s="532"/>
      <c r="AS216" s="532"/>
      <c r="AT216" s="532"/>
      <c r="AU216" s="532"/>
      <c r="AV216" s="532"/>
      <c r="AW216" s="532"/>
      <c r="AX216" s="203" t="str">
        <f>IFERROR(VLOOKUP(Table_NFI[[#This Row],[Location]],CL,2,0),"")</f>
        <v>MMR015CMP248</v>
      </c>
      <c r="AZ216" s="524"/>
      <c r="DS216" s="181"/>
      <c r="DT216" s="181"/>
    </row>
    <row r="217" spans="2:124" hidden="1" x14ac:dyDescent="0.25">
      <c r="B217" s="530">
        <v>43216</v>
      </c>
      <c r="C217" s="530" t="str">
        <f>MONTH(Table_NFI[[#This Row],[Distribution Date]]) &amp; "/" &amp; YEAR(Table_NFI[[#This Row],[Distribution Date]])</f>
        <v>4/2018</v>
      </c>
      <c r="D217" s="196" t="s">
        <v>1452</v>
      </c>
      <c r="E217" s="196"/>
      <c r="F217" s="196" t="s">
        <v>378</v>
      </c>
      <c r="G217" s="195" t="s">
        <v>151</v>
      </c>
      <c r="H217" s="196" t="s">
        <v>154</v>
      </c>
      <c r="I217" s="628">
        <v>1</v>
      </c>
      <c r="J217" s="531"/>
      <c r="K217" s="531"/>
      <c r="L217" s="531"/>
      <c r="M217" s="531"/>
      <c r="N217" s="531"/>
      <c r="O217" s="531"/>
      <c r="P217" s="531"/>
      <c r="Q217" s="531"/>
      <c r="R217" s="531"/>
      <c r="S217" s="531"/>
      <c r="T217" s="531"/>
      <c r="U217" s="531"/>
      <c r="V217" s="531"/>
      <c r="W217" s="531"/>
      <c r="X217" s="531"/>
      <c r="Y217" s="531"/>
      <c r="Z217" s="531"/>
      <c r="AA217" s="531"/>
      <c r="AB217" s="531"/>
      <c r="AC217" s="532" t="e">
        <f>IF(NFI_Expiration=1,IF(#REF!&lt;VLOOKUP(L$5,NFI,5,0),1,0)*Table_NFI[[#This Row],[NFI Core Kit]],Table_NFI[NFI Core Kit])</f>
        <v>#REF!</v>
      </c>
      <c r="AD217" s="532" t="e">
        <f>IF(NFI_Expiration=1,IF(#REF!&lt;VLOOKUP(M$5,NFI,5,0),1,0)*Table_NFI[[#This Row],[Sanitary Kit]],Table_NFI[Sanitary Kit])</f>
        <v>#REF!</v>
      </c>
      <c r="AE217" s="532" t="e">
        <f>IF(NFI_Expiration=1,IF(#REF!&lt;VLOOKUP(N$5,NFI,5,0),1,0)*Table_NFI[[#This Row],[Mosquito net]],Table_NFI[Mosquito net])</f>
        <v>#REF!</v>
      </c>
      <c r="AF217" s="532" t="e">
        <f>IF(NFI_Expiration=1,IF(#REF!&lt;VLOOKUP(O$5,NFI,5,0),1,0)*Table_NFI[[#This Row],[Tarpaulin]],Table_NFI[[#This Row],[Tarpaulin]])</f>
        <v>#REF!</v>
      </c>
      <c r="AG217" s="532" t="e">
        <f>IF(NFI_Expiration=1,IF(#REF!&lt;VLOOKUP(P$5,NFI,5,0),1,0)*Table_NFI[[#This Row],[Blanket]],Table_NFI[[#This Row],[Blanket]])</f>
        <v>#REF!</v>
      </c>
      <c r="AH217" s="532" t="e">
        <f>IF(NFI_Expiration=1,IF(#REF!&lt;VLOOKUP(Q$5,NFI,5,0),1,0)*Table_NFI[[#This Row],[Kitchen Set]],Table_NFI[Kitchen Set])</f>
        <v>#REF!</v>
      </c>
      <c r="AI217" s="532" t="e">
        <f>IF(NFI_Expiration=1,IF(#REF!&lt;VLOOKUP(R$5,NFI,5,0),1,0)*Table_NFI[[#This Row],[Clothes Kit]],Table_NFI[Clothes Kit])</f>
        <v>#REF!</v>
      </c>
      <c r="AJ217" s="532" t="e">
        <f>IF(NFI_Expiration=1,IF(#REF!&lt;VLOOKUP(S$5,NFI,5,0),1,0)*Table_NFI[[#This Row],[Plastic Bucket]],Table_NFI[Plastic Bucket])</f>
        <v>#REF!</v>
      </c>
      <c r="AK217" s="532" t="e">
        <f>IF(NFI_Expiration=1,IF(#REF!&lt;VLOOKUP(T$5,NFI,5,0),1,0)*Table_NFI[[#This Row],[Plastic Mat]],Table_NFI[Plastic Mat])*IF(Table_NFI[[#This Row],[Distribution Date]]&gt;"2014-04-01",1,2.5)</f>
        <v>#REF!</v>
      </c>
      <c r="AL217" s="532" t="e">
        <f>IF(NFI_Expiration=1,IF(#REF!&lt;VLOOKUP(U$5,NFI,5,0),1,0)*Table_NFI[[#This Row],[Winter Clothes Adult]],Table_NFI[Winter Clothes Adult])</f>
        <v>#REF!</v>
      </c>
      <c r="AM217" s="532"/>
      <c r="AN217" s="532"/>
      <c r="AO217" s="532"/>
      <c r="AP217" s="532">
        <f>IF(Table_NFI[[#This Row],[Winter Clothes Adult]]+Table_NFI[[#This Row],[Winter Clothes Children]]+Table_NFI[[#This Row],[Winter Items Other]]+Table_NFI[[#This Row],[Winter Blanket]]&gt;0,1,0)</f>
        <v>0</v>
      </c>
      <c r="AQ217" s="532"/>
      <c r="AR217" s="532"/>
      <c r="AS217" s="532"/>
      <c r="AT217" s="532"/>
      <c r="AU217" s="532"/>
      <c r="AV217" s="532"/>
      <c r="AW217" s="532"/>
      <c r="AX217" s="203" t="str">
        <f>IFERROR(VLOOKUP(Table_NFI[[#This Row],[Location]],CL,2,0),"")</f>
        <v>MMR001CMP132</v>
      </c>
      <c r="AZ217" s="524"/>
      <c r="DS217" s="181"/>
      <c r="DT217" s="181"/>
    </row>
    <row r="218" spans="2:124" hidden="1" x14ac:dyDescent="0.25">
      <c r="B218" s="530">
        <v>43216</v>
      </c>
      <c r="C218" s="530" t="str">
        <f>MONTH(Table_NFI[[#This Row],[Distribution Date]]) &amp; "/" &amp; YEAR(Table_NFI[[#This Row],[Distribution Date]])</f>
        <v>4/2018</v>
      </c>
      <c r="D218" s="196" t="s">
        <v>1452</v>
      </c>
      <c r="E218" s="196"/>
      <c r="F218" s="196" t="s">
        <v>378</v>
      </c>
      <c r="G218" s="195" t="s">
        <v>151</v>
      </c>
      <c r="H218" s="196" t="s">
        <v>154</v>
      </c>
      <c r="I218" s="628">
        <v>1</v>
      </c>
      <c r="J218" s="531"/>
      <c r="K218" s="531"/>
      <c r="L218" s="628">
        <v>1</v>
      </c>
      <c r="M218" s="531"/>
      <c r="N218" s="531"/>
      <c r="O218" s="531"/>
      <c r="P218" s="531"/>
      <c r="Q218" s="531"/>
      <c r="R218" s="531"/>
      <c r="S218" s="531"/>
      <c r="T218" s="531"/>
      <c r="U218" s="531"/>
      <c r="V218" s="531"/>
      <c r="W218" s="531"/>
      <c r="X218" s="531"/>
      <c r="Y218" s="531"/>
      <c r="Z218" s="531"/>
      <c r="AA218" s="531"/>
      <c r="AB218" s="531"/>
      <c r="AC218" s="532" t="e">
        <f>IF(NFI_Expiration=1,IF(#REF!&lt;VLOOKUP(L$5,NFI,5,0),1,0)*Table_NFI[[#This Row],[NFI Core Kit]],Table_NFI[NFI Core Kit])</f>
        <v>#REF!</v>
      </c>
      <c r="AD218" s="532" t="e">
        <f>IF(NFI_Expiration=1,IF(#REF!&lt;VLOOKUP(M$5,NFI,5,0),1,0)*Table_NFI[[#This Row],[Sanitary Kit]],Table_NFI[Sanitary Kit])</f>
        <v>#REF!</v>
      </c>
      <c r="AE218" s="532" t="e">
        <f>IF(NFI_Expiration=1,IF(#REF!&lt;VLOOKUP(N$5,NFI,5,0),1,0)*Table_NFI[[#This Row],[Mosquito net]],Table_NFI[Mosquito net])</f>
        <v>#REF!</v>
      </c>
      <c r="AF218" s="532" t="e">
        <f>IF(NFI_Expiration=1,IF(#REF!&lt;VLOOKUP(O$5,NFI,5,0),1,0)*Table_NFI[[#This Row],[Tarpaulin]],Table_NFI[[#This Row],[Tarpaulin]])</f>
        <v>#REF!</v>
      </c>
      <c r="AG218" s="532" t="e">
        <f>IF(NFI_Expiration=1,IF(#REF!&lt;VLOOKUP(P$5,NFI,5,0),1,0)*Table_NFI[[#This Row],[Blanket]],Table_NFI[[#This Row],[Blanket]])</f>
        <v>#REF!</v>
      </c>
      <c r="AH218" s="532" t="e">
        <f>IF(NFI_Expiration=1,IF(#REF!&lt;VLOOKUP(Q$5,NFI,5,0),1,0)*Table_NFI[[#This Row],[Kitchen Set]],Table_NFI[Kitchen Set])</f>
        <v>#REF!</v>
      </c>
      <c r="AI218" s="532" t="e">
        <f>IF(NFI_Expiration=1,IF(#REF!&lt;VLOOKUP(R$5,NFI,5,0),1,0)*Table_NFI[[#This Row],[Clothes Kit]],Table_NFI[Clothes Kit])</f>
        <v>#REF!</v>
      </c>
      <c r="AJ218" s="532" t="e">
        <f>IF(NFI_Expiration=1,IF(#REF!&lt;VLOOKUP(S$5,NFI,5,0),1,0)*Table_NFI[[#This Row],[Plastic Bucket]],Table_NFI[Plastic Bucket])</f>
        <v>#REF!</v>
      </c>
      <c r="AK218" s="532" t="e">
        <f>IF(NFI_Expiration=1,IF(#REF!&lt;VLOOKUP(T$5,NFI,5,0),1,0)*Table_NFI[[#This Row],[Plastic Mat]],Table_NFI[Plastic Mat])*IF(Table_NFI[[#This Row],[Distribution Date]]&gt;"2014-04-01",1,2.5)</f>
        <v>#REF!</v>
      </c>
      <c r="AL218" s="532" t="e">
        <f>IF(NFI_Expiration=1,IF(#REF!&lt;VLOOKUP(U$5,NFI,5,0),1,0)*Table_NFI[[#This Row],[Winter Clothes Adult]],Table_NFI[Winter Clothes Adult])</f>
        <v>#REF!</v>
      </c>
      <c r="AM218" s="532"/>
      <c r="AN218" s="532"/>
      <c r="AO218" s="532"/>
      <c r="AP218" s="532">
        <f>IF(Table_NFI[[#This Row],[Winter Clothes Adult]]+Table_NFI[[#This Row],[Winter Clothes Children]]+Table_NFI[[#This Row],[Winter Items Other]]+Table_NFI[[#This Row],[Winter Blanket]]&gt;0,1,0)</f>
        <v>0</v>
      </c>
      <c r="AQ218" s="532"/>
      <c r="AR218" s="532"/>
      <c r="AS218" s="532"/>
      <c r="AT218" s="532"/>
      <c r="AU218" s="532"/>
      <c r="AV218" s="532"/>
      <c r="AW218" s="532"/>
      <c r="AX218" s="203" t="str">
        <f>IFERROR(VLOOKUP(Table_NFI[[#This Row],[Location]],CL,2,0),"")</f>
        <v>MMR001CMP132</v>
      </c>
      <c r="AZ218" s="524"/>
      <c r="DS218" s="181"/>
      <c r="DT218" s="181"/>
    </row>
    <row r="219" spans="2:124" hidden="1" x14ac:dyDescent="0.25">
      <c r="B219" s="530">
        <v>43201</v>
      </c>
      <c r="C219" s="530" t="str">
        <f>MONTH(Table_NFI[[#This Row],[Distribution Date]]) &amp; "/" &amp; YEAR(Table_NFI[[#This Row],[Distribution Date]])</f>
        <v>4/2018</v>
      </c>
      <c r="D219" s="196" t="s">
        <v>1452</v>
      </c>
      <c r="E219" s="196"/>
      <c r="F219" s="196" t="s">
        <v>506</v>
      </c>
      <c r="G219" s="195" t="s">
        <v>297</v>
      </c>
      <c r="H219" s="196" t="s">
        <v>759</v>
      </c>
      <c r="I219" s="628"/>
      <c r="J219" s="531"/>
      <c r="K219" s="531"/>
      <c r="L219" s="628">
        <v>1</v>
      </c>
      <c r="M219" s="531"/>
      <c r="N219" s="531"/>
      <c r="O219" s="531"/>
      <c r="P219" s="531"/>
      <c r="Q219" s="531"/>
      <c r="R219" s="531"/>
      <c r="S219" s="531"/>
      <c r="T219" s="531"/>
      <c r="U219" s="531"/>
      <c r="V219" s="531"/>
      <c r="W219" s="531"/>
      <c r="X219" s="531"/>
      <c r="Y219" s="531"/>
      <c r="Z219" s="531"/>
      <c r="AA219" s="531"/>
      <c r="AB219" s="531"/>
      <c r="AC219" s="532" t="e">
        <f>IF(NFI_Expiration=1,IF(#REF!&lt;VLOOKUP(L$5,NFI,5,0),1,0)*Table_NFI[[#This Row],[NFI Core Kit]],Table_NFI[NFI Core Kit])</f>
        <v>#REF!</v>
      </c>
      <c r="AD219" s="532" t="e">
        <f>IF(NFI_Expiration=1,IF(#REF!&lt;VLOOKUP(M$5,NFI,5,0),1,0)*Table_NFI[[#This Row],[Sanitary Kit]],Table_NFI[Sanitary Kit])</f>
        <v>#REF!</v>
      </c>
      <c r="AE219" s="532" t="e">
        <f>IF(NFI_Expiration=1,IF(#REF!&lt;VLOOKUP(N$5,NFI,5,0),1,0)*Table_NFI[[#This Row],[Mosquito net]],Table_NFI[Mosquito net])</f>
        <v>#REF!</v>
      </c>
      <c r="AF219" s="532" t="e">
        <f>IF(NFI_Expiration=1,IF(#REF!&lt;VLOOKUP(O$5,NFI,5,0),1,0)*Table_NFI[[#This Row],[Tarpaulin]],Table_NFI[[#This Row],[Tarpaulin]])</f>
        <v>#REF!</v>
      </c>
      <c r="AG219" s="532" t="e">
        <f>IF(NFI_Expiration=1,IF(#REF!&lt;VLOOKUP(P$5,NFI,5,0),1,0)*Table_NFI[[#This Row],[Blanket]],Table_NFI[[#This Row],[Blanket]])</f>
        <v>#REF!</v>
      </c>
      <c r="AH219" s="532" t="e">
        <f>IF(NFI_Expiration=1,IF(#REF!&lt;VLOOKUP(Q$5,NFI,5,0),1,0)*Table_NFI[[#This Row],[Kitchen Set]],Table_NFI[Kitchen Set])</f>
        <v>#REF!</v>
      </c>
      <c r="AI219" s="532" t="e">
        <f>IF(NFI_Expiration=1,IF(#REF!&lt;VLOOKUP(R$5,NFI,5,0),1,0)*Table_NFI[[#This Row],[Clothes Kit]],Table_NFI[Clothes Kit])</f>
        <v>#REF!</v>
      </c>
      <c r="AJ219" s="532" t="e">
        <f>IF(NFI_Expiration=1,IF(#REF!&lt;VLOOKUP(S$5,NFI,5,0),1,0)*Table_NFI[[#This Row],[Plastic Bucket]],Table_NFI[Plastic Bucket])</f>
        <v>#REF!</v>
      </c>
      <c r="AK219" s="532" t="e">
        <f>IF(NFI_Expiration=1,IF(#REF!&lt;VLOOKUP(T$5,NFI,5,0),1,0)*Table_NFI[[#This Row],[Plastic Mat]],Table_NFI[Plastic Mat])*IF(Table_NFI[[#This Row],[Distribution Date]]&gt;"2014-04-01",1,2.5)</f>
        <v>#REF!</v>
      </c>
      <c r="AL219" s="532" t="e">
        <f>IF(NFI_Expiration=1,IF(#REF!&lt;VLOOKUP(U$5,NFI,5,0),1,0)*Table_NFI[[#This Row],[Winter Clothes Adult]],Table_NFI[Winter Clothes Adult])</f>
        <v>#REF!</v>
      </c>
      <c r="AM219" s="532"/>
      <c r="AN219" s="532"/>
      <c r="AO219" s="532"/>
      <c r="AP219" s="532">
        <f>IF(Table_NFI[[#This Row],[Winter Clothes Adult]]+Table_NFI[[#This Row],[Winter Clothes Children]]+Table_NFI[[#This Row],[Winter Items Other]]+Table_NFI[[#This Row],[Winter Blanket]]&gt;0,1,0)</f>
        <v>0</v>
      </c>
      <c r="AQ219" s="532"/>
      <c r="AR219" s="532"/>
      <c r="AS219" s="532"/>
      <c r="AT219" s="532"/>
      <c r="AU219" s="532"/>
      <c r="AV219" s="532"/>
      <c r="AW219" s="532"/>
      <c r="AX219" s="203" t="str">
        <f>IFERROR(VLOOKUP(Table_NFI[[#This Row],[Location]],CL,2,0),"")</f>
        <v>MMR015CMP014</v>
      </c>
      <c r="AZ219" s="524"/>
      <c r="DS219" s="181"/>
      <c r="DT219" s="181"/>
    </row>
    <row r="220" spans="2:124" hidden="1" x14ac:dyDescent="0.25">
      <c r="B220" s="530">
        <v>43201</v>
      </c>
      <c r="C220" s="530" t="str">
        <f>MONTH(Table_NFI[[#This Row],[Distribution Date]]) &amp; "/" &amp; YEAR(Table_NFI[[#This Row],[Distribution Date]])</f>
        <v>4/2018</v>
      </c>
      <c r="D220" s="196" t="s">
        <v>1452</v>
      </c>
      <c r="E220" s="196"/>
      <c r="F220" s="196" t="s">
        <v>506</v>
      </c>
      <c r="G220" s="195" t="s">
        <v>297</v>
      </c>
      <c r="H220" s="196" t="s">
        <v>1189</v>
      </c>
      <c r="I220" s="628"/>
      <c r="J220" s="531"/>
      <c r="K220" s="531"/>
      <c r="L220" s="628">
        <v>1</v>
      </c>
      <c r="M220" s="531"/>
      <c r="N220" s="531"/>
      <c r="O220" s="531"/>
      <c r="P220" s="531"/>
      <c r="Q220" s="531"/>
      <c r="R220" s="531"/>
      <c r="S220" s="531"/>
      <c r="T220" s="531"/>
      <c r="U220" s="531"/>
      <c r="V220" s="531"/>
      <c r="W220" s="531"/>
      <c r="X220" s="531"/>
      <c r="Y220" s="531"/>
      <c r="Z220" s="531"/>
      <c r="AA220" s="531"/>
      <c r="AB220" s="531"/>
      <c r="AC220" s="532" t="e">
        <f>IF(NFI_Expiration=1,IF(#REF!&lt;VLOOKUP(L$5,NFI,5,0),1,0)*Table_NFI[[#This Row],[NFI Core Kit]],Table_NFI[NFI Core Kit])</f>
        <v>#REF!</v>
      </c>
      <c r="AD220" s="532" t="e">
        <f>IF(NFI_Expiration=1,IF(#REF!&lt;VLOOKUP(M$5,NFI,5,0),1,0)*Table_NFI[[#This Row],[Sanitary Kit]],Table_NFI[Sanitary Kit])</f>
        <v>#REF!</v>
      </c>
      <c r="AE220" s="532" t="e">
        <f>IF(NFI_Expiration=1,IF(#REF!&lt;VLOOKUP(N$5,NFI,5,0),1,0)*Table_NFI[[#This Row],[Mosquito net]],Table_NFI[Mosquito net])</f>
        <v>#REF!</v>
      </c>
      <c r="AF220" s="532" t="e">
        <f>IF(NFI_Expiration=1,IF(#REF!&lt;VLOOKUP(O$5,NFI,5,0),1,0)*Table_NFI[[#This Row],[Tarpaulin]],Table_NFI[[#This Row],[Tarpaulin]])</f>
        <v>#REF!</v>
      </c>
      <c r="AG220" s="532" t="e">
        <f>IF(NFI_Expiration=1,IF(#REF!&lt;VLOOKUP(P$5,NFI,5,0),1,0)*Table_NFI[[#This Row],[Blanket]],Table_NFI[[#This Row],[Blanket]])</f>
        <v>#REF!</v>
      </c>
      <c r="AH220" s="532" t="e">
        <f>IF(NFI_Expiration=1,IF(#REF!&lt;VLOOKUP(Q$5,NFI,5,0),1,0)*Table_NFI[[#This Row],[Kitchen Set]],Table_NFI[Kitchen Set])</f>
        <v>#REF!</v>
      </c>
      <c r="AI220" s="532" t="e">
        <f>IF(NFI_Expiration=1,IF(#REF!&lt;VLOOKUP(R$5,NFI,5,0),1,0)*Table_NFI[[#This Row],[Clothes Kit]],Table_NFI[Clothes Kit])</f>
        <v>#REF!</v>
      </c>
      <c r="AJ220" s="532" t="e">
        <f>IF(NFI_Expiration=1,IF(#REF!&lt;VLOOKUP(S$5,NFI,5,0),1,0)*Table_NFI[[#This Row],[Plastic Bucket]],Table_NFI[Plastic Bucket])</f>
        <v>#REF!</v>
      </c>
      <c r="AK220" s="532" t="e">
        <f>IF(NFI_Expiration=1,IF(#REF!&lt;VLOOKUP(T$5,NFI,5,0),1,0)*Table_NFI[[#This Row],[Plastic Mat]],Table_NFI[Plastic Mat])*IF(Table_NFI[[#This Row],[Distribution Date]]&gt;"2014-04-01",1,2.5)</f>
        <v>#REF!</v>
      </c>
      <c r="AL220" s="532" t="e">
        <f>IF(NFI_Expiration=1,IF(#REF!&lt;VLOOKUP(U$5,NFI,5,0),1,0)*Table_NFI[[#This Row],[Winter Clothes Adult]],Table_NFI[Winter Clothes Adult])</f>
        <v>#REF!</v>
      </c>
      <c r="AM220" s="532"/>
      <c r="AN220" s="532"/>
      <c r="AO220" s="532"/>
      <c r="AP220" s="532">
        <f>IF(Table_NFI[[#This Row],[Winter Clothes Adult]]+Table_NFI[[#This Row],[Winter Clothes Children]]+Table_NFI[[#This Row],[Winter Items Other]]+Table_NFI[[#This Row],[Winter Blanket]]&gt;0,1,0)</f>
        <v>0</v>
      </c>
      <c r="AQ220" s="532"/>
      <c r="AR220" s="532"/>
      <c r="AS220" s="532"/>
      <c r="AT220" s="532"/>
      <c r="AU220" s="532"/>
      <c r="AV220" s="532"/>
      <c r="AW220" s="532"/>
      <c r="AX220" s="203" t="str">
        <f>IFERROR(VLOOKUP(Table_NFI[[#This Row],[Location]],CL,2,0),"")</f>
        <v>MMR015CMP232</v>
      </c>
      <c r="AZ220" s="524"/>
      <c r="DS220" s="181"/>
      <c r="DT220" s="181"/>
    </row>
    <row r="221" spans="2:124" hidden="1" x14ac:dyDescent="0.25">
      <c r="B221" s="530">
        <v>43201</v>
      </c>
      <c r="C221" s="530" t="str">
        <f>MONTH(Table_NFI[[#This Row],[Distribution Date]]) &amp; "/" &amp; YEAR(Table_NFI[[#This Row],[Distribution Date]])</f>
        <v>4/2018</v>
      </c>
      <c r="D221" s="196" t="s">
        <v>1452</v>
      </c>
      <c r="E221" s="196"/>
      <c r="F221" s="196" t="s">
        <v>506</v>
      </c>
      <c r="G221" s="195" t="s">
        <v>297</v>
      </c>
      <c r="H221" s="196" t="s">
        <v>1273</v>
      </c>
      <c r="I221" s="628"/>
      <c r="J221" s="531"/>
      <c r="K221" s="531"/>
      <c r="L221" s="531"/>
      <c r="M221" s="531"/>
      <c r="N221" s="531"/>
      <c r="O221" s="531"/>
      <c r="P221" s="531"/>
      <c r="Q221" s="531"/>
      <c r="R221" s="531"/>
      <c r="S221" s="531"/>
      <c r="T221" s="531"/>
      <c r="U221" s="531"/>
      <c r="V221" s="531"/>
      <c r="W221" s="531"/>
      <c r="X221" s="531"/>
      <c r="Y221" s="531"/>
      <c r="Z221" s="531"/>
      <c r="AA221" s="531"/>
      <c r="AB221" s="531"/>
      <c r="AC221" s="532" t="e">
        <f>IF(NFI_Expiration=1,IF(#REF!&lt;VLOOKUP(L$5,NFI,5,0),1,0)*Table_NFI[[#This Row],[NFI Core Kit]],Table_NFI[NFI Core Kit])</f>
        <v>#REF!</v>
      </c>
      <c r="AD221" s="532" t="e">
        <f>IF(NFI_Expiration=1,IF(#REF!&lt;VLOOKUP(M$5,NFI,5,0),1,0)*Table_NFI[[#This Row],[Sanitary Kit]],Table_NFI[Sanitary Kit])</f>
        <v>#REF!</v>
      </c>
      <c r="AE221" s="532" t="e">
        <f>IF(NFI_Expiration=1,IF(#REF!&lt;VLOOKUP(N$5,NFI,5,0),1,0)*Table_NFI[[#This Row],[Mosquito net]],Table_NFI[Mosquito net])</f>
        <v>#REF!</v>
      </c>
      <c r="AF221" s="532" t="e">
        <f>IF(NFI_Expiration=1,IF(#REF!&lt;VLOOKUP(O$5,NFI,5,0),1,0)*Table_NFI[[#This Row],[Tarpaulin]],Table_NFI[[#This Row],[Tarpaulin]])</f>
        <v>#REF!</v>
      </c>
      <c r="AG221" s="532" t="e">
        <f>IF(NFI_Expiration=1,IF(#REF!&lt;VLOOKUP(P$5,NFI,5,0),1,0)*Table_NFI[[#This Row],[Blanket]],Table_NFI[[#This Row],[Blanket]])</f>
        <v>#REF!</v>
      </c>
      <c r="AH221" s="532" t="e">
        <f>IF(NFI_Expiration=1,IF(#REF!&lt;VLOOKUP(Q$5,NFI,5,0),1,0)*Table_NFI[[#This Row],[Kitchen Set]],Table_NFI[Kitchen Set])</f>
        <v>#REF!</v>
      </c>
      <c r="AI221" s="532" t="e">
        <f>IF(NFI_Expiration=1,IF(#REF!&lt;VLOOKUP(R$5,NFI,5,0),1,0)*Table_NFI[[#This Row],[Clothes Kit]],Table_NFI[Clothes Kit])</f>
        <v>#REF!</v>
      </c>
      <c r="AJ221" s="532" t="e">
        <f>IF(NFI_Expiration=1,IF(#REF!&lt;VLOOKUP(S$5,NFI,5,0),1,0)*Table_NFI[[#This Row],[Plastic Bucket]],Table_NFI[Plastic Bucket])</f>
        <v>#REF!</v>
      </c>
      <c r="AK221" s="532" t="e">
        <f>IF(NFI_Expiration=1,IF(#REF!&lt;VLOOKUP(T$5,NFI,5,0),1,0)*Table_NFI[[#This Row],[Plastic Mat]],Table_NFI[Plastic Mat])*IF(Table_NFI[[#This Row],[Distribution Date]]&gt;"2014-04-01",1,2.5)</f>
        <v>#REF!</v>
      </c>
      <c r="AL221" s="532" t="e">
        <f>IF(NFI_Expiration=1,IF(#REF!&lt;VLOOKUP(U$5,NFI,5,0),1,0)*Table_NFI[[#This Row],[Winter Clothes Adult]],Table_NFI[Winter Clothes Adult])</f>
        <v>#REF!</v>
      </c>
      <c r="AM221" s="532"/>
      <c r="AN221" s="532"/>
      <c r="AO221" s="532"/>
      <c r="AP221" s="532">
        <f>IF(Table_NFI[[#This Row],[Winter Clothes Adult]]+Table_NFI[[#This Row],[Winter Clothes Children]]+Table_NFI[[#This Row],[Winter Items Other]]+Table_NFI[[#This Row],[Winter Blanket]]&gt;0,1,0)</f>
        <v>0</v>
      </c>
      <c r="AQ221" s="532"/>
      <c r="AR221" s="532"/>
      <c r="AS221" s="532"/>
      <c r="AT221" s="532"/>
      <c r="AU221" s="532"/>
      <c r="AV221" s="532"/>
      <c r="AW221" s="532"/>
      <c r="AX221" s="203" t="str">
        <f>IFERROR(VLOOKUP(Table_NFI[[#This Row],[Location]],CL,2,0),"")</f>
        <v>MMR015CMP248</v>
      </c>
      <c r="AZ221" s="524"/>
      <c r="DS221" s="181"/>
      <c r="DT221" s="181"/>
    </row>
    <row r="222" spans="2:124" hidden="1" x14ac:dyDescent="0.3">
      <c r="B222" s="530">
        <v>43200</v>
      </c>
      <c r="C222" s="530"/>
      <c r="D222" s="196" t="s">
        <v>420</v>
      </c>
      <c r="E222" s="196" t="s">
        <v>462</v>
      </c>
      <c r="F222" s="196" t="s">
        <v>378</v>
      </c>
      <c r="G222" s="195" t="s">
        <v>237</v>
      </c>
      <c r="H222" s="196" t="s">
        <v>1029</v>
      </c>
      <c r="I222" s="181"/>
      <c r="J222" s="531"/>
      <c r="K222" s="531"/>
      <c r="L222" s="531">
        <v>3</v>
      </c>
      <c r="M222" s="531">
        <v>2</v>
      </c>
      <c r="N222" s="531">
        <v>6</v>
      </c>
      <c r="O222" s="531">
        <v>3</v>
      </c>
      <c r="P222" s="531">
        <v>6</v>
      </c>
      <c r="Q222" s="531">
        <v>3</v>
      </c>
      <c r="R222" s="531"/>
      <c r="S222" s="531">
        <v>3</v>
      </c>
      <c r="T222" s="531">
        <v>7</v>
      </c>
      <c r="U222" s="531"/>
      <c r="V222" s="531"/>
      <c r="W222" s="531"/>
      <c r="X222" s="531"/>
      <c r="Y222" s="531">
        <v>3</v>
      </c>
      <c r="Z222" s="531"/>
      <c r="AA222" s="531"/>
      <c r="AB222" s="531"/>
      <c r="AC222" s="532" t="e">
        <f>IF(NFI_Expiration=1,IF(#REF!&lt;VLOOKUP(L$5,NFI,5,0),1,0)*Table_NFI[[#This Row],[NFI Core Kit]],Table_NFI[NFI Core Kit])</f>
        <v>#REF!</v>
      </c>
      <c r="AD222" s="532" t="e">
        <f>IF(NFI_Expiration=1,IF(#REF!&lt;VLOOKUP(M$5,NFI,5,0),1,0)*Table_NFI[[#This Row],[Sanitary Kit]],Table_NFI[Sanitary Kit])</f>
        <v>#REF!</v>
      </c>
      <c r="AE222" s="532" t="e">
        <f>IF(NFI_Expiration=1,IF(#REF!&lt;VLOOKUP(N$5,NFI,5,0),1,0)*Table_NFI[[#This Row],[Mosquito net]],Table_NFI[Mosquito net])</f>
        <v>#REF!</v>
      </c>
      <c r="AF222" s="532" t="e">
        <f>IF(NFI_Expiration=1,IF(#REF!&lt;VLOOKUP(O$5,NFI,5,0),1,0)*Table_NFI[[#This Row],[Tarpaulin]],Table_NFI[[#This Row],[Tarpaulin]])</f>
        <v>#REF!</v>
      </c>
      <c r="AG222" s="532" t="e">
        <f>IF(NFI_Expiration=1,IF(#REF!&lt;VLOOKUP(P$5,NFI,5,0),1,0)*Table_NFI[[#This Row],[Blanket]],Table_NFI[[#This Row],[Blanket]])</f>
        <v>#REF!</v>
      </c>
      <c r="AH222" s="532" t="e">
        <f>IF(NFI_Expiration=1,IF(#REF!&lt;VLOOKUP(Q$5,NFI,5,0),1,0)*Table_NFI[[#This Row],[Kitchen Set]],Table_NFI[Kitchen Set])</f>
        <v>#REF!</v>
      </c>
      <c r="AI222" s="532" t="e">
        <f>IF(NFI_Expiration=1,IF(#REF!&lt;VLOOKUP(R$5,NFI,5,0),1,0)*Table_NFI[[#This Row],[Clothes Kit]],Table_NFI[Clothes Kit])</f>
        <v>#REF!</v>
      </c>
      <c r="AJ222" s="532" t="e">
        <f>IF(NFI_Expiration=1,IF(#REF!&lt;VLOOKUP(S$5,NFI,5,0),1,0)*Table_NFI[[#This Row],[Plastic Bucket]],Table_NFI[Plastic Bucket])</f>
        <v>#REF!</v>
      </c>
      <c r="AK222" s="532" t="e">
        <f>IF(NFI_Expiration=1,IF(#REF!&lt;VLOOKUP(T$5,NFI,5,0),1,0)*Table_NFI[[#This Row],[Plastic Mat]],Table_NFI[Plastic Mat])*IF(Table_NFI[[#This Row],[Distribution Date]]&gt;"2014-04-01",1,2.5)</f>
        <v>#REF!</v>
      </c>
      <c r="AL222" s="532" t="e">
        <f>IF(NFI_Expiration=1,IF(#REF!&lt;VLOOKUP(U$5,NFI,5,0),1,0)*Table_NFI[[#This Row],[Winter Clothes Adult]],Table_NFI[Winter Clothes Adult])</f>
        <v>#REF!</v>
      </c>
      <c r="AM222" s="532"/>
      <c r="AN222" s="532"/>
      <c r="AO222" s="532"/>
      <c r="AP222" s="532">
        <f>IF(Table_NFI[[#This Row],[Winter Clothes Adult]]+Table_NFI[[#This Row],[Winter Clothes Children]]+Table_NFI[[#This Row],[Winter Items Other]]+Table_NFI[[#This Row],[Winter Blanket]]&gt;0,1,0)</f>
        <v>0</v>
      </c>
      <c r="AQ222" s="532"/>
      <c r="AR222" s="532"/>
      <c r="AS222" s="532"/>
      <c r="AT222" s="532"/>
      <c r="AU222" s="532"/>
      <c r="AV222" s="532"/>
      <c r="AW222" s="532"/>
      <c r="AX222" s="203" t="str">
        <f>IFERROR(VLOOKUP(Table_NFI[[#This Row],[Location]],CL,2,0),"")</f>
        <v>MMR001CMP023</v>
      </c>
      <c r="AZ222" s="524"/>
      <c r="DS222" s="181"/>
      <c r="DT222" s="181"/>
    </row>
    <row r="223" spans="2:124" hidden="1" x14ac:dyDescent="0.3">
      <c r="B223" s="530">
        <v>43200</v>
      </c>
      <c r="C223" s="530" t="str">
        <f>MONTH(Table_NFI[[#This Row],[Distribution Date]]) &amp; "/" &amp; YEAR(Table_NFI[[#This Row],[Distribution Date]])</f>
        <v>4/2018</v>
      </c>
      <c r="D223" s="196" t="s">
        <v>420</v>
      </c>
      <c r="E223" s="196" t="s">
        <v>462</v>
      </c>
      <c r="F223" s="196" t="s">
        <v>378</v>
      </c>
      <c r="G223" s="195" t="s">
        <v>309</v>
      </c>
      <c r="H223" s="196" t="s">
        <v>317</v>
      </c>
      <c r="I223" s="181"/>
      <c r="J223" s="531"/>
      <c r="K223" s="531"/>
      <c r="L223" s="531">
        <v>2</v>
      </c>
      <c r="M223" s="531">
        <v>2</v>
      </c>
      <c r="N223" s="531">
        <v>7</v>
      </c>
      <c r="O223" s="531">
        <v>2</v>
      </c>
      <c r="P223" s="531">
        <v>7</v>
      </c>
      <c r="Q223" s="531">
        <v>2</v>
      </c>
      <c r="R223" s="531"/>
      <c r="S223" s="531">
        <v>2</v>
      </c>
      <c r="T223" s="531">
        <v>10</v>
      </c>
      <c r="U223" s="531"/>
      <c r="V223" s="531"/>
      <c r="W223" s="531"/>
      <c r="X223" s="531"/>
      <c r="Y223" s="531">
        <v>2</v>
      </c>
      <c r="Z223" s="531"/>
      <c r="AA223" s="531"/>
      <c r="AB223" s="531"/>
      <c r="AC223" s="532" t="e">
        <f>IF(NFI_Expiration=1,IF(#REF!&lt;VLOOKUP(L$5,NFI,5,0),1,0)*Table_NFI[[#This Row],[NFI Core Kit]],Table_NFI[NFI Core Kit])</f>
        <v>#REF!</v>
      </c>
      <c r="AD223" s="532" t="e">
        <f>IF(NFI_Expiration=1,IF(#REF!&lt;VLOOKUP(M$5,NFI,5,0),1,0)*Table_NFI[[#This Row],[Sanitary Kit]],Table_NFI[Sanitary Kit])</f>
        <v>#REF!</v>
      </c>
      <c r="AE223" s="532" t="e">
        <f>IF(NFI_Expiration=1,IF(#REF!&lt;VLOOKUP(N$5,NFI,5,0),1,0)*Table_NFI[[#This Row],[Mosquito net]],Table_NFI[Mosquito net])</f>
        <v>#REF!</v>
      </c>
      <c r="AF223" s="532" t="e">
        <f>IF(NFI_Expiration=1,IF(#REF!&lt;VLOOKUP(O$5,NFI,5,0),1,0)*Table_NFI[[#This Row],[Tarpaulin]],Table_NFI[[#This Row],[Tarpaulin]])</f>
        <v>#REF!</v>
      </c>
      <c r="AG223" s="532" t="e">
        <f>IF(NFI_Expiration=1,IF(#REF!&lt;VLOOKUP(P$5,NFI,5,0),1,0)*Table_NFI[[#This Row],[Blanket]],Table_NFI[[#This Row],[Blanket]])</f>
        <v>#REF!</v>
      </c>
      <c r="AH223" s="532" t="e">
        <f>IF(NFI_Expiration=1,IF(#REF!&lt;VLOOKUP(Q$5,NFI,5,0),1,0)*Table_NFI[[#This Row],[Kitchen Set]],Table_NFI[Kitchen Set])</f>
        <v>#REF!</v>
      </c>
      <c r="AI223" s="532" t="e">
        <f>IF(NFI_Expiration=1,IF(#REF!&lt;VLOOKUP(R$5,NFI,5,0),1,0)*Table_NFI[[#This Row],[Clothes Kit]],Table_NFI[Clothes Kit])</f>
        <v>#REF!</v>
      </c>
      <c r="AJ223" s="532" t="e">
        <f>IF(NFI_Expiration=1,IF(#REF!&lt;VLOOKUP(S$5,NFI,5,0),1,0)*Table_NFI[[#This Row],[Plastic Bucket]],Table_NFI[Plastic Bucket])</f>
        <v>#REF!</v>
      </c>
      <c r="AK223" s="532" t="e">
        <f>IF(NFI_Expiration=1,IF(#REF!&lt;VLOOKUP(T$5,NFI,5,0),1,0)*Table_NFI[[#This Row],[Plastic Mat]],Table_NFI[Plastic Mat])*IF(Table_NFI[[#This Row],[Distribution Date]]&gt;"2014-04-01",1,2.5)</f>
        <v>#REF!</v>
      </c>
      <c r="AL223" s="532" t="e">
        <f>IF(NFI_Expiration=1,IF(#REF!&lt;VLOOKUP(U$5,NFI,5,0),1,0)*Table_NFI[[#This Row],[Winter Clothes Adult]],Table_NFI[Winter Clothes Adult])</f>
        <v>#REF!</v>
      </c>
      <c r="AM223" s="532"/>
      <c r="AN223" s="532"/>
      <c r="AO223" s="532"/>
      <c r="AP223" s="532">
        <f>IF(Table_NFI[[#This Row],[Winter Clothes Adult]]+Table_NFI[[#This Row],[Winter Clothes Children]]+Table_NFI[[#This Row],[Winter Items Other]]+Table_NFI[[#This Row],[Winter Blanket]]&gt;0,1,0)</f>
        <v>0</v>
      </c>
      <c r="AQ223" s="532"/>
      <c r="AR223" s="532"/>
      <c r="AS223" s="532"/>
      <c r="AT223" s="532"/>
      <c r="AU223" s="532"/>
      <c r="AV223" s="532"/>
      <c r="AW223" s="532"/>
      <c r="AX223" s="203" t="str">
        <f>IFERROR(VLOOKUP(Table_NFI[[#This Row],[Location]],CL,2,0),"")</f>
        <v>MMR001CMP032</v>
      </c>
      <c r="AZ223" s="524"/>
      <c r="DS223" s="181"/>
      <c r="DT223" s="181"/>
    </row>
    <row r="224" spans="2:124" hidden="1" x14ac:dyDescent="0.3">
      <c r="B224" s="530">
        <v>43217</v>
      </c>
      <c r="C224" s="530" t="str">
        <f>MONTH(Table_NFI[[#This Row],[Distribution Date]]) &amp; "/" &amp; YEAR(Table_NFI[[#This Row],[Distribution Date]])</f>
        <v>4/2018</v>
      </c>
      <c r="D224" s="196" t="s">
        <v>424</v>
      </c>
      <c r="E224" s="196"/>
      <c r="F224" s="196" t="s">
        <v>378</v>
      </c>
      <c r="G224" s="195" t="s">
        <v>237</v>
      </c>
      <c r="H224" s="196" t="s">
        <v>1634</v>
      </c>
      <c r="I224" s="181"/>
      <c r="J224" s="531"/>
      <c r="K224" s="531"/>
      <c r="L224" s="531"/>
      <c r="M224" s="531"/>
      <c r="N224" s="631">
        <v>412</v>
      </c>
      <c r="O224" s="630">
        <v>254</v>
      </c>
      <c r="P224" s="531"/>
      <c r="Q224" s="531"/>
      <c r="R224" s="531"/>
      <c r="S224" s="630">
        <v>166</v>
      </c>
      <c r="T224" s="531">
        <v>254</v>
      </c>
      <c r="U224" s="531"/>
      <c r="V224" s="531"/>
      <c r="W224" s="531"/>
      <c r="X224" s="531"/>
      <c r="Y224" s="531"/>
      <c r="Z224" s="531"/>
      <c r="AA224" s="531"/>
      <c r="AB224" s="531"/>
      <c r="AC224" s="532" t="e">
        <f>IF(NFI_Expiration=1,IF(#REF!&lt;VLOOKUP(L$5,NFI,5,0),1,0)*Table_NFI[[#This Row],[NFI Core Kit]],Table_NFI[NFI Core Kit])</f>
        <v>#REF!</v>
      </c>
      <c r="AD224" s="532" t="e">
        <f>IF(NFI_Expiration=1,IF(#REF!&lt;VLOOKUP(M$5,NFI,5,0),1,0)*Table_NFI[[#This Row],[Sanitary Kit]],Table_NFI[Sanitary Kit])</f>
        <v>#REF!</v>
      </c>
      <c r="AE224" s="532" t="e">
        <f>IF(NFI_Expiration=1,IF(#REF!&lt;VLOOKUP(N$5,NFI,5,0),1,0)*Table_NFI[[#This Row],[Mosquito net]],Table_NFI[Mosquito net])</f>
        <v>#REF!</v>
      </c>
      <c r="AF224" s="532" t="e">
        <f>IF(NFI_Expiration=1,IF(#REF!&lt;VLOOKUP(O$5,NFI,5,0),1,0)*Table_NFI[[#This Row],[Tarpaulin]],Table_NFI[[#This Row],[Tarpaulin]])</f>
        <v>#REF!</v>
      </c>
      <c r="AG224" s="532" t="e">
        <f>IF(NFI_Expiration=1,IF(#REF!&lt;VLOOKUP(P$5,NFI,5,0),1,0)*Table_NFI[[#This Row],[Blanket]],Table_NFI[[#This Row],[Blanket]])</f>
        <v>#REF!</v>
      </c>
      <c r="AH224" s="532" t="e">
        <f>IF(NFI_Expiration=1,IF(#REF!&lt;VLOOKUP(Q$5,NFI,5,0),1,0)*Table_NFI[[#This Row],[Kitchen Set]],Table_NFI[Kitchen Set])</f>
        <v>#REF!</v>
      </c>
      <c r="AI224" s="532" t="e">
        <f>IF(NFI_Expiration=1,IF(#REF!&lt;VLOOKUP(R$5,NFI,5,0),1,0)*Table_NFI[[#This Row],[Clothes Kit]],Table_NFI[Clothes Kit])</f>
        <v>#REF!</v>
      </c>
      <c r="AJ224" s="532" t="e">
        <f>IF(NFI_Expiration=1,IF(#REF!&lt;VLOOKUP(S$5,NFI,5,0),1,0)*Table_NFI[[#This Row],[Plastic Bucket]],Table_NFI[Plastic Bucket])</f>
        <v>#REF!</v>
      </c>
      <c r="AK224" s="532" t="e">
        <f>IF(NFI_Expiration=1,IF(#REF!&lt;VLOOKUP(T$5,NFI,5,0),1,0)*Table_NFI[[#This Row],[Plastic Mat]],Table_NFI[Plastic Mat])*IF(Table_NFI[[#This Row],[Distribution Date]]&gt;"2014-04-01",1,2.5)</f>
        <v>#REF!</v>
      </c>
      <c r="AL224" s="532" t="e">
        <f>IF(NFI_Expiration=1,IF(#REF!&lt;VLOOKUP(U$5,NFI,5,0),1,0)*Table_NFI[[#This Row],[Winter Clothes Adult]],Table_NFI[Winter Clothes Adult])</f>
        <v>#REF!</v>
      </c>
      <c r="AM224" s="532"/>
      <c r="AN224" s="532"/>
      <c r="AO224" s="532"/>
      <c r="AP224" s="532">
        <f>IF(Table_NFI[[#This Row],[Winter Clothes Adult]]+Table_NFI[[#This Row],[Winter Clothes Children]]+Table_NFI[[#This Row],[Winter Items Other]]+Table_NFI[[#This Row],[Winter Blanket]]&gt;0,1,0)</f>
        <v>0</v>
      </c>
      <c r="AQ224" s="532"/>
      <c r="AR224" s="532"/>
      <c r="AS224" s="532"/>
      <c r="AT224" s="532"/>
      <c r="AU224" s="532"/>
      <c r="AV224" s="532"/>
      <c r="AW224" s="532"/>
      <c r="AX224" s="203" t="str">
        <f>IFERROR(VLOOKUP(Table_NFI[[#This Row],[Location]],CL,2,0),"")</f>
        <v>MMR001CMP264</v>
      </c>
      <c r="AZ224" s="524"/>
      <c r="DS224" s="181"/>
      <c r="DT224" s="181"/>
    </row>
    <row r="225" spans="2:124" hidden="1" x14ac:dyDescent="0.25">
      <c r="B225" s="530">
        <v>43214</v>
      </c>
      <c r="C225" s="530" t="str">
        <f>MONTH(Table_NFI[[#This Row],[Distribution Date]]) &amp; "/" &amp; YEAR(Table_NFI[[#This Row],[Distribution Date]])</f>
        <v>4/2018</v>
      </c>
      <c r="D225" s="628" t="s">
        <v>825</v>
      </c>
      <c r="E225" s="628" t="s">
        <v>825</v>
      </c>
      <c r="F225" s="628" t="s">
        <v>378</v>
      </c>
      <c r="G225" s="195" t="s">
        <v>1134</v>
      </c>
      <c r="H225" s="628" t="s">
        <v>1609</v>
      </c>
      <c r="I225" s="628"/>
      <c r="J225" s="628"/>
      <c r="K225" s="531"/>
      <c r="L225" s="628"/>
      <c r="M225" s="628">
        <v>36</v>
      </c>
      <c r="N225" s="628"/>
      <c r="O225" s="628"/>
      <c r="P225" s="628"/>
      <c r="Q225" s="628"/>
      <c r="R225" s="531"/>
      <c r="S225" s="628"/>
      <c r="T225" s="628"/>
      <c r="U225" s="531"/>
      <c r="V225" s="531"/>
      <c r="W225" s="531"/>
      <c r="X225" s="531"/>
      <c r="Y225" s="628"/>
      <c r="Z225" s="531"/>
      <c r="AA225" s="531"/>
      <c r="AB225" s="531"/>
      <c r="AC225" s="532" t="e">
        <f>IF(NFI_Expiration=1,IF(#REF!&lt;VLOOKUP(L$5,NFI,5,0),1,0)*Table_NFI[[#This Row],[NFI Core Kit]],Table_NFI[NFI Core Kit])</f>
        <v>#REF!</v>
      </c>
      <c r="AD225" s="532" t="e">
        <f>IF(NFI_Expiration=1,IF(#REF!&lt;VLOOKUP(M$5,NFI,5,0),1,0)*Table_NFI[[#This Row],[Sanitary Kit]],Table_NFI[Sanitary Kit])</f>
        <v>#REF!</v>
      </c>
      <c r="AE225" s="532" t="e">
        <f>IF(NFI_Expiration=1,IF(#REF!&lt;VLOOKUP(N$5,NFI,5,0),1,0)*Table_NFI[[#This Row],[Mosquito net]],Table_NFI[Mosquito net])</f>
        <v>#REF!</v>
      </c>
      <c r="AF225" s="532" t="e">
        <f>IF(NFI_Expiration=1,IF(#REF!&lt;VLOOKUP(O$5,NFI,5,0),1,0)*Table_NFI[[#This Row],[Tarpaulin]],Table_NFI[[#This Row],[Tarpaulin]])</f>
        <v>#REF!</v>
      </c>
      <c r="AG225" s="532" t="e">
        <f>IF(NFI_Expiration=1,IF(#REF!&lt;VLOOKUP(P$5,NFI,5,0),1,0)*Table_NFI[[#This Row],[Blanket]],Table_NFI[[#This Row],[Blanket]])</f>
        <v>#REF!</v>
      </c>
      <c r="AH225" s="532" t="e">
        <f>IF(NFI_Expiration=1,IF(#REF!&lt;VLOOKUP(Q$5,NFI,5,0),1,0)*Table_NFI[[#This Row],[Kitchen Set]],Table_NFI[Kitchen Set])</f>
        <v>#REF!</v>
      </c>
      <c r="AI225" s="532" t="e">
        <f>IF(NFI_Expiration=1,IF(#REF!&lt;VLOOKUP(R$5,NFI,5,0),1,0)*Table_NFI[[#This Row],[Clothes Kit]],Table_NFI[Clothes Kit])</f>
        <v>#REF!</v>
      </c>
      <c r="AJ225" s="532" t="e">
        <f>IF(NFI_Expiration=1,IF(#REF!&lt;VLOOKUP(S$5,NFI,5,0),1,0)*Table_NFI[[#This Row],[Plastic Bucket]],Table_NFI[Plastic Bucket])</f>
        <v>#REF!</v>
      </c>
      <c r="AK225" s="532" t="e">
        <f>IF(NFI_Expiration=1,IF(#REF!&lt;VLOOKUP(T$5,NFI,5,0),1,0)*Table_NFI[[#This Row],[Plastic Mat]],Table_NFI[Plastic Mat])*IF(Table_NFI[[#This Row],[Distribution Date]]&gt;"2014-04-01",1,2.5)</f>
        <v>#REF!</v>
      </c>
      <c r="AL225" s="532" t="e">
        <f>IF(NFI_Expiration=1,IF(#REF!&lt;VLOOKUP(U$5,NFI,5,0),1,0)*Table_NFI[[#This Row],[Winter Clothes Adult]],Table_NFI[Winter Clothes Adult])</f>
        <v>#REF!</v>
      </c>
      <c r="AM225" s="532"/>
      <c r="AN225" s="532"/>
      <c r="AO225" s="532"/>
      <c r="AP225" s="532">
        <f>IF(Table_NFI[[#This Row],[Winter Clothes Adult]]+Table_NFI[[#This Row],[Winter Clothes Children]]+Table_NFI[[#This Row],[Winter Items Other]]+Table_NFI[[#This Row],[Winter Blanket]]&gt;0,1,0)</f>
        <v>0</v>
      </c>
      <c r="AQ225" s="532"/>
      <c r="AR225" s="532"/>
      <c r="AS225" s="532"/>
      <c r="AT225" s="532"/>
      <c r="AU225" s="532"/>
      <c r="AV225" s="532"/>
      <c r="AW225" s="532"/>
      <c r="AX225" s="203" t="str">
        <f>IFERROR(VLOOKUP(Table_NFI[[#This Row],[Location]],CL,2,0),"")</f>
        <v/>
      </c>
      <c r="AZ225" s="524"/>
      <c r="DS225" s="181"/>
      <c r="DT225" s="181"/>
    </row>
    <row r="226" spans="2:124" hidden="1" x14ac:dyDescent="0.25">
      <c r="B226" s="530">
        <v>43214</v>
      </c>
      <c r="C226" s="530" t="str">
        <f>MONTH(Table_NFI[[#This Row],[Distribution Date]]) &amp; "/" &amp; YEAR(Table_NFI[[#This Row],[Distribution Date]])</f>
        <v>4/2018</v>
      </c>
      <c r="D226" s="628" t="s">
        <v>825</v>
      </c>
      <c r="E226" s="628" t="s">
        <v>825</v>
      </c>
      <c r="F226" s="628" t="s">
        <v>378</v>
      </c>
      <c r="G226" s="195" t="s">
        <v>173</v>
      </c>
      <c r="H226" s="217" t="s">
        <v>1687</v>
      </c>
      <c r="I226" s="628"/>
      <c r="J226" s="628"/>
      <c r="K226" s="531"/>
      <c r="L226" s="628"/>
      <c r="M226" s="628">
        <v>104</v>
      </c>
      <c r="N226" s="628">
        <v>104</v>
      </c>
      <c r="O226" s="628"/>
      <c r="P226" s="628"/>
      <c r="Q226" s="628">
        <v>104</v>
      </c>
      <c r="R226" s="531"/>
      <c r="S226" s="628"/>
      <c r="T226" s="628"/>
      <c r="U226" s="531"/>
      <c r="V226" s="531"/>
      <c r="W226" s="531"/>
      <c r="X226" s="531"/>
      <c r="Y226" s="628"/>
      <c r="Z226" s="531"/>
      <c r="AA226" s="531"/>
      <c r="AB226" s="531"/>
      <c r="AC226" s="532" t="e">
        <f>IF(NFI_Expiration=1,IF(#REF!&lt;VLOOKUP(L$5,NFI,5,0),1,0)*Table_NFI[[#This Row],[NFI Core Kit]],Table_NFI[NFI Core Kit])</f>
        <v>#REF!</v>
      </c>
      <c r="AD226" s="532" t="e">
        <f>IF(NFI_Expiration=1,IF(#REF!&lt;VLOOKUP(M$5,NFI,5,0),1,0)*Table_NFI[[#This Row],[Sanitary Kit]],Table_NFI[Sanitary Kit])</f>
        <v>#REF!</v>
      </c>
      <c r="AE226" s="532" t="e">
        <f>IF(NFI_Expiration=1,IF(#REF!&lt;VLOOKUP(N$5,NFI,5,0),1,0)*Table_NFI[[#This Row],[Mosquito net]],Table_NFI[Mosquito net])</f>
        <v>#REF!</v>
      </c>
      <c r="AF226" s="532" t="e">
        <f>IF(NFI_Expiration=1,IF(#REF!&lt;VLOOKUP(O$5,NFI,5,0),1,0)*Table_NFI[[#This Row],[Tarpaulin]],Table_NFI[[#This Row],[Tarpaulin]])</f>
        <v>#REF!</v>
      </c>
      <c r="AG226" s="532" t="e">
        <f>IF(NFI_Expiration=1,IF(#REF!&lt;VLOOKUP(P$5,NFI,5,0),1,0)*Table_NFI[[#This Row],[Blanket]],Table_NFI[[#This Row],[Blanket]])</f>
        <v>#REF!</v>
      </c>
      <c r="AH226" s="532" t="e">
        <f>IF(NFI_Expiration=1,IF(#REF!&lt;VLOOKUP(Q$5,NFI,5,0),1,0)*Table_NFI[[#This Row],[Kitchen Set]],Table_NFI[Kitchen Set])</f>
        <v>#REF!</v>
      </c>
      <c r="AI226" s="532" t="e">
        <f>IF(NFI_Expiration=1,IF(#REF!&lt;VLOOKUP(R$5,NFI,5,0),1,0)*Table_NFI[[#This Row],[Clothes Kit]],Table_NFI[Clothes Kit])</f>
        <v>#REF!</v>
      </c>
      <c r="AJ226" s="532" t="e">
        <f>IF(NFI_Expiration=1,IF(#REF!&lt;VLOOKUP(S$5,NFI,5,0),1,0)*Table_NFI[[#This Row],[Plastic Bucket]],Table_NFI[Plastic Bucket])</f>
        <v>#REF!</v>
      </c>
      <c r="AK226" s="532" t="e">
        <f>IF(NFI_Expiration=1,IF(#REF!&lt;VLOOKUP(T$5,NFI,5,0),1,0)*Table_NFI[[#This Row],[Plastic Mat]],Table_NFI[Plastic Mat])*IF(Table_NFI[[#This Row],[Distribution Date]]&gt;"2014-04-01",1,2.5)</f>
        <v>#REF!</v>
      </c>
      <c r="AL226" s="532" t="e">
        <f>IF(NFI_Expiration=1,IF(#REF!&lt;VLOOKUP(U$5,NFI,5,0),1,0)*Table_NFI[[#This Row],[Winter Clothes Adult]],Table_NFI[Winter Clothes Adult])</f>
        <v>#REF!</v>
      </c>
      <c r="AM226" s="532"/>
      <c r="AN226" s="532"/>
      <c r="AO226" s="532"/>
      <c r="AP226" s="532">
        <f>IF(Table_NFI[[#This Row],[Winter Clothes Adult]]+Table_NFI[[#This Row],[Winter Clothes Children]]+Table_NFI[[#This Row],[Winter Items Other]]+Table_NFI[[#This Row],[Winter Blanket]]&gt;0,1,0)</f>
        <v>0</v>
      </c>
      <c r="AQ226" s="532"/>
      <c r="AR226" s="532"/>
      <c r="AS226" s="532"/>
      <c r="AT226" s="532"/>
      <c r="AU226" s="532"/>
      <c r="AV226" s="532"/>
      <c r="AW226" s="532"/>
      <c r="AX226" s="203" t="str">
        <f>IFERROR(VLOOKUP(Table_NFI[[#This Row],[Location]],CL,2,0),"")</f>
        <v>MMR001CMP261</v>
      </c>
      <c r="AZ226" s="524"/>
      <c r="DS226" s="181"/>
      <c r="DT226" s="181"/>
    </row>
    <row r="227" spans="2:124" hidden="1" x14ac:dyDescent="0.25">
      <c r="B227" s="530">
        <v>43214</v>
      </c>
      <c r="C227" s="530" t="str">
        <f>MONTH(Table_NFI[[#This Row],[Distribution Date]]) &amp; "/" &amp; YEAR(Table_NFI[[#This Row],[Distribution Date]])</f>
        <v>4/2018</v>
      </c>
      <c r="D227" s="628" t="s">
        <v>825</v>
      </c>
      <c r="E227" s="628" t="s">
        <v>825</v>
      </c>
      <c r="F227" s="628" t="s">
        <v>378</v>
      </c>
      <c r="G227" s="195" t="s">
        <v>173</v>
      </c>
      <c r="H227" s="217" t="s">
        <v>1627</v>
      </c>
      <c r="I227" s="628"/>
      <c r="J227" s="628"/>
      <c r="K227" s="531"/>
      <c r="L227" s="628"/>
      <c r="M227" s="628">
        <v>86</v>
      </c>
      <c r="N227" s="628">
        <v>86</v>
      </c>
      <c r="O227" s="628"/>
      <c r="P227" s="628"/>
      <c r="Q227" s="628">
        <v>86</v>
      </c>
      <c r="R227" s="531"/>
      <c r="S227" s="628"/>
      <c r="T227" s="628"/>
      <c r="U227" s="531"/>
      <c r="V227" s="531"/>
      <c r="W227" s="531"/>
      <c r="X227" s="531"/>
      <c r="Y227" s="628"/>
      <c r="Z227" s="531"/>
      <c r="AA227" s="531"/>
      <c r="AB227" s="531"/>
      <c r="AC227" s="532" t="e">
        <f>IF(NFI_Expiration=1,IF(#REF!&lt;VLOOKUP(L$5,NFI,5,0),1,0)*Table_NFI[[#This Row],[NFI Core Kit]],Table_NFI[NFI Core Kit])</f>
        <v>#REF!</v>
      </c>
      <c r="AD227" s="532" t="e">
        <f>IF(NFI_Expiration=1,IF(#REF!&lt;VLOOKUP(M$5,NFI,5,0),1,0)*Table_NFI[[#This Row],[Sanitary Kit]],Table_NFI[Sanitary Kit])</f>
        <v>#REF!</v>
      </c>
      <c r="AE227" s="532" t="e">
        <f>IF(NFI_Expiration=1,IF(#REF!&lt;VLOOKUP(N$5,NFI,5,0),1,0)*Table_NFI[[#This Row],[Mosquito net]],Table_NFI[Mosquito net])</f>
        <v>#REF!</v>
      </c>
      <c r="AF227" s="532" t="e">
        <f>IF(NFI_Expiration=1,IF(#REF!&lt;VLOOKUP(O$5,NFI,5,0),1,0)*Table_NFI[[#This Row],[Tarpaulin]],Table_NFI[[#This Row],[Tarpaulin]])</f>
        <v>#REF!</v>
      </c>
      <c r="AG227" s="532" t="e">
        <f>IF(NFI_Expiration=1,IF(#REF!&lt;VLOOKUP(P$5,NFI,5,0),1,0)*Table_NFI[[#This Row],[Blanket]],Table_NFI[[#This Row],[Blanket]])</f>
        <v>#REF!</v>
      </c>
      <c r="AH227" s="532" t="e">
        <f>IF(NFI_Expiration=1,IF(#REF!&lt;VLOOKUP(Q$5,NFI,5,0),1,0)*Table_NFI[[#This Row],[Kitchen Set]],Table_NFI[Kitchen Set])</f>
        <v>#REF!</v>
      </c>
      <c r="AI227" s="532" t="e">
        <f>IF(NFI_Expiration=1,IF(#REF!&lt;VLOOKUP(R$5,NFI,5,0),1,0)*Table_NFI[[#This Row],[Clothes Kit]],Table_NFI[Clothes Kit])</f>
        <v>#REF!</v>
      </c>
      <c r="AJ227" s="532" t="e">
        <f>IF(NFI_Expiration=1,IF(#REF!&lt;VLOOKUP(S$5,NFI,5,0),1,0)*Table_NFI[[#This Row],[Plastic Bucket]],Table_NFI[Plastic Bucket])</f>
        <v>#REF!</v>
      </c>
      <c r="AK227" s="532" t="e">
        <f>IF(NFI_Expiration=1,IF(#REF!&lt;VLOOKUP(T$5,NFI,5,0),1,0)*Table_NFI[[#This Row],[Plastic Mat]],Table_NFI[Plastic Mat])*IF(Table_NFI[[#This Row],[Distribution Date]]&gt;"2014-04-01",1,2.5)</f>
        <v>#REF!</v>
      </c>
      <c r="AL227" s="532" t="e">
        <f>IF(NFI_Expiration=1,IF(#REF!&lt;VLOOKUP(U$5,NFI,5,0),1,0)*Table_NFI[[#This Row],[Winter Clothes Adult]],Table_NFI[Winter Clothes Adult])</f>
        <v>#REF!</v>
      </c>
      <c r="AM227" s="532"/>
      <c r="AN227" s="532"/>
      <c r="AO227" s="532"/>
      <c r="AP227" s="532">
        <f>IF(Table_NFI[[#This Row],[Winter Clothes Adult]]+Table_NFI[[#This Row],[Winter Clothes Children]]+Table_NFI[[#This Row],[Winter Items Other]]+Table_NFI[[#This Row],[Winter Blanket]]&gt;0,1,0)</f>
        <v>0</v>
      </c>
      <c r="AQ227" s="532"/>
      <c r="AR227" s="532"/>
      <c r="AS227" s="532"/>
      <c r="AT227" s="532"/>
      <c r="AU227" s="532"/>
      <c r="AV227" s="532"/>
      <c r="AW227" s="532"/>
      <c r="AX227" s="203" t="str">
        <f>IFERROR(VLOOKUP(Table_NFI[[#This Row],[Location]],CL,2,0),"")</f>
        <v>MMR001CMP260</v>
      </c>
      <c r="AZ227" s="524"/>
      <c r="DS227" s="181"/>
      <c r="DT227" s="181"/>
    </row>
    <row r="228" spans="2:124" hidden="1" x14ac:dyDescent="0.25">
      <c r="B228" s="530">
        <v>43214</v>
      </c>
      <c r="C228" s="530" t="str">
        <f>MONTH(Table_NFI[[#This Row],[Distribution Date]]) &amp; "/" &amp; YEAR(Table_NFI[[#This Row],[Distribution Date]])</f>
        <v>4/2018</v>
      </c>
      <c r="D228" s="628" t="s">
        <v>825</v>
      </c>
      <c r="E228" s="628" t="s">
        <v>825</v>
      </c>
      <c r="F228" s="628" t="s">
        <v>378</v>
      </c>
      <c r="G228" s="195" t="s">
        <v>173</v>
      </c>
      <c r="H228" s="217" t="s">
        <v>1629</v>
      </c>
      <c r="I228" s="628"/>
      <c r="J228" s="628"/>
      <c r="K228" s="531"/>
      <c r="L228" s="628"/>
      <c r="M228" s="628">
        <v>35</v>
      </c>
      <c r="N228" s="628">
        <v>35</v>
      </c>
      <c r="O228" s="628"/>
      <c r="P228" s="628"/>
      <c r="Q228" s="628">
        <v>35</v>
      </c>
      <c r="R228" s="531"/>
      <c r="S228" s="628"/>
      <c r="T228" s="628"/>
      <c r="U228" s="531"/>
      <c r="V228" s="531"/>
      <c r="W228" s="531"/>
      <c r="X228" s="531"/>
      <c r="Y228" s="628"/>
      <c r="Z228" s="531"/>
      <c r="AA228" s="531"/>
      <c r="AB228" s="531"/>
      <c r="AC228" s="532" t="e">
        <f>IF(NFI_Expiration=1,IF(#REF!&lt;VLOOKUP(L$5,NFI,5,0),1,0)*Table_NFI[[#This Row],[NFI Core Kit]],Table_NFI[NFI Core Kit])</f>
        <v>#REF!</v>
      </c>
      <c r="AD228" s="532" t="e">
        <f>IF(NFI_Expiration=1,IF(#REF!&lt;VLOOKUP(M$5,NFI,5,0),1,0)*Table_NFI[[#This Row],[Sanitary Kit]],Table_NFI[Sanitary Kit])</f>
        <v>#REF!</v>
      </c>
      <c r="AE228" s="532" t="e">
        <f>IF(NFI_Expiration=1,IF(#REF!&lt;VLOOKUP(N$5,NFI,5,0),1,0)*Table_NFI[[#This Row],[Mosquito net]],Table_NFI[Mosquito net])</f>
        <v>#REF!</v>
      </c>
      <c r="AF228" s="532" t="e">
        <f>IF(NFI_Expiration=1,IF(#REF!&lt;VLOOKUP(O$5,NFI,5,0),1,0)*Table_NFI[[#This Row],[Tarpaulin]],Table_NFI[[#This Row],[Tarpaulin]])</f>
        <v>#REF!</v>
      </c>
      <c r="AG228" s="532" t="e">
        <f>IF(NFI_Expiration=1,IF(#REF!&lt;VLOOKUP(P$5,NFI,5,0),1,0)*Table_NFI[[#This Row],[Blanket]],Table_NFI[[#This Row],[Blanket]])</f>
        <v>#REF!</v>
      </c>
      <c r="AH228" s="532" t="e">
        <f>IF(NFI_Expiration=1,IF(#REF!&lt;VLOOKUP(Q$5,NFI,5,0),1,0)*Table_NFI[[#This Row],[Kitchen Set]],Table_NFI[Kitchen Set])</f>
        <v>#REF!</v>
      </c>
      <c r="AI228" s="532" t="e">
        <f>IF(NFI_Expiration=1,IF(#REF!&lt;VLOOKUP(R$5,NFI,5,0),1,0)*Table_NFI[[#This Row],[Clothes Kit]],Table_NFI[Clothes Kit])</f>
        <v>#REF!</v>
      </c>
      <c r="AJ228" s="532" t="e">
        <f>IF(NFI_Expiration=1,IF(#REF!&lt;VLOOKUP(S$5,NFI,5,0),1,0)*Table_NFI[[#This Row],[Plastic Bucket]],Table_NFI[Plastic Bucket])</f>
        <v>#REF!</v>
      </c>
      <c r="AK228" s="532" t="e">
        <f>IF(NFI_Expiration=1,IF(#REF!&lt;VLOOKUP(T$5,NFI,5,0),1,0)*Table_NFI[[#This Row],[Plastic Mat]],Table_NFI[Plastic Mat])*IF(Table_NFI[[#This Row],[Distribution Date]]&gt;"2014-04-01",1,2.5)</f>
        <v>#REF!</v>
      </c>
      <c r="AL228" s="532" t="e">
        <f>IF(NFI_Expiration=1,IF(#REF!&lt;VLOOKUP(U$5,NFI,5,0),1,0)*Table_NFI[[#This Row],[Winter Clothes Adult]],Table_NFI[Winter Clothes Adult])</f>
        <v>#REF!</v>
      </c>
      <c r="AM228" s="532"/>
      <c r="AN228" s="532"/>
      <c r="AO228" s="532"/>
      <c r="AP228" s="532">
        <f>IF(Table_NFI[[#This Row],[Winter Clothes Adult]]+Table_NFI[[#This Row],[Winter Clothes Children]]+Table_NFI[[#This Row],[Winter Items Other]]+Table_NFI[[#This Row],[Winter Blanket]]&gt;0,1,0)</f>
        <v>0</v>
      </c>
      <c r="AQ228" s="532"/>
      <c r="AR228" s="532"/>
      <c r="AS228" s="532"/>
      <c r="AT228" s="532"/>
      <c r="AU228" s="532"/>
      <c r="AV228" s="532"/>
      <c r="AW228" s="532"/>
      <c r="AX228" s="203" t="str">
        <f>IFERROR(VLOOKUP(Table_NFI[[#This Row],[Location]],CL,2,0),"")</f>
        <v>MMR001CMP262</v>
      </c>
      <c r="AZ228" s="524"/>
      <c r="DS228" s="181"/>
      <c r="DT228" s="181"/>
    </row>
    <row r="229" spans="2:124" hidden="1" x14ac:dyDescent="0.25">
      <c r="B229" s="530">
        <v>43214</v>
      </c>
      <c r="C229" s="530" t="str">
        <f>MONTH(Table_NFI[[#This Row],[Distribution Date]]) &amp; "/" &amp; YEAR(Table_NFI[[#This Row],[Distribution Date]])</f>
        <v>4/2018</v>
      </c>
      <c r="D229" s="628" t="s">
        <v>825</v>
      </c>
      <c r="E229" s="628" t="s">
        <v>825</v>
      </c>
      <c r="F229" s="628" t="s">
        <v>378</v>
      </c>
      <c r="G229" s="195" t="s">
        <v>173</v>
      </c>
      <c r="H229" s="217" t="s">
        <v>1626</v>
      </c>
      <c r="I229" s="628"/>
      <c r="J229" s="628"/>
      <c r="K229" s="531"/>
      <c r="L229" s="628"/>
      <c r="M229" s="628">
        <v>46</v>
      </c>
      <c r="N229" s="628">
        <v>46</v>
      </c>
      <c r="O229" s="628"/>
      <c r="P229" s="628"/>
      <c r="Q229" s="628">
        <v>46</v>
      </c>
      <c r="R229" s="531"/>
      <c r="S229" s="628"/>
      <c r="T229" s="628"/>
      <c r="U229" s="531"/>
      <c r="V229" s="531"/>
      <c r="W229" s="531"/>
      <c r="X229" s="531"/>
      <c r="Y229" s="628"/>
      <c r="Z229" s="531"/>
      <c r="AA229" s="531"/>
      <c r="AB229" s="531"/>
      <c r="AC229" s="532" t="e">
        <f>IF(NFI_Expiration=1,IF(#REF!&lt;VLOOKUP(L$5,NFI,5,0),1,0)*Table_NFI[[#This Row],[NFI Core Kit]],Table_NFI[NFI Core Kit])</f>
        <v>#REF!</v>
      </c>
      <c r="AD229" s="532" t="e">
        <f>IF(NFI_Expiration=1,IF(#REF!&lt;VLOOKUP(M$5,NFI,5,0),1,0)*Table_NFI[[#This Row],[Sanitary Kit]],Table_NFI[Sanitary Kit])</f>
        <v>#REF!</v>
      </c>
      <c r="AE229" s="532" t="e">
        <f>IF(NFI_Expiration=1,IF(#REF!&lt;VLOOKUP(N$5,NFI,5,0),1,0)*Table_NFI[[#This Row],[Mosquito net]],Table_NFI[Mosquito net])</f>
        <v>#REF!</v>
      </c>
      <c r="AF229" s="532" t="e">
        <f>IF(NFI_Expiration=1,IF(#REF!&lt;VLOOKUP(O$5,NFI,5,0),1,0)*Table_NFI[[#This Row],[Tarpaulin]],Table_NFI[[#This Row],[Tarpaulin]])</f>
        <v>#REF!</v>
      </c>
      <c r="AG229" s="532" t="e">
        <f>IF(NFI_Expiration=1,IF(#REF!&lt;VLOOKUP(P$5,NFI,5,0),1,0)*Table_NFI[[#This Row],[Blanket]],Table_NFI[[#This Row],[Blanket]])</f>
        <v>#REF!</v>
      </c>
      <c r="AH229" s="532" t="e">
        <f>IF(NFI_Expiration=1,IF(#REF!&lt;VLOOKUP(Q$5,NFI,5,0),1,0)*Table_NFI[[#This Row],[Kitchen Set]],Table_NFI[Kitchen Set])</f>
        <v>#REF!</v>
      </c>
      <c r="AI229" s="532" t="e">
        <f>IF(NFI_Expiration=1,IF(#REF!&lt;VLOOKUP(R$5,NFI,5,0),1,0)*Table_NFI[[#This Row],[Clothes Kit]],Table_NFI[Clothes Kit])</f>
        <v>#REF!</v>
      </c>
      <c r="AJ229" s="532" t="e">
        <f>IF(NFI_Expiration=1,IF(#REF!&lt;VLOOKUP(S$5,NFI,5,0),1,0)*Table_NFI[[#This Row],[Plastic Bucket]],Table_NFI[Plastic Bucket])</f>
        <v>#REF!</v>
      </c>
      <c r="AK229" s="532" t="e">
        <f>IF(NFI_Expiration=1,IF(#REF!&lt;VLOOKUP(T$5,NFI,5,0),1,0)*Table_NFI[[#This Row],[Plastic Mat]],Table_NFI[Plastic Mat])*IF(Table_NFI[[#This Row],[Distribution Date]]&gt;"2014-04-01",1,2.5)</f>
        <v>#REF!</v>
      </c>
      <c r="AL229" s="532" t="e">
        <f>IF(NFI_Expiration=1,IF(#REF!&lt;VLOOKUP(U$5,NFI,5,0),1,0)*Table_NFI[[#This Row],[Winter Clothes Adult]],Table_NFI[Winter Clothes Adult])</f>
        <v>#REF!</v>
      </c>
      <c r="AM229" s="532"/>
      <c r="AN229" s="532"/>
      <c r="AO229" s="532"/>
      <c r="AP229" s="532">
        <f>IF(Table_NFI[[#This Row],[Winter Clothes Adult]]+Table_NFI[[#This Row],[Winter Clothes Children]]+Table_NFI[[#This Row],[Winter Items Other]]+Table_NFI[[#This Row],[Winter Blanket]]&gt;0,1,0)</f>
        <v>0</v>
      </c>
      <c r="AQ229" s="532"/>
      <c r="AR229" s="532"/>
      <c r="AS229" s="532"/>
      <c r="AT229" s="532"/>
      <c r="AU229" s="532"/>
      <c r="AV229" s="532"/>
      <c r="AW229" s="532"/>
      <c r="AX229" s="203" t="str">
        <f>IFERROR(VLOOKUP(Table_NFI[[#This Row],[Location]],CL,2,0),"")</f>
        <v>MMR001CMP259</v>
      </c>
      <c r="AZ229" s="524"/>
      <c r="DS229" s="181"/>
      <c r="DT229" s="181"/>
    </row>
    <row r="230" spans="2:124" hidden="1" x14ac:dyDescent="0.25">
      <c r="B230" s="530">
        <v>43217</v>
      </c>
      <c r="C230" s="530" t="str">
        <f>MONTH(Table_NFI[[#This Row],[Distribution Date]]) &amp; "/" &amp; YEAR(Table_NFI[[#This Row],[Distribution Date]])</f>
        <v>4/2018</v>
      </c>
      <c r="D230" s="628" t="s">
        <v>825</v>
      </c>
      <c r="E230" s="628" t="s">
        <v>825</v>
      </c>
      <c r="F230" s="628" t="s">
        <v>378</v>
      </c>
      <c r="G230" s="195" t="s">
        <v>237</v>
      </c>
      <c r="H230" s="217" t="s">
        <v>1634</v>
      </c>
      <c r="I230" s="628"/>
      <c r="J230" s="628"/>
      <c r="K230" s="531"/>
      <c r="L230" s="628"/>
      <c r="M230" s="628">
        <v>179</v>
      </c>
      <c r="N230" s="628"/>
      <c r="O230" s="628"/>
      <c r="P230" s="628"/>
      <c r="Q230" s="628">
        <v>179</v>
      </c>
      <c r="R230" s="531"/>
      <c r="S230" s="628"/>
      <c r="T230" s="628"/>
      <c r="U230" s="531"/>
      <c r="V230" s="531"/>
      <c r="W230" s="531"/>
      <c r="X230" s="531"/>
      <c r="Y230" s="628">
        <v>179</v>
      </c>
      <c r="Z230" s="531"/>
      <c r="AA230" s="531"/>
      <c r="AB230" s="531"/>
      <c r="AC230" s="532" t="e">
        <f>IF(NFI_Expiration=1,IF(#REF!&lt;VLOOKUP(L$5,NFI,5,0),1,0)*Table_NFI[[#This Row],[NFI Core Kit]],Table_NFI[NFI Core Kit])</f>
        <v>#REF!</v>
      </c>
      <c r="AD230" s="532" t="e">
        <f>IF(NFI_Expiration=1,IF(#REF!&lt;VLOOKUP(M$5,NFI,5,0),1,0)*Table_NFI[[#This Row],[Sanitary Kit]],Table_NFI[Sanitary Kit])</f>
        <v>#REF!</v>
      </c>
      <c r="AE230" s="532" t="e">
        <f>IF(NFI_Expiration=1,IF(#REF!&lt;VLOOKUP(N$5,NFI,5,0),1,0)*Table_NFI[[#This Row],[Mosquito net]],Table_NFI[Mosquito net])</f>
        <v>#REF!</v>
      </c>
      <c r="AF230" s="532" t="e">
        <f>IF(NFI_Expiration=1,IF(#REF!&lt;VLOOKUP(O$5,NFI,5,0),1,0)*Table_NFI[[#This Row],[Tarpaulin]],Table_NFI[[#This Row],[Tarpaulin]])</f>
        <v>#REF!</v>
      </c>
      <c r="AG230" s="532" t="e">
        <f>IF(NFI_Expiration=1,IF(#REF!&lt;VLOOKUP(P$5,NFI,5,0),1,0)*Table_NFI[[#This Row],[Blanket]],Table_NFI[[#This Row],[Blanket]])</f>
        <v>#REF!</v>
      </c>
      <c r="AH230" s="532" t="e">
        <f>IF(NFI_Expiration=1,IF(#REF!&lt;VLOOKUP(Q$5,NFI,5,0),1,0)*Table_NFI[[#This Row],[Kitchen Set]],Table_NFI[Kitchen Set])</f>
        <v>#REF!</v>
      </c>
      <c r="AI230" s="532" t="e">
        <f>IF(NFI_Expiration=1,IF(#REF!&lt;VLOOKUP(R$5,NFI,5,0),1,0)*Table_NFI[[#This Row],[Clothes Kit]],Table_NFI[Clothes Kit])</f>
        <v>#REF!</v>
      </c>
      <c r="AJ230" s="532" t="e">
        <f>IF(NFI_Expiration=1,IF(#REF!&lt;VLOOKUP(S$5,NFI,5,0),1,0)*Table_NFI[[#This Row],[Plastic Bucket]],Table_NFI[Plastic Bucket])</f>
        <v>#REF!</v>
      </c>
      <c r="AK230" s="532" t="e">
        <f>IF(NFI_Expiration=1,IF(#REF!&lt;VLOOKUP(T$5,NFI,5,0),1,0)*Table_NFI[[#This Row],[Plastic Mat]],Table_NFI[Plastic Mat])*IF(Table_NFI[[#This Row],[Distribution Date]]&gt;"2014-04-01",1,2.5)</f>
        <v>#REF!</v>
      </c>
      <c r="AL230" s="532" t="e">
        <f>IF(NFI_Expiration=1,IF(#REF!&lt;VLOOKUP(U$5,NFI,5,0),1,0)*Table_NFI[[#This Row],[Winter Clothes Adult]],Table_NFI[Winter Clothes Adult])</f>
        <v>#REF!</v>
      </c>
      <c r="AM230" s="532"/>
      <c r="AN230" s="532"/>
      <c r="AO230" s="532"/>
      <c r="AP230" s="532">
        <f>IF(Table_NFI[[#This Row],[Winter Clothes Adult]]+Table_NFI[[#This Row],[Winter Clothes Children]]+Table_NFI[[#This Row],[Winter Items Other]]+Table_NFI[[#This Row],[Winter Blanket]]&gt;0,1,0)</f>
        <v>0</v>
      </c>
      <c r="AQ230" s="532"/>
      <c r="AR230" s="532"/>
      <c r="AS230" s="532"/>
      <c r="AT230" s="532"/>
      <c r="AU230" s="532"/>
      <c r="AV230" s="532"/>
      <c r="AW230" s="532"/>
      <c r="AX230" s="203" t="str">
        <f>IFERROR(VLOOKUP(Table_NFI[[#This Row],[Location]],CL,2,0),"")</f>
        <v>MMR001CMP264</v>
      </c>
      <c r="AZ230" s="524"/>
      <c r="DS230" s="181"/>
      <c r="DT230" s="181"/>
    </row>
    <row r="231" spans="2:124" hidden="1" x14ac:dyDescent="0.25">
      <c r="B231" s="530">
        <v>43217</v>
      </c>
      <c r="C231" s="530" t="str">
        <f>MONTH(Table_NFI[[#This Row],[Distribution Date]]) &amp; "/" &amp; YEAR(Table_NFI[[#This Row],[Distribution Date]])</f>
        <v>4/2018</v>
      </c>
      <c r="D231" s="628" t="s">
        <v>825</v>
      </c>
      <c r="E231" s="628" t="s">
        <v>825</v>
      </c>
      <c r="F231" s="628" t="s">
        <v>378</v>
      </c>
      <c r="G231" s="195" t="s">
        <v>237</v>
      </c>
      <c r="H231" s="217" t="s">
        <v>1660</v>
      </c>
      <c r="I231" s="628"/>
      <c r="J231" s="628"/>
      <c r="K231" s="531"/>
      <c r="L231" s="628"/>
      <c r="M231" s="628">
        <v>27</v>
      </c>
      <c r="N231" s="628"/>
      <c r="O231" s="628"/>
      <c r="P231" s="628"/>
      <c r="Q231" s="628">
        <v>27</v>
      </c>
      <c r="R231" s="531"/>
      <c r="S231" s="628"/>
      <c r="T231" s="628"/>
      <c r="U231" s="531"/>
      <c r="V231" s="531"/>
      <c r="W231" s="531"/>
      <c r="X231" s="531"/>
      <c r="Y231" s="628">
        <v>27</v>
      </c>
      <c r="Z231" s="531"/>
      <c r="AA231" s="531"/>
      <c r="AB231" s="531"/>
      <c r="AC231" s="532" t="e">
        <f>IF(NFI_Expiration=1,IF(#REF!&lt;VLOOKUP(L$5,NFI,5,0),1,0)*Table_NFI[[#This Row],[NFI Core Kit]],Table_NFI[NFI Core Kit])</f>
        <v>#REF!</v>
      </c>
      <c r="AD231" s="532" t="e">
        <f>IF(NFI_Expiration=1,IF(#REF!&lt;VLOOKUP(M$5,NFI,5,0),1,0)*Table_NFI[[#This Row],[Sanitary Kit]],Table_NFI[Sanitary Kit])</f>
        <v>#REF!</v>
      </c>
      <c r="AE231" s="532" t="e">
        <f>IF(NFI_Expiration=1,IF(#REF!&lt;VLOOKUP(N$5,NFI,5,0),1,0)*Table_NFI[[#This Row],[Mosquito net]],Table_NFI[Mosquito net])</f>
        <v>#REF!</v>
      </c>
      <c r="AF231" s="532" t="e">
        <f>IF(NFI_Expiration=1,IF(#REF!&lt;VLOOKUP(O$5,NFI,5,0),1,0)*Table_NFI[[#This Row],[Tarpaulin]],Table_NFI[[#This Row],[Tarpaulin]])</f>
        <v>#REF!</v>
      </c>
      <c r="AG231" s="532" t="e">
        <f>IF(NFI_Expiration=1,IF(#REF!&lt;VLOOKUP(P$5,NFI,5,0),1,0)*Table_NFI[[#This Row],[Blanket]],Table_NFI[[#This Row],[Blanket]])</f>
        <v>#REF!</v>
      </c>
      <c r="AH231" s="532" t="e">
        <f>IF(NFI_Expiration=1,IF(#REF!&lt;VLOOKUP(Q$5,NFI,5,0),1,0)*Table_NFI[[#This Row],[Kitchen Set]],Table_NFI[Kitchen Set])</f>
        <v>#REF!</v>
      </c>
      <c r="AI231" s="532" t="e">
        <f>IF(NFI_Expiration=1,IF(#REF!&lt;VLOOKUP(R$5,NFI,5,0),1,0)*Table_NFI[[#This Row],[Clothes Kit]],Table_NFI[Clothes Kit])</f>
        <v>#REF!</v>
      </c>
      <c r="AJ231" s="532" t="e">
        <f>IF(NFI_Expiration=1,IF(#REF!&lt;VLOOKUP(S$5,NFI,5,0),1,0)*Table_NFI[[#This Row],[Plastic Bucket]],Table_NFI[Plastic Bucket])</f>
        <v>#REF!</v>
      </c>
      <c r="AK231" s="532" t="e">
        <f>IF(NFI_Expiration=1,IF(#REF!&lt;VLOOKUP(T$5,NFI,5,0),1,0)*Table_NFI[[#This Row],[Plastic Mat]],Table_NFI[Plastic Mat])*IF(Table_NFI[[#This Row],[Distribution Date]]&gt;"2014-04-01",1,2.5)</f>
        <v>#REF!</v>
      </c>
      <c r="AL231" s="532" t="e">
        <f>IF(NFI_Expiration=1,IF(#REF!&lt;VLOOKUP(U$5,NFI,5,0),1,0)*Table_NFI[[#This Row],[Winter Clothes Adult]],Table_NFI[Winter Clothes Adult])</f>
        <v>#REF!</v>
      </c>
      <c r="AM231" s="532"/>
      <c r="AN231" s="532"/>
      <c r="AO231" s="532"/>
      <c r="AP231" s="532">
        <f>IF(Table_NFI[[#This Row],[Winter Clothes Adult]]+Table_NFI[[#This Row],[Winter Clothes Children]]+Table_NFI[[#This Row],[Winter Items Other]]+Table_NFI[[#This Row],[Winter Blanket]]&gt;0,1,0)</f>
        <v>0</v>
      </c>
      <c r="AQ231" s="532"/>
      <c r="AR231" s="532"/>
      <c r="AS231" s="532"/>
      <c r="AT231" s="532"/>
      <c r="AU231" s="532"/>
      <c r="AV231" s="532"/>
      <c r="AW231" s="532"/>
      <c r="AX231" s="203" t="str">
        <f>IFERROR(VLOOKUP(Table_NFI[[#This Row],[Location]],CL,2,0),"")</f>
        <v>MMR001CMP267</v>
      </c>
      <c r="AZ231" s="524"/>
      <c r="DS231" s="181"/>
      <c r="DT231" s="181"/>
    </row>
    <row r="232" spans="2:124" hidden="1" x14ac:dyDescent="0.25">
      <c r="B232" s="530">
        <v>43217</v>
      </c>
      <c r="C232" s="530" t="str">
        <f>MONTH(Table_NFI[[#This Row],[Distribution Date]]) &amp; "/" &amp; YEAR(Table_NFI[[#This Row],[Distribution Date]])</f>
        <v>4/2018</v>
      </c>
      <c r="D232" s="196" t="s">
        <v>778</v>
      </c>
      <c r="E232" s="196" t="s">
        <v>778</v>
      </c>
      <c r="F232" s="628" t="s">
        <v>378</v>
      </c>
      <c r="G232" s="195" t="s">
        <v>237</v>
      </c>
      <c r="H232" s="217" t="s">
        <v>1688</v>
      </c>
      <c r="I232" s="181"/>
      <c r="J232" s="531"/>
      <c r="K232" s="531"/>
      <c r="L232" s="531"/>
      <c r="M232" s="531"/>
      <c r="N232" s="531">
        <v>164</v>
      </c>
      <c r="O232" s="531"/>
      <c r="P232" s="531">
        <v>164</v>
      </c>
      <c r="Q232" s="531"/>
      <c r="R232" s="531"/>
      <c r="S232" s="531"/>
      <c r="T232" s="531">
        <v>164</v>
      </c>
      <c r="U232" s="531"/>
      <c r="V232" s="531"/>
      <c r="W232" s="531"/>
      <c r="X232" s="531"/>
      <c r="Y232" s="531"/>
      <c r="Z232" s="531"/>
      <c r="AA232" s="531"/>
      <c r="AB232" s="531"/>
      <c r="AC232" s="532" t="e">
        <f>IF(NFI_Expiration=1,IF(#REF!&lt;VLOOKUP(L$5,NFI,5,0),1,0)*Table_NFI[[#This Row],[NFI Core Kit]],Table_NFI[NFI Core Kit])</f>
        <v>#REF!</v>
      </c>
      <c r="AD232" s="532" t="e">
        <f>IF(NFI_Expiration=1,IF(#REF!&lt;VLOOKUP(M$5,NFI,5,0),1,0)*Table_NFI[[#This Row],[Sanitary Kit]],Table_NFI[Sanitary Kit])</f>
        <v>#REF!</v>
      </c>
      <c r="AE232" s="532" t="e">
        <f>IF(NFI_Expiration=1,IF(#REF!&lt;VLOOKUP(N$5,NFI,5,0),1,0)*Table_NFI[[#This Row],[Mosquito net]],Table_NFI[Mosquito net])</f>
        <v>#REF!</v>
      </c>
      <c r="AF232" s="532" t="e">
        <f>IF(NFI_Expiration=1,IF(#REF!&lt;VLOOKUP(O$5,NFI,5,0),1,0)*Table_NFI[[#This Row],[Tarpaulin]],Table_NFI[[#This Row],[Tarpaulin]])</f>
        <v>#REF!</v>
      </c>
      <c r="AG232" s="532" t="e">
        <f>IF(NFI_Expiration=1,IF(#REF!&lt;VLOOKUP(P$5,NFI,5,0),1,0)*Table_NFI[[#This Row],[Blanket]],Table_NFI[[#This Row],[Blanket]])</f>
        <v>#REF!</v>
      </c>
      <c r="AH232" s="532" t="e">
        <f>IF(NFI_Expiration=1,IF(#REF!&lt;VLOOKUP(Q$5,NFI,5,0),1,0)*Table_NFI[[#This Row],[Kitchen Set]],Table_NFI[Kitchen Set])</f>
        <v>#REF!</v>
      </c>
      <c r="AI232" s="532" t="e">
        <f>IF(NFI_Expiration=1,IF(#REF!&lt;VLOOKUP(R$5,NFI,5,0),1,0)*Table_NFI[[#This Row],[Clothes Kit]],Table_NFI[Clothes Kit])</f>
        <v>#REF!</v>
      </c>
      <c r="AJ232" s="532" t="e">
        <f>IF(NFI_Expiration=1,IF(#REF!&lt;VLOOKUP(S$5,NFI,5,0),1,0)*Table_NFI[[#This Row],[Plastic Bucket]],Table_NFI[Plastic Bucket])</f>
        <v>#REF!</v>
      </c>
      <c r="AK232" s="532" t="e">
        <f>IF(NFI_Expiration=1,IF(#REF!&lt;VLOOKUP(T$5,NFI,5,0),1,0)*Table_NFI[[#This Row],[Plastic Mat]],Table_NFI[Plastic Mat])*IF(Table_NFI[[#This Row],[Distribution Date]]&gt;"2014-04-01",1,2.5)</f>
        <v>#REF!</v>
      </c>
      <c r="AL232" s="532" t="e">
        <f>IF(NFI_Expiration=1,IF(#REF!&lt;VLOOKUP(U$5,NFI,5,0),1,0)*Table_NFI[[#This Row],[Winter Clothes Adult]],Table_NFI[Winter Clothes Adult])</f>
        <v>#REF!</v>
      </c>
      <c r="AM232" s="532"/>
      <c r="AN232" s="532"/>
      <c r="AO232" s="532"/>
      <c r="AP232" s="532">
        <f>IF(Table_NFI[[#This Row],[Winter Clothes Adult]]+Table_NFI[[#This Row],[Winter Clothes Children]]+Table_NFI[[#This Row],[Winter Items Other]]+Table_NFI[[#This Row],[Winter Blanket]]&gt;0,1,0)</f>
        <v>0</v>
      </c>
      <c r="AQ232" s="532"/>
      <c r="AR232" s="532"/>
      <c r="AS232" s="532"/>
      <c r="AT232" s="532"/>
      <c r="AU232" s="532"/>
      <c r="AV232" s="532"/>
      <c r="AW232" s="532"/>
      <c r="AX232" s="203" t="str">
        <f>IFERROR(VLOOKUP(Table_NFI[[#This Row],[Location]],CL,2,0),"")</f>
        <v>MMR001CMP263</v>
      </c>
      <c r="AZ232" s="524"/>
      <c r="DS232" s="181"/>
      <c r="DT232" s="181"/>
    </row>
    <row r="233" spans="2:124" hidden="1" x14ac:dyDescent="0.25">
      <c r="B233" s="530">
        <v>43220</v>
      </c>
      <c r="C233" s="530" t="str">
        <f>MONTH(Table_NFI[[#This Row],[Distribution Date]]) &amp; "/" &amp; YEAR(Table_NFI[[#This Row],[Distribution Date]])</f>
        <v>4/2018</v>
      </c>
      <c r="D233" s="628" t="s">
        <v>1256</v>
      </c>
      <c r="E233" s="628"/>
      <c r="F233" s="196" t="s">
        <v>506</v>
      </c>
      <c r="G233" s="195" t="s">
        <v>146</v>
      </c>
      <c r="H233" s="217" t="s">
        <v>1590</v>
      </c>
      <c r="I233" s="628"/>
      <c r="J233" s="628"/>
      <c r="K233" s="531"/>
      <c r="L233" s="628"/>
      <c r="M233" s="628"/>
      <c r="N233" s="628"/>
      <c r="O233" s="628">
        <v>15</v>
      </c>
      <c r="P233" s="628"/>
      <c r="Q233" s="628"/>
      <c r="R233" s="531"/>
      <c r="S233" s="628"/>
      <c r="T233" s="628">
        <v>49</v>
      </c>
      <c r="U233" s="531"/>
      <c r="V233" s="531"/>
      <c r="W233" s="531"/>
      <c r="X233" s="531"/>
      <c r="Y233" s="628"/>
      <c r="Z233" s="531"/>
      <c r="AA233" s="531">
        <v>32</v>
      </c>
      <c r="AB233" s="531"/>
      <c r="AC233" s="532" t="e">
        <f>IF(NFI_Expiration=1,IF(#REF!&lt;VLOOKUP(L$5,NFI,5,0),1,0)*Table_NFI[[#This Row],[NFI Core Kit]],Table_NFI[NFI Core Kit])</f>
        <v>#REF!</v>
      </c>
      <c r="AD233" s="532" t="e">
        <f>IF(NFI_Expiration=1,IF(#REF!&lt;VLOOKUP(M$5,NFI,5,0),1,0)*Table_NFI[[#This Row],[Sanitary Kit]],Table_NFI[Sanitary Kit])</f>
        <v>#REF!</v>
      </c>
      <c r="AE233" s="532" t="e">
        <f>IF(NFI_Expiration=1,IF(#REF!&lt;VLOOKUP(N$5,NFI,5,0),1,0)*Table_NFI[[#This Row],[Mosquito net]],Table_NFI[Mosquito net])</f>
        <v>#REF!</v>
      </c>
      <c r="AF233" s="532" t="e">
        <f>IF(NFI_Expiration=1,IF(#REF!&lt;VLOOKUP(O$5,NFI,5,0),1,0)*Table_NFI[[#This Row],[Tarpaulin]],Table_NFI[[#This Row],[Tarpaulin]])</f>
        <v>#REF!</v>
      </c>
      <c r="AG233" s="532" t="e">
        <f>IF(NFI_Expiration=1,IF(#REF!&lt;VLOOKUP(P$5,NFI,5,0),1,0)*Table_NFI[[#This Row],[Blanket]],Table_NFI[[#This Row],[Blanket]])</f>
        <v>#REF!</v>
      </c>
      <c r="AH233" s="532" t="e">
        <f>IF(NFI_Expiration=1,IF(#REF!&lt;VLOOKUP(Q$5,NFI,5,0),1,0)*Table_NFI[[#This Row],[Kitchen Set]],Table_NFI[Kitchen Set])</f>
        <v>#REF!</v>
      </c>
      <c r="AI233" s="532" t="e">
        <f>IF(NFI_Expiration=1,IF(#REF!&lt;VLOOKUP(R$5,NFI,5,0),1,0)*Table_NFI[[#This Row],[Clothes Kit]],Table_NFI[Clothes Kit])</f>
        <v>#REF!</v>
      </c>
      <c r="AJ233" s="532" t="e">
        <f>IF(NFI_Expiration=1,IF(#REF!&lt;VLOOKUP(S$5,NFI,5,0),1,0)*Table_NFI[[#This Row],[Plastic Bucket]],Table_NFI[Plastic Bucket])</f>
        <v>#REF!</v>
      </c>
      <c r="AK233" s="532" t="e">
        <f>IF(NFI_Expiration=1,IF(#REF!&lt;VLOOKUP(T$5,NFI,5,0),1,0)*Table_NFI[[#This Row],[Plastic Mat]],Table_NFI[Plastic Mat])*IF(Table_NFI[[#This Row],[Distribution Date]]&gt;"2014-04-01",1,2.5)</f>
        <v>#REF!</v>
      </c>
      <c r="AL233" s="532" t="e">
        <f>IF(NFI_Expiration=1,IF(#REF!&lt;VLOOKUP(U$5,NFI,5,0),1,0)*Table_NFI[[#This Row],[Winter Clothes Adult]],Table_NFI[Winter Clothes Adult])</f>
        <v>#REF!</v>
      </c>
      <c r="AM233" s="532"/>
      <c r="AN233" s="532"/>
      <c r="AO233" s="532"/>
      <c r="AP233" s="532">
        <f>IF(Table_NFI[[#This Row],[Winter Clothes Adult]]+Table_NFI[[#This Row],[Winter Clothes Children]]+Table_NFI[[#This Row],[Winter Items Other]]+Table_NFI[[#This Row],[Winter Blanket]]&gt;0,1,0)</f>
        <v>0</v>
      </c>
      <c r="AQ233" s="532"/>
      <c r="AR233" s="532"/>
      <c r="AS233" s="532"/>
      <c r="AT233" s="532"/>
      <c r="AU233" s="532"/>
      <c r="AV233" s="532"/>
      <c r="AW233" s="532"/>
      <c r="AX233" s="203" t="str">
        <f>IFERROR(VLOOKUP(Table_NFI[[#This Row],[Location]],CL,2,0),"")</f>
        <v>MMR015CMP220</v>
      </c>
      <c r="AZ233" s="524"/>
      <c r="DS233" s="181"/>
      <c r="DT233" s="181"/>
    </row>
    <row r="234" spans="2:124" hidden="1" x14ac:dyDescent="0.25">
      <c r="B234" s="530">
        <v>43221</v>
      </c>
      <c r="C234" s="530" t="str">
        <f>MONTH(Table_NFI[[#This Row],[Distribution Date]]) &amp; "/" &amp; YEAR(Table_NFI[[#This Row],[Distribution Date]])</f>
        <v>5/2018</v>
      </c>
      <c r="D234" s="628" t="s">
        <v>1256</v>
      </c>
      <c r="E234" s="628"/>
      <c r="F234" s="196" t="s">
        <v>506</v>
      </c>
      <c r="G234" s="195" t="s">
        <v>288</v>
      </c>
      <c r="H234" s="217" t="s">
        <v>1128</v>
      </c>
      <c r="I234" s="628"/>
      <c r="J234" s="628"/>
      <c r="K234" s="531"/>
      <c r="L234" s="628"/>
      <c r="M234" s="628"/>
      <c r="N234" s="628"/>
      <c r="O234" s="628">
        <v>32</v>
      </c>
      <c r="P234" s="628"/>
      <c r="Q234" s="628"/>
      <c r="R234" s="531"/>
      <c r="S234" s="628"/>
      <c r="T234" s="628">
        <v>109</v>
      </c>
      <c r="U234" s="531"/>
      <c r="V234" s="531"/>
      <c r="W234" s="531"/>
      <c r="X234" s="531"/>
      <c r="Y234" s="628"/>
      <c r="Z234" s="531"/>
      <c r="AA234" s="531"/>
      <c r="AB234" s="531"/>
      <c r="AC234" s="532" t="e">
        <f>IF(NFI_Expiration=1,IF(#REF!&lt;VLOOKUP(L$5,NFI,5,0),1,0)*Table_NFI[[#This Row],[NFI Core Kit]],Table_NFI[NFI Core Kit])</f>
        <v>#REF!</v>
      </c>
      <c r="AD234" s="532" t="e">
        <f>IF(NFI_Expiration=1,IF(#REF!&lt;VLOOKUP(M$5,NFI,5,0),1,0)*Table_NFI[[#This Row],[Sanitary Kit]],Table_NFI[Sanitary Kit])</f>
        <v>#REF!</v>
      </c>
      <c r="AE234" s="532" t="e">
        <f>IF(NFI_Expiration=1,IF(#REF!&lt;VLOOKUP(N$5,NFI,5,0),1,0)*Table_NFI[[#This Row],[Mosquito net]],Table_NFI[Mosquito net])</f>
        <v>#REF!</v>
      </c>
      <c r="AF234" s="532" t="e">
        <f>IF(NFI_Expiration=1,IF(#REF!&lt;VLOOKUP(O$5,NFI,5,0),1,0)*Table_NFI[[#This Row],[Tarpaulin]],Table_NFI[[#This Row],[Tarpaulin]])</f>
        <v>#REF!</v>
      </c>
      <c r="AG234" s="532" t="e">
        <f>IF(NFI_Expiration=1,IF(#REF!&lt;VLOOKUP(P$5,NFI,5,0),1,0)*Table_NFI[[#This Row],[Blanket]],Table_NFI[[#This Row],[Blanket]])</f>
        <v>#REF!</v>
      </c>
      <c r="AH234" s="532" t="e">
        <f>IF(NFI_Expiration=1,IF(#REF!&lt;VLOOKUP(Q$5,NFI,5,0),1,0)*Table_NFI[[#This Row],[Kitchen Set]],Table_NFI[Kitchen Set])</f>
        <v>#REF!</v>
      </c>
      <c r="AI234" s="532" t="e">
        <f>IF(NFI_Expiration=1,IF(#REF!&lt;VLOOKUP(R$5,NFI,5,0),1,0)*Table_NFI[[#This Row],[Clothes Kit]],Table_NFI[Clothes Kit])</f>
        <v>#REF!</v>
      </c>
      <c r="AJ234" s="532" t="e">
        <f>IF(NFI_Expiration=1,IF(#REF!&lt;VLOOKUP(S$5,NFI,5,0),1,0)*Table_NFI[[#This Row],[Plastic Bucket]],Table_NFI[Plastic Bucket])</f>
        <v>#REF!</v>
      </c>
      <c r="AK234" s="532" t="e">
        <f>IF(NFI_Expiration=1,IF(#REF!&lt;VLOOKUP(T$5,NFI,5,0),1,0)*Table_NFI[[#This Row],[Plastic Mat]],Table_NFI[Plastic Mat])*IF(Table_NFI[[#This Row],[Distribution Date]]&gt;"2014-04-01",1,2.5)</f>
        <v>#REF!</v>
      </c>
      <c r="AL234" s="532" t="e">
        <f>IF(NFI_Expiration=1,IF(#REF!&lt;VLOOKUP(U$5,NFI,5,0),1,0)*Table_NFI[[#This Row],[Winter Clothes Adult]],Table_NFI[Winter Clothes Adult])</f>
        <v>#REF!</v>
      </c>
      <c r="AM234" s="532"/>
      <c r="AN234" s="532"/>
      <c r="AO234" s="532"/>
      <c r="AP234" s="532">
        <f>IF(Table_NFI[[#This Row],[Winter Clothes Adult]]+Table_NFI[[#This Row],[Winter Clothes Children]]+Table_NFI[[#This Row],[Winter Items Other]]+Table_NFI[[#This Row],[Winter Blanket]]&gt;0,1,0)</f>
        <v>0</v>
      </c>
      <c r="AQ234" s="532"/>
      <c r="AR234" s="532"/>
      <c r="AS234" s="532"/>
      <c r="AT234" s="532"/>
      <c r="AU234" s="532"/>
      <c r="AV234" s="532"/>
      <c r="AW234" s="532"/>
      <c r="AX234" s="203" t="str">
        <f>IFERROR(VLOOKUP(Table_NFI[[#This Row],[Location]],CL,2,0),"")</f>
        <v>MMR015CMP224</v>
      </c>
      <c r="AZ234" s="524"/>
      <c r="DS234" s="181"/>
      <c r="DT234" s="181"/>
    </row>
    <row r="235" spans="2:124" hidden="1" x14ac:dyDescent="0.25">
      <c r="B235" s="530">
        <v>43221</v>
      </c>
      <c r="C235" s="530" t="str">
        <f>MONTH(Table_NFI[[#This Row],[Distribution Date]]) &amp; "/" &amp; YEAR(Table_NFI[[#This Row],[Distribution Date]])</f>
        <v>5/2018</v>
      </c>
      <c r="D235" s="628" t="s">
        <v>1256</v>
      </c>
      <c r="E235" s="628"/>
      <c r="F235" s="196" t="s">
        <v>506</v>
      </c>
      <c r="G235" s="195" t="s">
        <v>288</v>
      </c>
      <c r="H235" s="217" t="s">
        <v>291</v>
      </c>
      <c r="I235" s="628"/>
      <c r="J235" s="628"/>
      <c r="K235" s="531"/>
      <c r="L235" s="628"/>
      <c r="M235" s="628"/>
      <c r="N235" s="628"/>
      <c r="O235" s="628">
        <v>26</v>
      </c>
      <c r="P235" s="628"/>
      <c r="Q235" s="628"/>
      <c r="R235" s="531"/>
      <c r="S235" s="628"/>
      <c r="T235" s="628">
        <v>26</v>
      </c>
      <c r="U235" s="531"/>
      <c r="V235" s="531"/>
      <c r="W235" s="531"/>
      <c r="X235" s="531"/>
      <c r="Y235" s="628"/>
      <c r="Z235" s="531"/>
      <c r="AA235" s="531"/>
      <c r="AB235" s="531"/>
      <c r="AC235" s="532" t="e">
        <f>IF(NFI_Expiration=1,IF(#REF!&lt;VLOOKUP(L$5,NFI,5,0),1,0)*Table_NFI[[#This Row],[NFI Core Kit]],Table_NFI[NFI Core Kit])</f>
        <v>#REF!</v>
      </c>
      <c r="AD235" s="532" t="e">
        <f>IF(NFI_Expiration=1,IF(#REF!&lt;VLOOKUP(M$5,NFI,5,0),1,0)*Table_NFI[[#This Row],[Sanitary Kit]],Table_NFI[Sanitary Kit])</f>
        <v>#REF!</v>
      </c>
      <c r="AE235" s="532" t="e">
        <f>IF(NFI_Expiration=1,IF(#REF!&lt;VLOOKUP(N$5,NFI,5,0),1,0)*Table_NFI[[#This Row],[Mosquito net]],Table_NFI[Mosquito net])</f>
        <v>#REF!</v>
      </c>
      <c r="AF235" s="532" t="e">
        <f>IF(NFI_Expiration=1,IF(#REF!&lt;VLOOKUP(O$5,NFI,5,0),1,0)*Table_NFI[[#This Row],[Tarpaulin]],Table_NFI[[#This Row],[Tarpaulin]])</f>
        <v>#REF!</v>
      </c>
      <c r="AG235" s="532" t="e">
        <f>IF(NFI_Expiration=1,IF(#REF!&lt;VLOOKUP(P$5,NFI,5,0),1,0)*Table_NFI[[#This Row],[Blanket]],Table_NFI[[#This Row],[Blanket]])</f>
        <v>#REF!</v>
      </c>
      <c r="AH235" s="532" t="e">
        <f>IF(NFI_Expiration=1,IF(#REF!&lt;VLOOKUP(Q$5,NFI,5,0),1,0)*Table_NFI[[#This Row],[Kitchen Set]],Table_NFI[Kitchen Set])</f>
        <v>#REF!</v>
      </c>
      <c r="AI235" s="532" t="e">
        <f>IF(NFI_Expiration=1,IF(#REF!&lt;VLOOKUP(R$5,NFI,5,0),1,0)*Table_NFI[[#This Row],[Clothes Kit]],Table_NFI[Clothes Kit])</f>
        <v>#REF!</v>
      </c>
      <c r="AJ235" s="532" t="e">
        <f>IF(NFI_Expiration=1,IF(#REF!&lt;VLOOKUP(S$5,NFI,5,0),1,0)*Table_NFI[[#This Row],[Plastic Bucket]],Table_NFI[Plastic Bucket])</f>
        <v>#REF!</v>
      </c>
      <c r="AK235" s="532" t="e">
        <f>IF(NFI_Expiration=1,IF(#REF!&lt;VLOOKUP(T$5,NFI,5,0),1,0)*Table_NFI[[#This Row],[Plastic Mat]],Table_NFI[Plastic Mat])*IF(Table_NFI[[#This Row],[Distribution Date]]&gt;"2014-04-01",1,2.5)</f>
        <v>#REF!</v>
      </c>
      <c r="AL235" s="532" t="e">
        <f>IF(NFI_Expiration=1,IF(#REF!&lt;VLOOKUP(U$5,NFI,5,0),1,0)*Table_NFI[[#This Row],[Winter Clothes Adult]],Table_NFI[Winter Clothes Adult])</f>
        <v>#REF!</v>
      </c>
      <c r="AM235" s="532"/>
      <c r="AN235" s="532"/>
      <c r="AO235" s="532"/>
      <c r="AP235" s="532">
        <f>IF(Table_NFI[[#This Row],[Winter Clothes Adult]]+Table_NFI[[#This Row],[Winter Clothes Children]]+Table_NFI[[#This Row],[Winter Items Other]]+Table_NFI[[#This Row],[Winter Blanket]]&gt;0,1,0)</f>
        <v>0</v>
      </c>
      <c r="AQ235" s="532"/>
      <c r="AR235" s="532"/>
      <c r="AS235" s="532"/>
      <c r="AT235" s="532"/>
      <c r="AU235" s="532"/>
      <c r="AV235" s="532"/>
      <c r="AW235" s="532"/>
      <c r="AX235" s="203" t="str">
        <f>IFERROR(VLOOKUP(Table_NFI[[#This Row],[Location]],CL,2,0),"")</f>
        <v>MMR015CMP004</v>
      </c>
      <c r="AZ235" s="524"/>
      <c r="DS235" s="181"/>
      <c r="DT235" s="181"/>
    </row>
    <row r="236" spans="2:124" hidden="1" x14ac:dyDescent="0.25">
      <c r="B236" s="530">
        <v>43217</v>
      </c>
      <c r="C236" s="530" t="str">
        <f>MONTH(Table_NFI[[#This Row],[Distribution Date]]) &amp; "/" &amp; YEAR(Table_NFI[[#This Row],[Distribution Date]])</f>
        <v>4/2018</v>
      </c>
      <c r="D236" s="628" t="s">
        <v>825</v>
      </c>
      <c r="E236" s="628" t="s">
        <v>825</v>
      </c>
      <c r="F236" s="628" t="s">
        <v>378</v>
      </c>
      <c r="G236" s="195" t="s">
        <v>237</v>
      </c>
      <c r="H236" s="217" t="s">
        <v>1689</v>
      </c>
      <c r="I236" s="628"/>
      <c r="J236" s="628"/>
      <c r="K236" s="531"/>
      <c r="L236" s="628"/>
      <c r="M236" s="628">
        <v>103</v>
      </c>
      <c r="N236" s="628"/>
      <c r="O236" s="628"/>
      <c r="P236" s="628"/>
      <c r="Q236" s="628">
        <v>103</v>
      </c>
      <c r="R236" s="531"/>
      <c r="S236" s="628"/>
      <c r="T236" s="628"/>
      <c r="U236" s="531"/>
      <c r="V236" s="531"/>
      <c r="W236" s="531"/>
      <c r="X236" s="531"/>
      <c r="Y236" s="628">
        <v>103</v>
      </c>
      <c r="Z236" s="531"/>
      <c r="AA236" s="531"/>
      <c r="AB236" s="531"/>
      <c r="AC236" s="532" t="e">
        <f>IF(NFI_Expiration=1,IF(#REF!&lt;VLOOKUP(L$5,NFI,5,0),1,0)*Table_NFI[[#This Row],[NFI Core Kit]],Table_NFI[NFI Core Kit])</f>
        <v>#REF!</v>
      </c>
      <c r="AD236" s="532" t="e">
        <f>IF(NFI_Expiration=1,IF(#REF!&lt;VLOOKUP(M$5,NFI,5,0),1,0)*Table_NFI[[#This Row],[Sanitary Kit]],Table_NFI[Sanitary Kit])</f>
        <v>#REF!</v>
      </c>
      <c r="AE236" s="532" t="e">
        <f>IF(NFI_Expiration=1,IF(#REF!&lt;VLOOKUP(N$5,NFI,5,0),1,0)*Table_NFI[[#This Row],[Mosquito net]],Table_NFI[Mosquito net])</f>
        <v>#REF!</v>
      </c>
      <c r="AF236" s="532" t="e">
        <f>IF(NFI_Expiration=1,IF(#REF!&lt;VLOOKUP(O$5,NFI,5,0),1,0)*Table_NFI[[#This Row],[Tarpaulin]],Table_NFI[[#This Row],[Tarpaulin]])</f>
        <v>#REF!</v>
      </c>
      <c r="AG236" s="532" t="e">
        <f>IF(NFI_Expiration=1,IF(#REF!&lt;VLOOKUP(P$5,NFI,5,0),1,0)*Table_NFI[[#This Row],[Blanket]],Table_NFI[[#This Row],[Blanket]])</f>
        <v>#REF!</v>
      </c>
      <c r="AH236" s="532" t="e">
        <f>IF(NFI_Expiration=1,IF(#REF!&lt;VLOOKUP(Q$5,NFI,5,0),1,0)*Table_NFI[[#This Row],[Kitchen Set]],Table_NFI[Kitchen Set])</f>
        <v>#REF!</v>
      </c>
      <c r="AI236" s="532" t="e">
        <f>IF(NFI_Expiration=1,IF(#REF!&lt;VLOOKUP(R$5,NFI,5,0),1,0)*Table_NFI[[#This Row],[Clothes Kit]],Table_NFI[Clothes Kit])</f>
        <v>#REF!</v>
      </c>
      <c r="AJ236" s="532" t="e">
        <f>IF(NFI_Expiration=1,IF(#REF!&lt;VLOOKUP(S$5,NFI,5,0),1,0)*Table_NFI[[#This Row],[Plastic Bucket]],Table_NFI[Plastic Bucket])</f>
        <v>#REF!</v>
      </c>
      <c r="AK236" s="532" t="e">
        <f>IF(NFI_Expiration=1,IF(#REF!&lt;VLOOKUP(T$5,NFI,5,0),1,0)*Table_NFI[[#This Row],[Plastic Mat]],Table_NFI[Plastic Mat])*IF(Table_NFI[[#This Row],[Distribution Date]]&gt;"2014-04-01",1,2.5)</f>
        <v>#REF!</v>
      </c>
      <c r="AL236" s="532" t="e">
        <f>IF(NFI_Expiration=1,IF(#REF!&lt;VLOOKUP(U$5,NFI,5,0),1,0)*Table_NFI[[#This Row],[Winter Clothes Adult]],Table_NFI[Winter Clothes Adult])</f>
        <v>#REF!</v>
      </c>
      <c r="AM236" s="532"/>
      <c r="AN236" s="532"/>
      <c r="AO236" s="532"/>
      <c r="AP236" s="532">
        <f>IF(Table_NFI[[#This Row],[Winter Clothes Adult]]+Table_NFI[[#This Row],[Winter Clothes Children]]+Table_NFI[[#This Row],[Winter Items Other]]+Table_NFI[[#This Row],[Winter Blanket]]&gt;0,1,0)</f>
        <v>0</v>
      </c>
      <c r="AQ236" s="532"/>
      <c r="AR236" s="532"/>
      <c r="AS236" s="532"/>
      <c r="AT236" s="532"/>
      <c r="AU236" s="532"/>
      <c r="AV236" s="532"/>
      <c r="AW236" s="532"/>
      <c r="AX236" s="203" t="str">
        <f>IFERROR(VLOOKUP(Table_NFI[[#This Row],[Location]],CL,2,0),"")</f>
        <v/>
      </c>
      <c r="AZ236" s="524"/>
      <c r="DS236" s="181"/>
      <c r="DT236" s="181"/>
    </row>
    <row r="237" spans="2:124" hidden="1" x14ac:dyDescent="0.25">
      <c r="B237" s="530">
        <v>43227</v>
      </c>
      <c r="C237" s="530" t="str">
        <f>MONTH(Table_NFI[[#This Row],[Distribution Date]]) &amp; "/" &amp; YEAR(Table_NFI[[#This Row],[Distribution Date]])</f>
        <v>5/2018</v>
      </c>
      <c r="D237" s="628" t="s">
        <v>778</v>
      </c>
      <c r="E237" s="628" t="s">
        <v>778</v>
      </c>
      <c r="F237" s="628" t="s">
        <v>378</v>
      </c>
      <c r="G237" s="195" t="s">
        <v>173</v>
      </c>
      <c r="H237" s="217" t="s">
        <v>1626</v>
      </c>
      <c r="I237" s="628"/>
      <c r="J237" s="628"/>
      <c r="K237" s="531"/>
      <c r="L237" s="628"/>
      <c r="M237" s="628"/>
      <c r="N237" s="628"/>
      <c r="O237" s="628"/>
      <c r="P237" s="628"/>
      <c r="Q237" s="628"/>
      <c r="R237" s="531"/>
      <c r="S237" s="628"/>
      <c r="T237" s="628"/>
      <c r="U237" s="531"/>
      <c r="V237" s="531"/>
      <c r="W237" s="531"/>
      <c r="X237" s="531"/>
      <c r="Y237" s="628"/>
      <c r="Z237" s="531">
        <v>57</v>
      </c>
      <c r="AA237" s="531"/>
      <c r="AB237" s="531"/>
      <c r="AC237" s="532" t="e">
        <f>IF(NFI_Expiration=1,IF(#REF!&lt;VLOOKUP(L$5,NFI,5,0),1,0)*Table_NFI[[#This Row],[NFI Core Kit]],Table_NFI[NFI Core Kit])</f>
        <v>#REF!</v>
      </c>
      <c r="AD237" s="532" t="e">
        <f>IF(NFI_Expiration=1,IF(#REF!&lt;VLOOKUP(M$5,NFI,5,0),1,0)*Table_NFI[[#This Row],[Sanitary Kit]],Table_NFI[Sanitary Kit])</f>
        <v>#REF!</v>
      </c>
      <c r="AE237" s="532" t="e">
        <f>IF(NFI_Expiration=1,IF(#REF!&lt;VLOOKUP(N$5,NFI,5,0),1,0)*Table_NFI[[#This Row],[Mosquito net]],Table_NFI[Mosquito net])</f>
        <v>#REF!</v>
      </c>
      <c r="AF237" s="532" t="e">
        <f>IF(NFI_Expiration=1,IF(#REF!&lt;VLOOKUP(O$5,NFI,5,0),1,0)*Table_NFI[[#This Row],[Tarpaulin]],Table_NFI[[#This Row],[Tarpaulin]])</f>
        <v>#REF!</v>
      </c>
      <c r="AG237" s="532" t="e">
        <f>IF(NFI_Expiration=1,IF(#REF!&lt;VLOOKUP(P$5,NFI,5,0),1,0)*Table_NFI[[#This Row],[Blanket]],Table_NFI[[#This Row],[Blanket]])</f>
        <v>#REF!</v>
      </c>
      <c r="AH237" s="532" t="e">
        <f>IF(NFI_Expiration=1,IF(#REF!&lt;VLOOKUP(Q$5,NFI,5,0),1,0)*Table_NFI[[#This Row],[Kitchen Set]],Table_NFI[Kitchen Set])</f>
        <v>#REF!</v>
      </c>
      <c r="AI237" s="532" t="e">
        <f>IF(NFI_Expiration=1,IF(#REF!&lt;VLOOKUP(R$5,NFI,5,0),1,0)*Table_NFI[[#This Row],[Clothes Kit]],Table_NFI[Clothes Kit])</f>
        <v>#REF!</v>
      </c>
      <c r="AJ237" s="532" t="e">
        <f>IF(NFI_Expiration=1,IF(#REF!&lt;VLOOKUP(S$5,NFI,5,0),1,0)*Table_NFI[[#This Row],[Plastic Bucket]],Table_NFI[Plastic Bucket])</f>
        <v>#REF!</v>
      </c>
      <c r="AK237" s="532" t="e">
        <f>IF(NFI_Expiration=1,IF(#REF!&lt;VLOOKUP(T$5,NFI,5,0),1,0)*Table_NFI[[#This Row],[Plastic Mat]],Table_NFI[Plastic Mat])*IF(Table_NFI[[#This Row],[Distribution Date]]&gt;"2014-04-01",1,2.5)</f>
        <v>#REF!</v>
      </c>
      <c r="AL237" s="532" t="e">
        <f>IF(NFI_Expiration=1,IF(#REF!&lt;VLOOKUP(U$5,NFI,5,0),1,0)*Table_NFI[[#This Row],[Winter Clothes Adult]],Table_NFI[Winter Clothes Adult])</f>
        <v>#REF!</v>
      </c>
      <c r="AM237" s="532"/>
      <c r="AN237" s="532"/>
      <c r="AO237" s="532"/>
      <c r="AP237" s="532">
        <f>IF(Table_NFI[[#This Row],[Winter Clothes Adult]]+Table_NFI[[#This Row],[Winter Clothes Children]]+Table_NFI[[#This Row],[Winter Items Other]]+Table_NFI[[#This Row],[Winter Blanket]]&gt;0,1,0)</f>
        <v>0</v>
      </c>
      <c r="AQ237" s="532"/>
      <c r="AR237" s="532"/>
      <c r="AS237" s="532"/>
      <c r="AT237" s="532"/>
      <c r="AU237" s="532"/>
      <c r="AV237" s="532"/>
      <c r="AW237" s="532"/>
      <c r="AX237" s="203" t="str">
        <f>IFERROR(VLOOKUP(Table_NFI[[#This Row],[Location]],CL,2,0),"")</f>
        <v>MMR001CMP259</v>
      </c>
      <c r="AZ237" s="524"/>
      <c r="DS237" s="181"/>
      <c r="DT237" s="181"/>
    </row>
    <row r="238" spans="2:124" hidden="1" x14ac:dyDescent="0.25">
      <c r="B238" s="530">
        <v>43227</v>
      </c>
      <c r="C238" s="530" t="str">
        <f>MONTH(Table_NFI[[#This Row],[Distribution Date]]) &amp; "/" &amp; YEAR(Table_NFI[[#This Row],[Distribution Date]])</f>
        <v>5/2018</v>
      </c>
      <c r="D238" s="628" t="s">
        <v>778</v>
      </c>
      <c r="E238" s="628" t="s">
        <v>778</v>
      </c>
      <c r="F238" s="628" t="s">
        <v>378</v>
      </c>
      <c r="G238" s="195" t="s">
        <v>173</v>
      </c>
      <c r="H238" s="217" t="s">
        <v>1687</v>
      </c>
      <c r="I238" s="628"/>
      <c r="J238" s="628"/>
      <c r="K238" s="531"/>
      <c r="L238" s="628"/>
      <c r="M238" s="628"/>
      <c r="N238" s="628"/>
      <c r="O238" s="628"/>
      <c r="P238" s="628"/>
      <c r="Q238" s="628"/>
      <c r="R238" s="531"/>
      <c r="S238" s="628"/>
      <c r="T238" s="628"/>
      <c r="U238" s="531"/>
      <c r="V238" s="531"/>
      <c r="W238" s="531"/>
      <c r="X238" s="531"/>
      <c r="Y238" s="628"/>
      <c r="Z238" s="531">
        <v>120</v>
      </c>
      <c r="AA238" s="531"/>
      <c r="AB238" s="531"/>
      <c r="AC238" s="532" t="e">
        <f>IF(NFI_Expiration=1,IF(#REF!&lt;VLOOKUP(L$5,NFI,5,0),1,0)*Table_NFI[[#This Row],[NFI Core Kit]],Table_NFI[NFI Core Kit])</f>
        <v>#REF!</v>
      </c>
      <c r="AD238" s="532" t="e">
        <f>IF(NFI_Expiration=1,IF(#REF!&lt;VLOOKUP(M$5,NFI,5,0),1,0)*Table_NFI[[#This Row],[Sanitary Kit]],Table_NFI[Sanitary Kit])</f>
        <v>#REF!</v>
      </c>
      <c r="AE238" s="532" t="e">
        <f>IF(NFI_Expiration=1,IF(#REF!&lt;VLOOKUP(N$5,NFI,5,0),1,0)*Table_NFI[[#This Row],[Mosquito net]],Table_NFI[Mosquito net])</f>
        <v>#REF!</v>
      </c>
      <c r="AF238" s="532" t="e">
        <f>IF(NFI_Expiration=1,IF(#REF!&lt;VLOOKUP(O$5,NFI,5,0),1,0)*Table_NFI[[#This Row],[Tarpaulin]],Table_NFI[[#This Row],[Tarpaulin]])</f>
        <v>#REF!</v>
      </c>
      <c r="AG238" s="532" t="e">
        <f>IF(NFI_Expiration=1,IF(#REF!&lt;VLOOKUP(P$5,NFI,5,0),1,0)*Table_NFI[[#This Row],[Blanket]],Table_NFI[[#This Row],[Blanket]])</f>
        <v>#REF!</v>
      </c>
      <c r="AH238" s="532" t="e">
        <f>IF(NFI_Expiration=1,IF(#REF!&lt;VLOOKUP(Q$5,NFI,5,0),1,0)*Table_NFI[[#This Row],[Kitchen Set]],Table_NFI[Kitchen Set])</f>
        <v>#REF!</v>
      </c>
      <c r="AI238" s="532" t="e">
        <f>IF(NFI_Expiration=1,IF(#REF!&lt;VLOOKUP(R$5,NFI,5,0),1,0)*Table_NFI[[#This Row],[Clothes Kit]],Table_NFI[Clothes Kit])</f>
        <v>#REF!</v>
      </c>
      <c r="AJ238" s="532" t="e">
        <f>IF(NFI_Expiration=1,IF(#REF!&lt;VLOOKUP(S$5,NFI,5,0),1,0)*Table_NFI[[#This Row],[Plastic Bucket]],Table_NFI[Plastic Bucket])</f>
        <v>#REF!</v>
      </c>
      <c r="AK238" s="532" t="e">
        <f>IF(NFI_Expiration=1,IF(#REF!&lt;VLOOKUP(T$5,NFI,5,0),1,0)*Table_NFI[[#This Row],[Plastic Mat]],Table_NFI[Plastic Mat])*IF(Table_NFI[[#This Row],[Distribution Date]]&gt;"2014-04-01",1,2.5)</f>
        <v>#REF!</v>
      </c>
      <c r="AL238" s="532" t="e">
        <f>IF(NFI_Expiration=1,IF(#REF!&lt;VLOOKUP(U$5,NFI,5,0),1,0)*Table_NFI[[#This Row],[Winter Clothes Adult]],Table_NFI[Winter Clothes Adult])</f>
        <v>#REF!</v>
      </c>
      <c r="AM238" s="532"/>
      <c r="AN238" s="532"/>
      <c r="AO238" s="532"/>
      <c r="AP238" s="532">
        <f>IF(Table_NFI[[#This Row],[Winter Clothes Adult]]+Table_NFI[[#This Row],[Winter Clothes Children]]+Table_NFI[[#This Row],[Winter Items Other]]+Table_NFI[[#This Row],[Winter Blanket]]&gt;0,1,0)</f>
        <v>0</v>
      </c>
      <c r="AQ238" s="532"/>
      <c r="AR238" s="532"/>
      <c r="AS238" s="532"/>
      <c r="AT238" s="532"/>
      <c r="AU238" s="532"/>
      <c r="AV238" s="532"/>
      <c r="AW238" s="532"/>
      <c r="AX238" s="203" t="str">
        <f>IFERROR(VLOOKUP(Table_NFI[[#This Row],[Location]],CL,2,0),"")</f>
        <v>MMR001CMP261</v>
      </c>
      <c r="AZ238" s="524"/>
      <c r="DS238" s="181"/>
      <c r="DT238" s="181"/>
    </row>
    <row r="239" spans="2:124" hidden="1" x14ac:dyDescent="0.25">
      <c r="B239" s="530">
        <v>43227</v>
      </c>
      <c r="C239" s="530" t="str">
        <f>MONTH(Table_NFI[[#This Row],[Distribution Date]]) &amp; "/" &amp; YEAR(Table_NFI[[#This Row],[Distribution Date]])</f>
        <v>5/2018</v>
      </c>
      <c r="D239" s="628" t="s">
        <v>778</v>
      </c>
      <c r="E239" s="628" t="s">
        <v>778</v>
      </c>
      <c r="F239" s="628" t="s">
        <v>378</v>
      </c>
      <c r="G239" s="195" t="s">
        <v>173</v>
      </c>
      <c r="H239" s="217" t="s">
        <v>1627</v>
      </c>
      <c r="I239" s="628"/>
      <c r="J239" s="628"/>
      <c r="K239" s="531"/>
      <c r="L239" s="628"/>
      <c r="M239" s="628"/>
      <c r="N239" s="628"/>
      <c r="O239" s="628"/>
      <c r="P239" s="628"/>
      <c r="Q239" s="628"/>
      <c r="R239" s="531"/>
      <c r="S239" s="628"/>
      <c r="T239" s="628"/>
      <c r="U239" s="531"/>
      <c r="V239" s="531"/>
      <c r="W239" s="531"/>
      <c r="X239" s="531"/>
      <c r="Y239" s="628"/>
      <c r="Z239" s="531">
        <v>89</v>
      </c>
      <c r="AA239" s="531"/>
      <c r="AB239" s="531"/>
      <c r="AC239" s="532" t="e">
        <f>IF(NFI_Expiration=1,IF(#REF!&lt;VLOOKUP(L$5,NFI,5,0),1,0)*Table_NFI[[#This Row],[NFI Core Kit]],Table_NFI[NFI Core Kit])</f>
        <v>#REF!</v>
      </c>
      <c r="AD239" s="532" t="e">
        <f>IF(NFI_Expiration=1,IF(#REF!&lt;VLOOKUP(M$5,NFI,5,0),1,0)*Table_NFI[[#This Row],[Sanitary Kit]],Table_NFI[Sanitary Kit])</f>
        <v>#REF!</v>
      </c>
      <c r="AE239" s="532" t="e">
        <f>IF(NFI_Expiration=1,IF(#REF!&lt;VLOOKUP(N$5,NFI,5,0),1,0)*Table_NFI[[#This Row],[Mosquito net]],Table_NFI[Mosquito net])</f>
        <v>#REF!</v>
      </c>
      <c r="AF239" s="532" t="e">
        <f>IF(NFI_Expiration=1,IF(#REF!&lt;VLOOKUP(O$5,NFI,5,0),1,0)*Table_NFI[[#This Row],[Tarpaulin]],Table_NFI[[#This Row],[Tarpaulin]])</f>
        <v>#REF!</v>
      </c>
      <c r="AG239" s="532" t="e">
        <f>IF(NFI_Expiration=1,IF(#REF!&lt;VLOOKUP(P$5,NFI,5,0),1,0)*Table_NFI[[#This Row],[Blanket]],Table_NFI[[#This Row],[Blanket]])</f>
        <v>#REF!</v>
      </c>
      <c r="AH239" s="532" t="e">
        <f>IF(NFI_Expiration=1,IF(#REF!&lt;VLOOKUP(Q$5,NFI,5,0),1,0)*Table_NFI[[#This Row],[Kitchen Set]],Table_NFI[Kitchen Set])</f>
        <v>#REF!</v>
      </c>
      <c r="AI239" s="532" t="e">
        <f>IF(NFI_Expiration=1,IF(#REF!&lt;VLOOKUP(R$5,NFI,5,0),1,0)*Table_NFI[[#This Row],[Clothes Kit]],Table_NFI[Clothes Kit])</f>
        <v>#REF!</v>
      </c>
      <c r="AJ239" s="532" t="e">
        <f>IF(NFI_Expiration=1,IF(#REF!&lt;VLOOKUP(S$5,NFI,5,0),1,0)*Table_NFI[[#This Row],[Plastic Bucket]],Table_NFI[Plastic Bucket])</f>
        <v>#REF!</v>
      </c>
      <c r="AK239" s="532" t="e">
        <f>IF(NFI_Expiration=1,IF(#REF!&lt;VLOOKUP(T$5,NFI,5,0),1,0)*Table_NFI[[#This Row],[Plastic Mat]],Table_NFI[Plastic Mat])*IF(Table_NFI[[#This Row],[Distribution Date]]&gt;"2014-04-01",1,2.5)</f>
        <v>#REF!</v>
      </c>
      <c r="AL239" s="532" t="e">
        <f>IF(NFI_Expiration=1,IF(#REF!&lt;VLOOKUP(U$5,NFI,5,0),1,0)*Table_NFI[[#This Row],[Winter Clothes Adult]],Table_NFI[Winter Clothes Adult])</f>
        <v>#REF!</v>
      </c>
      <c r="AM239" s="532"/>
      <c r="AN239" s="532"/>
      <c r="AO239" s="532"/>
      <c r="AP239" s="532">
        <f>IF(Table_NFI[[#This Row],[Winter Clothes Adult]]+Table_NFI[[#This Row],[Winter Clothes Children]]+Table_NFI[[#This Row],[Winter Items Other]]+Table_NFI[[#This Row],[Winter Blanket]]&gt;0,1,0)</f>
        <v>0</v>
      </c>
      <c r="AQ239" s="532"/>
      <c r="AR239" s="532"/>
      <c r="AS239" s="532"/>
      <c r="AT239" s="532"/>
      <c r="AU239" s="532"/>
      <c r="AV239" s="532"/>
      <c r="AW239" s="532"/>
      <c r="AX239" s="203" t="str">
        <f>IFERROR(VLOOKUP(Table_NFI[[#This Row],[Location]],CL,2,0),"")</f>
        <v>MMR001CMP260</v>
      </c>
      <c r="AZ239" s="524"/>
      <c r="DS239" s="181"/>
      <c r="DT239" s="181"/>
    </row>
    <row r="240" spans="2:124" hidden="1" x14ac:dyDescent="0.25">
      <c r="B240" s="530">
        <v>43227</v>
      </c>
      <c r="C240" s="530" t="str">
        <f>MONTH(Table_NFI[[#This Row],[Distribution Date]]) &amp; "/" &amp; YEAR(Table_NFI[[#This Row],[Distribution Date]])</f>
        <v>5/2018</v>
      </c>
      <c r="D240" s="628" t="s">
        <v>778</v>
      </c>
      <c r="E240" s="628" t="s">
        <v>778</v>
      </c>
      <c r="F240" s="628" t="s">
        <v>378</v>
      </c>
      <c r="G240" s="195" t="s">
        <v>173</v>
      </c>
      <c r="H240" s="217" t="s">
        <v>1629</v>
      </c>
      <c r="I240" s="628"/>
      <c r="J240" s="628"/>
      <c r="K240" s="531"/>
      <c r="L240" s="628"/>
      <c r="M240" s="628"/>
      <c r="N240" s="628"/>
      <c r="O240" s="628"/>
      <c r="P240" s="628"/>
      <c r="Q240" s="628"/>
      <c r="R240" s="531"/>
      <c r="S240" s="628"/>
      <c r="T240" s="628"/>
      <c r="U240" s="531"/>
      <c r="V240" s="531"/>
      <c r="W240" s="531"/>
      <c r="X240" s="531"/>
      <c r="Y240" s="628"/>
      <c r="Z240" s="531">
        <v>26</v>
      </c>
      <c r="AA240" s="531"/>
      <c r="AB240" s="531"/>
      <c r="AC240" s="532" t="e">
        <f>IF(NFI_Expiration=1,IF(#REF!&lt;VLOOKUP(L$5,NFI,5,0),1,0)*Table_NFI[[#This Row],[NFI Core Kit]],Table_NFI[NFI Core Kit])</f>
        <v>#REF!</v>
      </c>
      <c r="AD240" s="532" t="e">
        <f>IF(NFI_Expiration=1,IF(#REF!&lt;VLOOKUP(M$5,NFI,5,0),1,0)*Table_NFI[[#This Row],[Sanitary Kit]],Table_NFI[Sanitary Kit])</f>
        <v>#REF!</v>
      </c>
      <c r="AE240" s="532" t="e">
        <f>IF(NFI_Expiration=1,IF(#REF!&lt;VLOOKUP(N$5,NFI,5,0),1,0)*Table_NFI[[#This Row],[Mosquito net]],Table_NFI[Mosquito net])</f>
        <v>#REF!</v>
      </c>
      <c r="AF240" s="532" t="e">
        <f>IF(NFI_Expiration=1,IF(#REF!&lt;VLOOKUP(O$5,NFI,5,0),1,0)*Table_NFI[[#This Row],[Tarpaulin]],Table_NFI[[#This Row],[Tarpaulin]])</f>
        <v>#REF!</v>
      </c>
      <c r="AG240" s="532" t="e">
        <f>IF(NFI_Expiration=1,IF(#REF!&lt;VLOOKUP(P$5,NFI,5,0),1,0)*Table_NFI[[#This Row],[Blanket]],Table_NFI[[#This Row],[Blanket]])</f>
        <v>#REF!</v>
      </c>
      <c r="AH240" s="532" t="e">
        <f>IF(NFI_Expiration=1,IF(#REF!&lt;VLOOKUP(Q$5,NFI,5,0),1,0)*Table_NFI[[#This Row],[Kitchen Set]],Table_NFI[Kitchen Set])</f>
        <v>#REF!</v>
      </c>
      <c r="AI240" s="532" t="e">
        <f>IF(NFI_Expiration=1,IF(#REF!&lt;VLOOKUP(R$5,NFI,5,0),1,0)*Table_NFI[[#This Row],[Clothes Kit]],Table_NFI[Clothes Kit])</f>
        <v>#REF!</v>
      </c>
      <c r="AJ240" s="532" t="e">
        <f>IF(NFI_Expiration=1,IF(#REF!&lt;VLOOKUP(S$5,NFI,5,0),1,0)*Table_NFI[[#This Row],[Plastic Bucket]],Table_NFI[Plastic Bucket])</f>
        <v>#REF!</v>
      </c>
      <c r="AK240" s="532" t="e">
        <f>IF(NFI_Expiration=1,IF(#REF!&lt;VLOOKUP(T$5,NFI,5,0),1,0)*Table_NFI[[#This Row],[Plastic Mat]],Table_NFI[Plastic Mat])*IF(Table_NFI[[#This Row],[Distribution Date]]&gt;"2014-04-01",1,2.5)</f>
        <v>#REF!</v>
      </c>
      <c r="AL240" s="532" t="e">
        <f>IF(NFI_Expiration=1,IF(#REF!&lt;VLOOKUP(U$5,NFI,5,0),1,0)*Table_NFI[[#This Row],[Winter Clothes Adult]],Table_NFI[Winter Clothes Adult])</f>
        <v>#REF!</v>
      </c>
      <c r="AM240" s="532"/>
      <c r="AN240" s="532"/>
      <c r="AO240" s="532"/>
      <c r="AP240" s="532">
        <f>IF(Table_NFI[[#This Row],[Winter Clothes Adult]]+Table_NFI[[#This Row],[Winter Clothes Children]]+Table_NFI[[#This Row],[Winter Items Other]]+Table_NFI[[#This Row],[Winter Blanket]]&gt;0,1,0)</f>
        <v>0</v>
      </c>
      <c r="AQ240" s="532"/>
      <c r="AR240" s="532"/>
      <c r="AS240" s="532"/>
      <c r="AT240" s="532"/>
      <c r="AU240" s="532"/>
      <c r="AV240" s="532"/>
      <c r="AW240" s="532"/>
      <c r="AX240" s="203" t="str">
        <f>IFERROR(VLOOKUP(Table_NFI[[#This Row],[Location]],CL,2,0),"")</f>
        <v>MMR001CMP262</v>
      </c>
      <c r="AZ240" s="524"/>
      <c r="DS240" s="181"/>
      <c r="DT240" s="181"/>
    </row>
    <row r="241" spans="2:124" hidden="1" x14ac:dyDescent="0.25">
      <c r="B241" s="530">
        <v>43243</v>
      </c>
      <c r="C241" s="530" t="str">
        <f>MONTH(Table_NFI[[#This Row],[Distribution Date]]) &amp; "/" &amp; YEAR(Table_NFI[[#This Row],[Distribution Date]])</f>
        <v>5/2018</v>
      </c>
      <c r="D241" s="628" t="s">
        <v>778</v>
      </c>
      <c r="E241" s="628" t="s">
        <v>778</v>
      </c>
      <c r="F241" s="628" t="s">
        <v>378</v>
      </c>
      <c r="G241" s="195" t="s">
        <v>237</v>
      </c>
      <c r="H241" s="217" t="s">
        <v>1634</v>
      </c>
      <c r="I241" s="628"/>
      <c r="J241" s="628"/>
      <c r="K241" s="531"/>
      <c r="L241" s="628"/>
      <c r="M241" s="628"/>
      <c r="N241" s="628"/>
      <c r="O241" s="628"/>
      <c r="P241" s="628"/>
      <c r="Q241" s="628"/>
      <c r="R241" s="531"/>
      <c r="S241" s="628"/>
      <c r="T241" s="628"/>
      <c r="U241" s="531"/>
      <c r="V241" s="531"/>
      <c r="W241" s="531"/>
      <c r="X241" s="531"/>
      <c r="Y241" s="628"/>
      <c r="Z241" s="531">
        <v>386</v>
      </c>
      <c r="AA241" s="531"/>
      <c r="AB241" s="531"/>
      <c r="AC241" s="532" t="e">
        <f>IF(NFI_Expiration=1,IF(#REF!&lt;VLOOKUP(L$5,NFI,5,0),1,0)*Table_NFI[[#This Row],[NFI Core Kit]],Table_NFI[NFI Core Kit])</f>
        <v>#REF!</v>
      </c>
      <c r="AD241" s="532" t="e">
        <f>IF(NFI_Expiration=1,IF(#REF!&lt;VLOOKUP(M$5,NFI,5,0),1,0)*Table_NFI[[#This Row],[Sanitary Kit]],Table_NFI[Sanitary Kit])</f>
        <v>#REF!</v>
      </c>
      <c r="AE241" s="532" t="e">
        <f>IF(NFI_Expiration=1,IF(#REF!&lt;VLOOKUP(N$5,NFI,5,0),1,0)*Table_NFI[[#This Row],[Mosquito net]],Table_NFI[Mosquito net])</f>
        <v>#REF!</v>
      </c>
      <c r="AF241" s="532" t="e">
        <f>IF(NFI_Expiration=1,IF(#REF!&lt;VLOOKUP(O$5,NFI,5,0),1,0)*Table_NFI[[#This Row],[Tarpaulin]],Table_NFI[[#This Row],[Tarpaulin]])</f>
        <v>#REF!</v>
      </c>
      <c r="AG241" s="532" t="e">
        <f>IF(NFI_Expiration=1,IF(#REF!&lt;VLOOKUP(P$5,NFI,5,0),1,0)*Table_NFI[[#This Row],[Blanket]],Table_NFI[[#This Row],[Blanket]])</f>
        <v>#REF!</v>
      </c>
      <c r="AH241" s="532" t="e">
        <f>IF(NFI_Expiration=1,IF(#REF!&lt;VLOOKUP(Q$5,NFI,5,0),1,0)*Table_NFI[[#This Row],[Kitchen Set]],Table_NFI[Kitchen Set])</f>
        <v>#REF!</v>
      </c>
      <c r="AI241" s="532" t="e">
        <f>IF(NFI_Expiration=1,IF(#REF!&lt;VLOOKUP(R$5,NFI,5,0),1,0)*Table_NFI[[#This Row],[Clothes Kit]],Table_NFI[Clothes Kit])</f>
        <v>#REF!</v>
      </c>
      <c r="AJ241" s="532" t="e">
        <f>IF(NFI_Expiration=1,IF(#REF!&lt;VLOOKUP(S$5,NFI,5,0),1,0)*Table_NFI[[#This Row],[Plastic Bucket]],Table_NFI[Plastic Bucket])</f>
        <v>#REF!</v>
      </c>
      <c r="AK241" s="532" t="e">
        <f>IF(NFI_Expiration=1,IF(#REF!&lt;VLOOKUP(T$5,NFI,5,0),1,0)*Table_NFI[[#This Row],[Plastic Mat]],Table_NFI[Plastic Mat])*IF(Table_NFI[[#This Row],[Distribution Date]]&gt;"2014-04-01",1,2.5)</f>
        <v>#REF!</v>
      </c>
      <c r="AL241" s="532" t="e">
        <f>IF(NFI_Expiration=1,IF(#REF!&lt;VLOOKUP(U$5,NFI,5,0),1,0)*Table_NFI[[#This Row],[Winter Clothes Adult]],Table_NFI[Winter Clothes Adult])</f>
        <v>#REF!</v>
      </c>
      <c r="AM241" s="532"/>
      <c r="AN241" s="532"/>
      <c r="AO241" s="532"/>
      <c r="AP241" s="532">
        <f>IF(Table_NFI[[#This Row],[Winter Clothes Adult]]+Table_NFI[[#This Row],[Winter Clothes Children]]+Table_NFI[[#This Row],[Winter Items Other]]+Table_NFI[[#This Row],[Winter Blanket]]&gt;0,1,0)</f>
        <v>0</v>
      </c>
      <c r="AQ241" s="532"/>
      <c r="AR241" s="532"/>
      <c r="AS241" s="532"/>
      <c r="AT241" s="532"/>
      <c r="AU241" s="532"/>
      <c r="AV241" s="532"/>
      <c r="AW241" s="532"/>
      <c r="AX241" s="203" t="str">
        <f>IFERROR(VLOOKUP(Table_NFI[[#This Row],[Location]],CL,2,0),"")</f>
        <v>MMR001CMP264</v>
      </c>
      <c r="AZ241" s="524"/>
      <c r="DS241" s="181"/>
      <c r="DT241" s="181"/>
    </row>
    <row r="242" spans="2:124" hidden="1" x14ac:dyDescent="0.25">
      <c r="B242" s="530">
        <v>43238</v>
      </c>
      <c r="C242" s="530" t="str">
        <f>MONTH(Table_NFI[[#This Row],[Distribution Date]]) &amp; "/" &amp; YEAR(Table_NFI[[#This Row],[Distribution Date]])</f>
        <v>5/2018</v>
      </c>
      <c r="D242" s="628" t="s">
        <v>778</v>
      </c>
      <c r="E242" s="628" t="s">
        <v>778</v>
      </c>
      <c r="F242" s="628" t="s">
        <v>378</v>
      </c>
      <c r="G242" s="195" t="s">
        <v>237</v>
      </c>
      <c r="H242" s="217" t="s">
        <v>1506</v>
      </c>
      <c r="I242" s="628"/>
      <c r="J242" s="628"/>
      <c r="K242" s="531"/>
      <c r="L242" s="628"/>
      <c r="M242" s="628"/>
      <c r="N242" s="628"/>
      <c r="O242" s="628"/>
      <c r="P242" s="628"/>
      <c r="Q242" s="628"/>
      <c r="R242" s="531"/>
      <c r="S242" s="628"/>
      <c r="T242" s="628"/>
      <c r="U242" s="531"/>
      <c r="V242" s="531"/>
      <c r="W242" s="531"/>
      <c r="X242" s="531"/>
      <c r="Y242" s="628"/>
      <c r="Z242" s="531">
        <v>12</v>
      </c>
      <c r="AA242" s="531"/>
      <c r="AB242" s="531"/>
      <c r="AC242" s="532" t="e">
        <f>IF(NFI_Expiration=1,IF(#REF!&lt;VLOOKUP(L$5,NFI,5,0),1,0)*Table_NFI[[#This Row],[NFI Core Kit]],Table_NFI[NFI Core Kit])</f>
        <v>#REF!</v>
      </c>
      <c r="AD242" s="532" t="e">
        <f>IF(NFI_Expiration=1,IF(#REF!&lt;VLOOKUP(M$5,NFI,5,0),1,0)*Table_NFI[[#This Row],[Sanitary Kit]],Table_NFI[Sanitary Kit])</f>
        <v>#REF!</v>
      </c>
      <c r="AE242" s="532" t="e">
        <f>IF(NFI_Expiration=1,IF(#REF!&lt;VLOOKUP(N$5,NFI,5,0),1,0)*Table_NFI[[#This Row],[Mosquito net]],Table_NFI[Mosquito net])</f>
        <v>#REF!</v>
      </c>
      <c r="AF242" s="532" t="e">
        <f>IF(NFI_Expiration=1,IF(#REF!&lt;VLOOKUP(O$5,NFI,5,0),1,0)*Table_NFI[[#This Row],[Tarpaulin]],Table_NFI[[#This Row],[Tarpaulin]])</f>
        <v>#REF!</v>
      </c>
      <c r="AG242" s="532" t="e">
        <f>IF(NFI_Expiration=1,IF(#REF!&lt;VLOOKUP(P$5,NFI,5,0),1,0)*Table_NFI[[#This Row],[Blanket]],Table_NFI[[#This Row],[Blanket]])</f>
        <v>#REF!</v>
      </c>
      <c r="AH242" s="532" t="e">
        <f>IF(NFI_Expiration=1,IF(#REF!&lt;VLOOKUP(Q$5,NFI,5,0),1,0)*Table_NFI[[#This Row],[Kitchen Set]],Table_NFI[Kitchen Set])</f>
        <v>#REF!</v>
      </c>
      <c r="AI242" s="532" t="e">
        <f>IF(NFI_Expiration=1,IF(#REF!&lt;VLOOKUP(R$5,NFI,5,0),1,0)*Table_NFI[[#This Row],[Clothes Kit]],Table_NFI[Clothes Kit])</f>
        <v>#REF!</v>
      </c>
      <c r="AJ242" s="532" t="e">
        <f>IF(NFI_Expiration=1,IF(#REF!&lt;VLOOKUP(S$5,NFI,5,0),1,0)*Table_NFI[[#This Row],[Plastic Bucket]],Table_NFI[Plastic Bucket])</f>
        <v>#REF!</v>
      </c>
      <c r="AK242" s="532" t="e">
        <f>IF(NFI_Expiration=1,IF(#REF!&lt;VLOOKUP(T$5,NFI,5,0),1,0)*Table_NFI[[#This Row],[Plastic Mat]],Table_NFI[Plastic Mat])*IF(Table_NFI[[#This Row],[Distribution Date]]&gt;"2014-04-01",1,2.5)</f>
        <v>#REF!</v>
      </c>
      <c r="AL242" s="532" t="e">
        <f>IF(NFI_Expiration=1,IF(#REF!&lt;VLOOKUP(U$5,NFI,5,0),1,0)*Table_NFI[[#This Row],[Winter Clothes Adult]],Table_NFI[Winter Clothes Adult])</f>
        <v>#REF!</v>
      </c>
      <c r="AM242" s="532"/>
      <c r="AN242" s="532"/>
      <c r="AO242" s="532"/>
      <c r="AP242" s="532">
        <f>IF(Table_NFI[[#This Row],[Winter Clothes Adult]]+Table_NFI[[#This Row],[Winter Clothes Children]]+Table_NFI[[#This Row],[Winter Items Other]]+Table_NFI[[#This Row],[Winter Blanket]]&gt;0,1,0)</f>
        <v>0</v>
      </c>
      <c r="AQ242" s="532"/>
      <c r="AR242" s="532"/>
      <c r="AS242" s="532"/>
      <c r="AT242" s="532"/>
      <c r="AU242" s="532"/>
      <c r="AV242" s="532"/>
      <c r="AW242" s="532"/>
      <c r="AX242" s="203" t="str">
        <f>IFERROR(VLOOKUP(Table_NFI[[#This Row],[Location]],CL,2,0),"")</f>
        <v>MMR001CMP256</v>
      </c>
      <c r="AZ242" s="524"/>
      <c r="DS242" s="181"/>
      <c r="DT242" s="181"/>
    </row>
    <row r="243" spans="2:124" hidden="1" x14ac:dyDescent="0.25">
      <c r="B243" s="530">
        <v>43228</v>
      </c>
      <c r="C243" s="530" t="str">
        <f>MONTH(Table_NFI[[#This Row],[Distribution Date]]) &amp; "/" &amp; YEAR(Table_NFI[[#This Row],[Distribution Date]])</f>
        <v>5/2018</v>
      </c>
      <c r="D243" s="628" t="s">
        <v>1608</v>
      </c>
      <c r="E243" s="628" t="s">
        <v>424</v>
      </c>
      <c r="F243" s="628" t="s">
        <v>378</v>
      </c>
      <c r="G243" s="195" t="s">
        <v>237</v>
      </c>
      <c r="H243" s="217" t="s">
        <v>1660</v>
      </c>
      <c r="I243" s="628"/>
      <c r="J243" s="628"/>
      <c r="K243" s="531"/>
      <c r="L243" s="628">
        <v>25</v>
      </c>
      <c r="M243" s="628"/>
      <c r="N243" s="628">
        <v>50</v>
      </c>
      <c r="O243" s="628">
        <f>25*2</f>
        <v>50</v>
      </c>
      <c r="P243" s="628">
        <f>25*2</f>
        <v>50</v>
      </c>
      <c r="Q243" s="628">
        <v>25</v>
      </c>
      <c r="R243" s="531"/>
      <c r="S243" s="628">
        <v>25</v>
      </c>
      <c r="T243" s="628"/>
      <c r="U243" s="531"/>
      <c r="V243" s="531"/>
      <c r="W243" s="531"/>
      <c r="X243" s="531"/>
      <c r="Y243" s="628"/>
      <c r="Z243" s="531"/>
      <c r="AA243" s="531"/>
      <c r="AB243" s="531"/>
      <c r="AC243" s="532" t="e">
        <f>IF(NFI_Expiration=1,IF(#REF!&lt;VLOOKUP(L$5,NFI,5,0),1,0)*Table_NFI[[#This Row],[NFI Core Kit]],Table_NFI[NFI Core Kit])</f>
        <v>#REF!</v>
      </c>
      <c r="AD243" s="532" t="e">
        <f>IF(NFI_Expiration=1,IF(#REF!&lt;VLOOKUP(M$5,NFI,5,0),1,0)*Table_NFI[[#This Row],[Sanitary Kit]],Table_NFI[Sanitary Kit])</f>
        <v>#REF!</v>
      </c>
      <c r="AE243" s="532" t="e">
        <f>IF(NFI_Expiration=1,IF(#REF!&lt;VLOOKUP(N$5,NFI,5,0),1,0)*Table_NFI[[#This Row],[Mosquito net]],Table_NFI[Mosquito net])</f>
        <v>#REF!</v>
      </c>
      <c r="AF243" s="532" t="e">
        <f>IF(NFI_Expiration=1,IF(#REF!&lt;VLOOKUP(O$5,NFI,5,0),1,0)*Table_NFI[[#This Row],[Tarpaulin]],Table_NFI[[#This Row],[Tarpaulin]])</f>
        <v>#REF!</v>
      </c>
      <c r="AG243" s="532" t="e">
        <f>IF(NFI_Expiration=1,IF(#REF!&lt;VLOOKUP(P$5,NFI,5,0),1,0)*Table_NFI[[#This Row],[Blanket]],Table_NFI[[#This Row],[Blanket]])</f>
        <v>#REF!</v>
      </c>
      <c r="AH243" s="532" t="e">
        <f>IF(NFI_Expiration=1,IF(#REF!&lt;VLOOKUP(Q$5,NFI,5,0),1,0)*Table_NFI[[#This Row],[Kitchen Set]],Table_NFI[Kitchen Set])</f>
        <v>#REF!</v>
      </c>
      <c r="AI243" s="532" t="e">
        <f>IF(NFI_Expiration=1,IF(#REF!&lt;VLOOKUP(R$5,NFI,5,0),1,0)*Table_NFI[[#This Row],[Clothes Kit]],Table_NFI[Clothes Kit])</f>
        <v>#REF!</v>
      </c>
      <c r="AJ243" s="532" t="e">
        <f>IF(NFI_Expiration=1,IF(#REF!&lt;VLOOKUP(S$5,NFI,5,0),1,0)*Table_NFI[[#This Row],[Plastic Bucket]],Table_NFI[Plastic Bucket])</f>
        <v>#REF!</v>
      </c>
      <c r="AK243" s="532" t="e">
        <f>IF(NFI_Expiration=1,IF(#REF!&lt;VLOOKUP(T$5,NFI,5,0),1,0)*Table_NFI[[#This Row],[Plastic Mat]],Table_NFI[Plastic Mat])*IF(Table_NFI[[#This Row],[Distribution Date]]&gt;"2014-04-01",1,2.5)</f>
        <v>#REF!</v>
      </c>
      <c r="AL243" s="532" t="e">
        <f>IF(NFI_Expiration=1,IF(#REF!&lt;VLOOKUP(U$5,NFI,5,0),1,0)*Table_NFI[[#This Row],[Winter Clothes Adult]],Table_NFI[Winter Clothes Adult])</f>
        <v>#REF!</v>
      </c>
      <c r="AM243" s="532"/>
      <c r="AN243" s="532"/>
      <c r="AO243" s="532"/>
      <c r="AP243" s="532">
        <f>IF(Table_NFI[[#This Row],[Winter Clothes Adult]]+Table_NFI[[#This Row],[Winter Clothes Children]]+Table_NFI[[#This Row],[Winter Items Other]]+Table_NFI[[#This Row],[Winter Blanket]]&gt;0,1,0)</f>
        <v>0</v>
      </c>
      <c r="AQ243" s="532"/>
      <c r="AR243" s="532"/>
      <c r="AS243" s="532"/>
      <c r="AT243" s="532"/>
      <c r="AU243" s="532"/>
      <c r="AV243" s="532"/>
      <c r="AW243" s="532"/>
      <c r="AX243" s="203" t="str">
        <f>IFERROR(VLOOKUP(Table_NFI[[#This Row],[Location]],CL,2,0),"")</f>
        <v>MMR001CMP267</v>
      </c>
      <c r="AZ243" s="524"/>
      <c r="DS243" s="181"/>
      <c r="DT243" s="181"/>
    </row>
    <row r="244" spans="2:124" hidden="1" x14ac:dyDescent="0.25">
      <c r="B244" s="530">
        <v>43228</v>
      </c>
      <c r="C244" s="530" t="str">
        <f>MONTH(Table_NFI[[#This Row],[Distribution Date]]) &amp; "/" &amp; YEAR(Table_NFI[[#This Row],[Distribution Date]])</f>
        <v>5/2018</v>
      </c>
      <c r="D244" s="628" t="s">
        <v>1608</v>
      </c>
      <c r="E244" s="628" t="s">
        <v>424</v>
      </c>
      <c r="F244" s="628" t="s">
        <v>378</v>
      </c>
      <c r="G244" s="195" t="s">
        <v>480</v>
      </c>
      <c r="H244" s="217" t="s">
        <v>1666</v>
      </c>
      <c r="I244" s="628"/>
      <c r="J244" s="628"/>
      <c r="K244" s="531"/>
      <c r="L244" s="628">
        <v>31</v>
      </c>
      <c r="M244" s="628"/>
      <c r="N244" s="628">
        <v>62</v>
      </c>
      <c r="O244" s="628">
        <f>31*2</f>
        <v>62</v>
      </c>
      <c r="P244" s="628">
        <f>31*2</f>
        <v>62</v>
      </c>
      <c r="Q244" s="628">
        <v>31</v>
      </c>
      <c r="R244" s="531"/>
      <c r="S244" s="628">
        <v>31</v>
      </c>
      <c r="T244" s="628"/>
      <c r="U244" s="531"/>
      <c r="V244" s="531"/>
      <c r="W244" s="531"/>
      <c r="X244" s="531"/>
      <c r="Y244" s="628"/>
      <c r="Z244" s="531"/>
      <c r="AA244" s="531"/>
      <c r="AB244" s="531"/>
      <c r="AC244" s="532" t="e">
        <f>IF(NFI_Expiration=1,IF(#REF!&lt;VLOOKUP(L$5,NFI,5,0),1,0)*Table_NFI[[#This Row],[NFI Core Kit]],Table_NFI[NFI Core Kit])</f>
        <v>#REF!</v>
      </c>
      <c r="AD244" s="532" t="e">
        <f>IF(NFI_Expiration=1,IF(#REF!&lt;VLOOKUP(M$5,NFI,5,0),1,0)*Table_NFI[[#This Row],[Sanitary Kit]],Table_NFI[Sanitary Kit])</f>
        <v>#REF!</v>
      </c>
      <c r="AE244" s="532" t="e">
        <f>IF(NFI_Expiration=1,IF(#REF!&lt;VLOOKUP(N$5,NFI,5,0),1,0)*Table_NFI[[#This Row],[Mosquito net]],Table_NFI[Mosquito net])</f>
        <v>#REF!</v>
      </c>
      <c r="AF244" s="532" t="e">
        <f>IF(NFI_Expiration=1,IF(#REF!&lt;VLOOKUP(O$5,NFI,5,0),1,0)*Table_NFI[[#This Row],[Tarpaulin]],Table_NFI[[#This Row],[Tarpaulin]])</f>
        <v>#REF!</v>
      </c>
      <c r="AG244" s="532" t="e">
        <f>IF(NFI_Expiration=1,IF(#REF!&lt;VLOOKUP(P$5,NFI,5,0),1,0)*Table_NFI[[#This Row],[Blanket]],Table_NFI[[#This Row],[Blanket]])</f>
        <v>#REF!</v>
      </c>
      <c r="AH244" s="532" t="e">
        <f>IF(NFI_Expiration=1,IF(#REF!&lt;VLOOKUP(Q$5,NFI,5,0),1,0)*Table_NFI[[#This Row],[Kitchen Set]],Table_NFI[Kitchen Set])</f>
        <v>#REF!</v>
      </c>
      <c r="AI244" s="532" t="e">
        <f>IF(NFI_Expiration=1,IF(#REF!&lt;VLOOKUP(R$5,NFI,5,0),1,0)*Table_NFI[[#This Row],[Clothes Kit]],Table_NFI[Clothes Kit])</f>
        <v>#REF!</v>
      </c>
      <c r="AJ244" s="532" t="e">
        <f>IF(NFI_Expiration=1,IF(#REF!&lt;VLOOKUP(S$5,NFI,5,0),1,0)*Table_NFI[[#This Row],[Plastic Bucket]],Table_NFI[Plastic Bucket])</f>
        <v>#REF!</v>
      </c>
      <c r="AK244" s="532" t="e">
        <f>IF(NFI_Expiration=1,IF(#REF!&lt;VLOOKUP(T$5,NFI,5,0),1,0)*Table_NFI[[#This Row],[Plastic Mat]],Table_NFI[Plastic Mat])*IF(Table_NFI[[#This Row],[Distribution Date]]&gt;"2014-04-01",1,2.5)</f>
        <v>#REF!</v>
      </c>
      <c r="AL244" s="532" t="e">
        <f>IF(NFI_Expiration=1,IF(#REF!&lt;VLOOKUP(U$5,NFI,5,0),1,0)*Table_NFI[[#This Row],[Winter Clothes Adult]],Table_NFI[Winter Clothes Adult])</f>
        <v>#REF!</v>
      </c>
      <c r="AM244" s="532"/>
      <c r="AN244" s="532"/>
      <c r="AO244" s="532"/>
      <c r="AP244" s="532">
        <f>IF(Table_NFI[[#This Row],[Winter Clothes Adult]]+Table_NFI[[#This Row],[Winter Clothes Children]]+Table_NFI[[#This Row],[Winter Items Other]]+Table_NFI[[#This Row],[Winter Blanket]]&gt;0,1,0)</f>
        <v>0</v>
      </c>
      <c r="AQ244" s="532"/>
      <c r="AR244" s="532"/>
      <c r="AS244" s="532"/>
      <c r="AT244" s="532"/>
      <c r="AU244" s="532"/>
      <c r="AV244" s="532"/>
      <c r="AW244" s="532"/>
      <c r="AX244" s="203" t="str">
        <f>IFERROR(VLOOKUP(Table_NFI[[#This Row],[Location]],CL,2,0),"")</f>
        <v>MMR001CMP270</v>
      </c>
      <c r="AZ244" s="524"/>
      <c r="DS244" s="181"/>
      <c r="DT244" s="181"/>
    </row>
    <row r="245" spans="2:124" hidden="1" x14ac:dyDescent="0.25">
      <c r="B245" s="530">
        <v>43228</v>
      </c>
      <c r="C245" s="530" t="str">
        <f>MONTH(Table_NFI[[#This Row],[Distribution Date]]) &amp; "/" &amp; YEAR(Table_NFI[[#This Row],[Distribution Date]])</f>
        <v>5/2018</v>
      </c>
      <c r="D245" s="628" t="s">
        <v>1608</v>
      </c>
      <c r="E245" s="628" t="s">
        <v>424</v>
      </c>
      <c r="F245" s="628" t="s">
        <v>378</v>
      </c>
      <c r="G245" s="195" t="s">
        <v>309</v>
      </c>
      <c r="H245" s="628" t="s">
        <v>1611</v>
      </c>
      <c r="I245" s="628"/>
      <c r="J245" s="628"/>
      <c r="K245" s="531"/>
      <c r="L245" s="628">
        <v>41</v>
      </c>
      <c r="M245" s="628"/>
      <c r="N245" s="628">
        <v>82</v>
      </c>
      <c r="O245" s="628">
        <f>41*2</f>
        <v>82</v>
      </c>
      <c r="P245" s="628">
        <f>41*2</f>
        <v>82</v>
      </c>
      <c r="Q245" s="628">
        <v>41</v>
      </c>
      <c r="R245" s="531"/>
      <c r="S245" s="628">
        <v>41</v>
      </c>
      <c r="T245" s="628"/>
      <c r="U245" s="531"/>
      <c r="V245" s="531"/>
      <c r="W245" s="531"/>
      <c r="X245" s="531"/>
      <c r="Y245" s="628"/>
      <c r="Z245" s="531"/>
      <c r="AA245" s="531"/>
      <c r="AB245" s="531"/>
      <c r="AC245" s="532" t="e">
        <f>IF(NFI_Expiration=1,IF(#REF!&lt;VLOOKUP(L$5,NFI,5,0),1,0)*Table_NFI[[#This Row],[NFI Core Kit]],Table_NFI[NFI Core Kit])</f>
        <v>#REF!</v>
      </c>
      <c r="AD245" s="532" t="e">
        <f>IF(NFI_Expiration=1,IF(#REF!&lt;VLOOKUP(M$5,NFI,5,0),1,0)*Table_NFI[[#This Row],[Sanitary Kit]],Table_NFI[Sanitary Kit])</f>
        <v>#REF!</v>
      </c>
      <c r="AE245" s="532" t="e">
        <f>IF(NFI_Expiration=1,IF(#REF!&lt;VLOOKUP(N$5,NFI,5,0),1,0)*Table_NFI[[#This Row],[Mosquito net]],Table_NFI[Mosquito net])</f>
        <v>#REF!</v>
      </c>
      <c r="AF245" s="532" t="e">
        <f>IF(NFI_Expiration=1,IF(#REF!&lt;VLOOKUP(O$5,NFI,5,0),1,0)*Table_NFI[[#This Row],[Tarpaulin]],Table_NFI[[#This Row],[Tarpaulin]])</f>
        <v>#REF!</v>
      </c>
      <c r="AG245" s="532" t="e">
        <f>IF(NFI_Expiration=1,IF(#REF!&lt;VLOOKUP(P$5,NFI,5,0),1,0)*Table_NFI[[#This Row],[Blanket]],Table_NFI[[#This Row],[Blanket]])</f>
        <v>#REF!</v>
      </c>
      <c r="AH245" s="532" t="e">
        <f>IF(NFI_Expiration=1,IF(#REF!&lt;VLOOKUP(Q$5,NFI,5,0),1,0)*Table_NFI[[#This Row],[Kitchen Set]],Table_NFI[Kitchen Set])</f>
        <v>#REF!</v>
      </c>
      <c r="AI245" s="532" t="e">
        <f>IF(NFI_Expiration=1,IF(#REF!&lt;VLOOKUP(R$5,NFI,5,0),1,0)*Table_NFI[[#This Row],[Clothes Kit]],Table_NFI[Clothes Kit])</f>
        <v>#REF!</v>
      </c>
      <c r="AJ245" s="532" t="e">
        <f>IF(NFI_Expiration=1,IF(#REF!&lt;VLOOKUP(S$5,NFI,5,0),1,0)*Table_NFI[[#This Row],[Plastic Bucket]],Table_NFI[Plastic Bucket])</f>
        <v>#REF!</v>
      </c>
      <c r="AK245" s="532" t="e">
        <f>IF(NFI_Expiration=1,IF(#REF!&lt;VLOOKUP(T$5,NFI,5,0),1,0)*Table_NFI[[#This Row],[Plastic Mat]],Table_NFI[Plastic Mat])*IF(Table_NFI[[#This Row],[Distribution Date]]&gt;"2014-04-01",1,2.5)</f>
        <v>#REF!</v>
      </c>
      <c r="AL245" s="532" t="e">
        <f>IF(NFI_Expiration=1,IF(#REF!&lt;VLOOKUP(U$5,NFI,5,0),1,0)*Table_NFI[[#This Row],[Winter Clothes Adult]],Table_NFI[Winter Clothes Adult])</f>
        <v>#REF!</v>
      </c>
      <c r="AM245" s="532"/>
      <c r="AN245" s="532"/>
      <c r="AO245" s="532"/>
      <c r="AP245" s="532">
        <f>IF(Table_NFI[[#This Row],[Winter Clothes Adult]]+Table_NFI[[#This Row],[Winter Clothes Children]]+Table_NFI[[#This Row],[Winter Items Other]]+Table_NFI[[#This Row],[Winter Blanket]]&gt;0,1,0)</f>
        <v>0</v>
      </c>
      <c r="AQ245" s="532"/>
      <c r="AR245" s="532"/>
      <c r="AS245" s="532"/>
      <c r="AT245" s="532"/>
      <c r="AU245" s="532"/>
      <c r="AV245" s="532"/>
      <c r="AW245" s="532"/>
      <c r="AX245" s="203" t="str">
        <f>IFERROR(VLOOKUP(Table_NFI[[#This Row],[Location]],CL,2,0),"")</f>
        <v/>
      </c>
      <c r="AZ245" s="524"/>
      <c r="DS245" s="181"/>
      <c r="DT245" s="181"/>
    </row>
    <row r="246" spans="2:124" hidden="1" x14ac:dyDescent="0.25">
      <c r="B246" s="530">
        <v>43228</v>
      </c>
      <c r="C246" s="530" t="str">
        <f>MONTH(Table_NFI[[#This Row],[Distribution Date]]) &amp; "/" &amp; YEAR(Table_NFI[[#This Row],[Distribution Date]])</f>
        <v>5/2018</v>
      </c>
      <c r="D246" s="628" t="s">
        <v>1608</v>
      </c>
      <c r="E246" s="628" t="s">
        <v>424</v>
      </c>
      <c r="F246" s="628" t="s">
        <v>378</v>
      </c>
      <c r="G246" s="195" t="s">
        <v>309</v>
      </c>
      <c r="H246" s="628" t="s">
        <v>1610</v>
      </c>
      <c r="I246" s="628"/>
      <c r="J246" s="628"/>
      <c r="K246" s="531"/>
      <c r="L246" s="628">
        <v>16</v>
      </c>
      <c r="M246" s="628"/>
      <c r="N246" s="628">
        <v>32</v>
      </c>
      <c r="O246" s="628">
        <f>16*2</f>
        <v>32</v>
      </c>
      <c r="P246" s="628">
        <f>16*2</f>
        <v>32</v>
      </c>
      <c r="Q246" s="628">
        <v>16</v>
      </c>
      <c r="R246" s="531"/>
      <c r="S246" s="628">
        <v>16</v>
      </c>
      <c r="T246" s="628"/>
      <c r="U246" s="531"/>
      <c r="V246" s="531"/>
      <c r="W246" s="531"/>
      <c r="X246" s="531"/>
      <c r="Y246" s="628"/>
      <c r="Z246" s="531"/>
      <c r="AA246" s="531"/>
      <c r="AB246" s="531"/>
      <c r="AC246" s="532" t="e">
        <f>IF(NFI_Expiration=1,IF(#REF!&lt;VLOOKUP(L$5,NFI,5,0),1,0)*Table_NFI[[#This Row],[NFI Core Kit]],Table_NFI[NFI Core Kit])</f>
        <v>#REF!</v>
      </c>
      <c r="AD246" s="532" t="e">
        <f>IF(NFI_Expiration=1,IF(#REF!&lt;VLOOKUP(M$5,NFI,5,0),1,0)*Table_NFI[[#This Row],[Sanitary Kit]],Table_NFI[Sanitary Kit])</f>
        <v>#REF!</v>
      </c>
      <c r="AE246" s="532" t="e">
        <f>IF(NFI_Expiration=1,IF(#REF!&lt;VLOOKUP(N$5,NFI,5,0),1,0)*Table_NFI[[#This Row],[Mosquito net]],Table_NFI[Mosquito net])</f>
        <v>#REF!</v>
      </c>
      <c r="AF246" s="532" t="e">
        <f>IF(NFI_Expiration=1,IF(#REF!&lt;VLOOKUP(O$5,NFI,5,0),1,0)*Table_NFI[[#This Row],[Tarpaulin]],Table_NFI[[#This Row],[Tarpaulin]])</f>
        <v>#REF!</v>
      </c>
      <c r="AG246" s="532" t="e">
        <f>IF(NFI_Expiration=1,IF(#REF!&lt;VLOOKUP(P$5,NFI,5,0),1,0)*Table_NFI[[#This Row],[Blanket]],Table_NFI[[#This Row],[Blanket]])</f>
        <v>#REF!</v>
      </c>
      <c r="AH246" s="532" t="e">
        <f>IF(NFI_Expiration=1,IF(#REF!&lt;VLOOKUP(Q$5,NFI,5,0),1,0)*Table_NFI[[#This Row],[Kitchen Set]],Table_NFI[Kitchen Set])</f>
        <v>#REF!</v>
      </c>
      <c r="AI246" s="532" t="e">
        <f>IF(NFI_Expiration=1,IF(#REF!&lt;VLOOKUP(R$5,NFI,5,0),1,0)*Table_NFI[[#This Row],[Clothes Kit]],Table_NFI[Clothes Kit])</f>
        <v>#REF!</v>
      </c>
      <c r="AJ246" s="532" t="e">
        <f>IF(NFI_Expiration=1,IF(#REF!&lt;VLOOKUP(S$5,NFI,5,0),1,0)*Table_NFI[[#This Row],[Plastic Bucket]],Table_NFI[Plastic Bucket])</f>
        <v>#REF!</v>
      </c>
      <c r="AK246" s="532" t="e">
        <f>IF(NFI_Expiration=1,IF(#REF!&lt;VLOOKUP(T$5,NFI,5,0),1,0)*Table_NFI[[#This Row],[Plastic Mat]],Table_NFI[Plastic Mat])*IF(Table_NFI[[#This Row],[Distribution Date]]&gt;"2014-04-01",1,2.5)</f>
        <v>#REF!</v>
      </c>
      <c r="AL246" s="532" t="e">
        <f>IF(NFI_Expiration=1,IF(#REF!&lt;VLOOKUP(U$5,NFI,5,0),1,0)*Table_NFI[[#This Row],[Winter Clothes Adult]],Table_NFI[Winter Clothes Adult])</f>
        <v>#REF!</v>
      </c>
      <c r="AM246" s="532"/>
      <c r="AN246" s="532"/>
      <c r="AO246" s="532"/>
      <c r="AP246" s="532">
        <f>IF(Table_NFI[[#This Row],[Winter Clothes Adult]]+Table_NFI[[#This Row],[Winter Clothes Children]]+Table_NFI[[#This Row],[Winter Items Other]]+Table_NFI[[#This Row],[Winter Blanket]]&gt;0,1,0)</f>
        <v>0</v>
      </c>
      <c r="AQ246" s="532"/>
      <c r="AR246" s="532"/>
      <c r="AS246" s="532"/>
      <c r="AT246" s="532"/>
      <c r="AU246" s="532"/>
      <c r="AV246" s="532"/>
      <c r="AW246" s="532"/>
      <c r="AX246" s="203" t="str">
        <f>IFERROR(VLOOKUP(Table_NFI[[#This Row],[Location]],CL,2,0),"")</f>
        <v/>
      </c>
      <c r="AZ246" s="524"/>
      <c r="DS246" s="181"/>
      <c r="DT246" s="181"/>
    </row>
    <row r="247" spans="2:124" hidden="1" x14ac:dyDescent="0.25">
      <c r="B247" s="530">
        <v>43224</v>
      </c>
      <c r="C247" s="530" t="str">
        <f>MONTH(Table_NFI[[#This Row],[Distribution Date]]) &amp; "/" &amp; YEAR(Table_NFI[[#This Row],[Distribution Date]])</f>
        <v>5/2018</v>
      </c>
      <c r="D247" s="628" t="s">
        <v>1607</v>
      </c>
      <c r="E247" s="628" t="s">
        <v>424</v>
      </c>
      <c r="F247" s="628" t="s">
        <v>378</v>
      </c>
      <c r="G247" s="195" t="s">
        <v>173</v>
      </c>
      <c r="H247" s="217" t="s">
        <v>1687</v>
      </c>
      <c r="I247" s="628"/>
      <c r="J247" s="628"/>
      <c r="K247" s="531"/>
      <c r="L247" s="628"/>
      <c r="M247" s="628"/>
      <c r="N247" s="628">
        <v>213</v>
      </c>
      <c r="O247" s="628"/>
      <c r="P247" s="628">
        <v>213</v>
      </c>
      <c r="Q247" s="628"/>
      <c r="R247" s="531"/>
      <c r="S247" s="628">
        <v>99</v>
      </c>
      <c r="T247" s="628"/>
      <c r="U247" s="531"/>
      <c r="V247" s="531"/>
      <c r="W247" s="531"/>
      <c r="X247" s="531"/>
      <c r="Y247" s="628"/>
      <c r="Z247" s="531"/>
      <c r="AA247" s="531"/>
      <c r="AB247" s="531"/>
      <c r="AC247" s="532" t="e">
        <f>IF(NFI_Expiration=1,IF(#REF!&lt;VLOOKUP(L$5,NFI,5,0),1,0)*Table_NFI[[#This Row],[NFI Core Kit]],Table_NFI[NFI Core Kit])</f>
        <v>#REF!</v>
      </c>
      <c r="AD247" s="532" t="e">
        <f>IF(NFI_Expiration=1,IF(#REF!&lt;VLOOKUP(M$5,NFI,5,0),1,0)*Table_NFI[[#This Row],[Sanitary Kit]],Table_NFI[Sanitary Kit])</f>
        <v>#REF!</v>
      </c>
      <c r="AE247" s="532" t="e">
        <f>IF(NFI_Expiration=1,IF(#REF!&lt;VLOOKUP(N$5,NFI,5,0),1,0)*Table_NFI[[#This Row],[Mosquito net]],Table_NFI[Mosquito net])</f>
        <v>#REF!</v>
      </c>
      <c r="AF247" s="532" t="e">
        <f>IF(NFI_Expiration=1,IF(#REF!&lt;VLOOKUP(O$5,NFI,5,0),1,0)*Table_NFI[[#This Row],[Tarpaulin]],Table_NFI[[#This Row],[Tarpaulin]])</f>
        <v>#REF!</v>
      </c>
      <c r="AG247" s="532" t="e">
        <f>IF(NFI_Expiration=1,IF(#REF!&lt;VLOOKUP(P$5,NFI,5,0),1,0)*Table_NFI[[#This Row],[Blanket]],Table_NFI[[#This Row],[Blanket]])</f>
        <v>#REF!</v>
      </c>
      <c r="AH247" s="532" t="e">
        <f>IF(NFI_Expiration=1,IF(#REF!&lt;VLOOKUP(Q$5,NFI,5,0),1,0)*Table_NFI[[#This Row],[Kitchen Set]],Table_NFI[Kitchen Set])</f>
        <v>#REF!</v>
      </c>
      <c r="AI247" s="532" t="e">
        <f>IF(NFI_Expiration=1,IF(#REF!&lt;VLOOKUP(R$5,NFI,5,0),1,0)*Table_NFI[[#This Row],[Clothes Kit]],Table_NFI[Clothes Kit])</f>
        <v>#REF!</v>
      </c>
      <c r="AJ247" s="532" t="e">
        <f>IF(NFI_Expiration=1,IF(#REF!&lt;VLOOKUP(S$5,NFI,5,0),1,0)*Table_NFI[[#This Row],[Plastic Bucket]],Table_NFI[Plastic Bucket])</f>
        <v>#REF!</v>
      </c>
      <c r="AK247" s="532" t="e">
        <f>IF(NFI_Expiration=1,IF(#REF!&lt;VLOOKUP(T$5,NFI,5,0),1,0)*Table_NFI[[#This Row],[Plastic Mat]],Table_NFI[Plastic Mat])*IF(Table_NFI[[#This Row],[Distribution Date]]&gt;"2014-04-01",1,2.5)</f>
        <v>#REF!</v>
      </c>
      <c r="AL247" s="532" t="e">
        <f>IF(NFI_Expiration=1,IF(#REF!&lt;VLOOKUP(U$5,NFI,5,0),1,0)*Table_NFI[[#This Row],[Winter Clothes Adult]],Table_NFI[Winter Clothes Adult])</f>
        <v>#REF!</v>
      </c>
      <c r="AM247" s="532"/>
      <c r="AN247" s="532"/>
      <c r="AO247" s="532"/>
      <c r="AP247" s="532">
        <f>IF(Table_NFI[[#This Row],[Winter Clothes Adult]]+Table_NFI[[#This Row],[Winter Clothes Children]]+Table_NFI[[#This Row],[Winter Items Other]]+Table_NFI[[#This Row],[Winter Blanket]]&gt;0,1,0)</f>
        <v>0</v>
      </c>
      <c r="AQ247" s="532"/>
      <c r="AR247" s="532"/>
      <c r="AS247" s="532"/>
      <c r="AT247" s="532"/>
      <c r="AU247" s="532"/>
      <c r="AV247" s="532"/>
      <c r="AW247" s="532"/>
      <c r="AX247" s="203" t="str">
        <f>IFERROR(VLOOKUP(Table_NFI[[#This Row],[Location]],CL,2,0),"")</f>
        <v>MMR001CMP261</v>
      </c>
      <c r="AZ247" s="524"/>
      <c r="DS247" s="181"/>
      <c r="DT247" s="181"/>
    </row>
    <row r="248" spans="2:124" hidden="1" x14ac:dyDescent="0.25">
      <c r="B248" s="530">
        <v>43224</v>
      </c>
      <c r="C248" s="530" t="str">
        <f>MONTH(Table_NFI[[#This Row],[Distribution Date]]) &amp; "/" &amp; YEAR(Table_NFI[[#This Row],[Distribution Date]])</f>
        <v>5/2018</v>
      </c>
      <c r="D248" s="628" t="s">
        <v>1607</v>
      </c>
      <c r="E248" s="628" t="s">
        <v>424</v>
      </c>
      <c r="F248" s="628" t="s">
        <v>378</v>
      </c>
      <c r="G248" s="195" t="s">
        <v>173</v>
      </c>
      <c r="H248" s="217" t="s">
        <v>1629</v>
      </c>
      <c r="I248" s="628"/>
      <c r="J248" s="628"/>
      <c r="K248" s="531"/>
      <c r="L248" s="628"/>
      <c r="M248" s="628"/>
      <c r="N248" s="628">
        <v>44</v>
      </c>
      <c r="O248" s="628"/>
      <c r="P248" s="628">
        <v>34</v>
      </c>
      <c r="Q248" s="628"/>
      <c r="R248" s="531"/>
      <c r="S248" s="628">
        <v>31</v>
      </c>
      <c r="T248" s="628"/>
      <c r="U248" s="531"/>
      <c r="V248" s="531"/>
      <c r="W248" s="531"/>
      <c r="X248" s="531"/>
      <c r="Y248" s="628"/>
      <c r="Z248" s="531"/>
      <c r="AA248" s="531"/>
      <c r="AB248" s="531"/>
      <c r="AC248" s="532" t="e">
        <f>IF(NFI_Expiration=1,IF(#REF!&lt;VLOOKUP(L$5,NFI,5,0),1,0)*Table_NFI[[#This Row],[NFI Core Kit]],Table_NFI[NFI Core Kit])</f>
        <v>#REF!</v>
      </c>
      <c r="AD248" s="532" t="e">
        <f>IF(NFI_Expiration=1,IF(#REF!&lt;VLOOKUP(M$5,NFI,5,0),1,0)*Table_NFI[[#This Row],[Sanitary Kit]],Table_NFI[Sanitary Kit])</f>
        <v>#REF!</v>
      </c>
      <c r="AE248" s="532" t="e">
        <f>IF(NFI_Expiration=1,IF(#REF!&lt;VLOOKUP(N$5,NFI,5,0),1,0)*Table_NFI[[#This Row],[Mosquito net]],Table_NFI[Mosquito net])</f>
        <v>#REF!</v>
      </c>
      <c r="AF248" s="532" t="e">
        <f>IF(NFI_Expiration=1,IF(#REF!&lt;VLOOKUP(O$5,NFI,5,0),1,0)*Table_NFI[[#This Row],[Tarpaulin]],Table_NFI[[#This Row],[Tarpaulin]])</f>
        <v>#REF!</v>
      </c>
      <c r="AG248" s="532" t="e">
        <f>IF(NFI_Expiration=1,IF(#REF!&lt;VLOOKUP(P$5,NFI,5,0),1,0)*Table_NFI[[#This Row],[Blanket]],Table_NFI[[#This Row],[Blanket]])</f>
        <v>#REF!</v>
      </c>
      <c r="AH248" s="532" t="e">
        <f>IF(NFI_Expiration=1,IF(#REF!&lt;VLOOKUP(Q$5,NFI,5,0),1,0)*Table_NFI[[#This Row],[Kitchen Set]],Table_NFI[Kitchen Set])</f>
        <v>#REF!</v>
      </c>
      <c r="AI248" s="532" t="e">
        <f>IF(NFI_Expiration=1,IF(#REF!&lt;VLOOKUP(R$5,NFI,5,0),1,0)*Table_NFI[[#This Row],[Clothes Kit]],Table_NFI[Clothes Kit])</f>
        <v>#REF!</v>
      </c>
      <c r="AJ248" s="532" t="e">
        <f>IF(NFI_Expiration=1,IF(#REF!&lt;VLOOKUP(S$5,NFI,5,0),1,0)*Table_NFI[[#This Row],[Plastic Bucket]],Table_NFI[Plastic Bucket])</f>
        <v>#REF!</v>
      </c>
      <c r="AK248" s="532" t="e">
        <f>IF(NFI_Expiration=1,IF(#REF!&lt;VLOOKUP(T$5,NFI,5,0),1,0)*Table_NFI[[#This Row],[Plastic Mat]],Table_NFI[Plastic Mat])*IF(Table_NFI[[#This Row],[Distribution Date]]&gt;"2014-04-01",1,2.5)</f>
        <v>#REF!</v>
      </c>
      <c r="AL248" s="532" t="e">
        <f>IF(NFI_Expiration=1,IF(#REF!&lt;VLOOKUP(U$5,NFI,5,0),1,0)*Table_NFI[[#This Row],[Winter Clothes Adult]],Table_NFI[Winter Clothes Adult])</f>
        <v>#REF!</v>
      </c>
      <c r="AM248" s="532"/>
      <c r="AN248" s="532"/>
      <c r="AO248" s="532"/>
      <c r="AP248" s="532">
        <f>IF(Table_NFI[[#This Row],[Winter Clothes Adult]]+Table_NFI[[#This Row],[Winter Clothes Children]]+Table_NFI[[#This Row],[Winter Items Other]]+Table_NFI[[#This Row],[Winter Blanket]]&gt;0,1,0)</f>
        <v>0</v>
      </c>
      <c r="AQ248" s="532"/>
      <c r="AR248" s="532"/>
      <c r="AS248" s="532"/>
      <c r="AT248" s="532"/>
      <c r="AU248" s="532"/>
      <c r="AV248" s="532"/>
      <c r="AW248" s="532"/>
      <c r="AX248" s="203" t="str">
        <f>IFERROR(VLOOKUP(Table_NFI[[#This Row],[Location]],CL,2,0),"")</f>
        <v>MMR001CMP262</v>
      </c>
      <c r="AZ248" s="524"/>
      <c r="DS248" s="181"/>
      <c r="DT248" s="181"/>
    </row>
    <row r="249" spans="2:124" hidden="1" x14ac:dyDescent="0.25">
      <c r="B249" s="530">
        <v>43224</v>
      </c>
      <c r="C249" s="530" t="str">
        <f>MONTH(Table_NFI[[#This Row],[Distribution Date]]) &amp; "/" &amp; YEAR(Table_NFI[[#This Row],[Distribution Date]])</f>
        <v>5/2018</v>
      </c>
      <c r="D249" s="628" t="s">
        <v>1607</v>
      </c>
      <c r="E249" s="628" t="s">
        <v>424</v>
      </c>
      <c r="F249" s="628" t="s">
        <v>378</v>
      </c>
      <c r="G249" s="195" t="s">
        <v>173</v>
      </c>
      <c r="H249" s="217" t="s">
        <v>1627</v>
      </c>
      <c r="I249" s="628"/>
      <c r="J249" s="628"/>
      <c r="K249" s="531"/>
      <c r="L249" s="628"/>
      <c r="M249" s="628"/>
      <c r="N249" s="628">
        <v>167</v>
      </c>
      <c r="O249" s="628"/>
      <c r="P249" s="628"/>
      <c r="Q249" s="628"/>
      <c r="R249" s="531"/>
      <c r="S249" s="628">
        <v>72</v>
      </c>
      <c r="T249" s="628"/>
      <c r="U249" s="531"/>
      <c r="V249" s="531"/>
      <c r="W249" s="531"/>
      <c r="X249" s="531"/>
      <c r="Y249" s="628"/>
      <c r="Z249" s="531"/>
      <c r="AA249" s="531"/>
      <c r="AB249" s="531"/>
      <c r="AC249" s="532" t="e">
        <f>IF(NFI_Expiration=1,IF(#REF!&lt;VLOOKUP(L$5,NFI,5,0),1,0)*Table_NFI[[#This Row],[NFI Core Kit]],Table_NFI[NFI Core Kit])</f>
        <v>#REF!</v>
      </c>
      <c r="AD249" s="532" t="e">
        <f>IF(NFI_Expiration=1,IF(#REF!&lt;VLOOKUP(M$5,NFI,5,0),1,0)*Table_NFI[[#This Row],[Sanitary Kit]],Table_NFI[Sanitary Kit])</f>
        <v>#REF!</v>
      </c>
      <c r="AE249" s="532" t="e">
        <f>IF(NFI_Expiration=1,IF(#REF!&lt;VLOOKUP(N$5,NFI,5,0),1,0)*Table_NFI[[#This Row],[Mosquito net]],Table_NFI[Mosquito net])</f>
        <v>#REF!</v>
      </c>
      <c r="AF249" s="532" t="e">
        <f>IF(NFI_Expiration=1,IF(#REF!&lt;VLOOKUP(O$5,NFI,5,0),1,0)*Table_NFI[[#This Row],[Tarpaulin]],Table_NFI[[#This Row],[Tarpaulin]])</f>
        <v>#REF!</v>
      </c>
      <c r="AG249" s="532" t="e">
        <f>IF(NFI_Expiration=1,IF(#REF!&lt;VLOOKUP(P$5,NFI,5,0),1,0)*Table_NFI[[#This Row],[Blanket]],Table_NFI[[#This Row],[Blanket]])</f>
        <v>#REF!</v>
      </c>
      <c r="AH249" s="532" t="e">
        <f>IF(NFI_Expiration=1,IF(#REF!&lt;VLOOKUP(Q$5,NFI,5,0),1,0)*Table_NFI[[#This Row],[Kitchen Set]],Table_NFI[Kitchen Set])</f>
        <v>#REF!</v>
      </c>
      <c r="AI249" s="532" t="e">
        <f>IF(NFI_Expiration=1,IF(#REF!&lt;VLOOKUP(R$5,NFI,5,0),1,0)*Table_NFI[[#This Row],[Clothes Kit]],Table_NFI[Clothes Kit])</f>
        <v>#REF!</v>
      </c>
      <c r="AJ249" s="532" t="e">
        <f>IF(NFI_Expiration=1,IF(#REF!&lt;VLOOKUP(S$5,NFI,5,0),1,0)*Table_NFI[[#This Row],[Plastic Bucket]],Table_NFI[Plastic Bucket])</f>
        <v>#REF!</v>
      </c>
      <c r="AK249" s="532" t="e">
        <f>IF(NFI_Expiration=1,IF(#REF!&lt;VLOOKUP(T$5,NFI,5,0),1,0)*Table_NFI[[#This Row],[Plastic Mat]],Table_NFI[Plastic Mat])*IF(Table_NFI[[#This Row],[Distribution Date]]&gt;"2014-04-01",1,2.5)</f>
        <v>#REF!</v>
      </c>
      <c r="AL249" s="532" t="e">
        <f>IF(NFI_Expiration=1,IF(#REF!&lt;VLOOKUP(U$5,NFI,5,0),1,0)*Table_NFI[[#This Row],[Winter Clothes Adult]],Table_NFI[Winter Clothes Adult])</f>
        <v>#REF!</v>
      </c>
      <c r="AM249" s="532"/>
      <c r="AN249" s="532"/>
      <c r="AO249" s="532"/>
      <c r="AP249" s="532">
        <f>IF(Table_NFI[[#This Row],[Winter Clothes Adult]]+Table_NFI[[#This Row],[Winter Clothes Children]]+Table_NFI[[#This Row],[Winter Items Other]]+Table_NFI[[#This Row],[Winter Blanket]]&gt;0,1,0)</f>
        <v>0</v>
      </c>
      <c r="AQ249" s="532"/>
      <c r="AR249" s="532"/>
      <c r="AS249" s="532"/>
      <c r="AT249" s="532"/>
      <c r="AU249" s="532"/>
      <c r="AV249" s="532"/>
      <c r="AW249" s="532"/>
      <c r="AX249" s="203" t="str">
        <f>IFERROR(VLOOKUP(Table_NFI[[#This Row],[Location]],CL,2,0),"")</f>
        <v>MMR001CMP260</v>
      </c>
      <c r="AZ249" s="524"/>
      <c r="DS249" s="181"/>
      <c r="DT249" s="181"/>
    </row>
    <row r="250" spans="2:124" hidden="1" x14ac:dyDescent="0.25">
      <c r="B250" s="530">
        <v>43224</v>
      </c>
      <c r="C250" s="530" t="str">
        <f>MONTH(Table_NFI[[#This Row],[Distribution Date]]) &amp; "/" &amp; YEAR(Table_NFI[[#This Row],[Distribution Date]])</f>
        <v>5/2018</v>
      </c>
      <c r="D250" s="628" t="s">
        <v>1607</v>
      </c>
      <c r="E250" s="628" t="s">
        <v>424</v>
      </c>
      <c r="F250" s="628" t="s">
        <v>378</v>
      </c>
      <c r="G250" s="195" t="s">
        <v>173</v>
      </c>
      <c r="H250" s="217" t="s">
        <v>1626</v>
      </c>
      <c r="I250" s="628"/>
      <c r="J250" s="628"/>
      <c r="K250" s="531"/>
      <c r="L250" s="628"/>
      <c r="M250" s="628"/>
      <c r="N250" s="628">
        <v>99</v>
      </c>
      <c r="O250" s="628"/>
      <c r="P250" s="628"/>
      <c r="Q250" s="628"/>
      <c r="R250" s="531"/>
      <c r="S250" s="628">
        <v>45</v>
      </c>
      <c r="T250" s="628"/>
      <c r="U250" s="531"/>
      <c r="V250" s="531"/>
      <c r="W250" s="531"/>
      <c r="X250" s="531"/>
      <c r="Y250" s="628"/>
      <c r="Z250" s="531"/>
      <c r="AA250" s="531"/>
      <c r="AB250" s="531"/>
      <c r="AC250" s="532" t="e">
        <f>IF(NFI_Expiration=1,IF(#REF!&lt;VLOOKUP(L$5,NFI,5,0),1,0)*Table_NFI[[#This Row],[NFI Core Kit]],Table_NFI[NFI Core Kit])</f>
        <v>#REF!</v>
      </c>
      <c r="AD250" s="532" t="e">
        <f>IF(NFI_Expiration=1,IF(#REF!&lt;VLOOKUP(M$5,NFI,5,0),1,0)*Table_NFI[[#This Row],[Sanitary Kit]],Table_NFI[Sanitary Kit])</f>
        <v>#REF!</v>
      </c>
      <c r="AE250" s="532" t="e">
        <f>IF(NFI_Expiration=1,IF(#REF!&lt;VLOOKUP(N$5,NFI,5,0),1,0)*Table_NFI[[#This Row],[Mosquito net]],Table_NFI[Mosquito net])</f>
        <v>#REF!</v>
      </c>
      <c r="AF250" s="532" t="e">
        <f>IF(NFI_Expiration=1,IF(#REF!&lt;VLOOKUP(O$5,NFI,5,0),1,0)*Table_NFI[[#This Row],[Tarpaulin]],Table_NFI[[#This Row],[Tarpaulin]])</f>
        <v>#REF!</v>
      </c>
      <c r="AG250" s="532" t="e">
        <f>IF(NFI_Expiration=1,IF(#REF!&lt;VLOOKUP(P$5,NFI,5,0),1,0)*Table_NFI[[#This Row],[Blanket]],Table_NFI[[#This Row],[Blanket]])</f>
        <v>#REF!</v>
      </c>
      <c r="AH250" s="532" t="e">
        <f>IF(NFI_Expiration=1,IF(#REF!&lt;VLOOKUP(Q$5,NFI,5,0),1,0)*Table_NFI[[#This Row],[Kitchen Set]],Table_NFI[Kitchen Set])</f>
        <v>#REF!</v>
      </c>
      <c r="AI250" s="532" t="e">
        <f>IF(NFI_Expiration=1,IF(#REF!&lt;VLOOKUP(R$5,NFI,5,0),1,0)*Table_NFI[[#This Row],[Clothes Kit]],Table_NFI[Clothes Kit])</f>
        <v>#REF!</v>
      </c>
      <c r="AJ250" s="532" t="e">
        <f>IF(NFI_Expiration=1,IF(#REF!&lt;VLOOKUP(S$5,NFI,5,0),1,0)*Table_NFI[[#This Row],[Plastic Bucket]],Table_NFI[Plastic Bucket])</f>
        <v>#REF!</v>
      </c>
      <c r="AK250" s="532" t="e">
        <f>IF(NFI_Expiration=1,IF(#REF!&lt;VLOOKUP(T$5,NFI,5,0),1,0)*Table_NFI[[#This Row],[Plastic Mat]],Table_NFI[Plastic Mat])*IF(Table_NFI[[#This Row],[Distribution Date]]&gt;"2014-04-01",1,2.5)</f>
        <v>#REF!</v>
      </c>
      <c r="AL250" s="532" t="e">
        <f>IF(NFI_Expiration=1,IF(#REF!&lt;VLOOKUP(U$5,NFI,5,0),1,0)*Table_NFI[[#This Row],[Winter Clothes Adult]],Table_NFI[Winter Clothes Adult])</f>
        <v>#REF!</v>
      </c>
      <c r="AM250" s="532"/>
      <c r="AN250" s="532"/>
      <c r="AO250" s="532"/>
      <c r="AP250" s="532">
        <f>IF(Table_NFI[[#This Row],[Winter Clothes Adult]]+Table_NFI[[#This Row],[Winter Clothes Children]]+Table_NFI[[#This Row],[Winter Items Other]]+Table_NFI[[#This Row],[Winter Blanket]]&gt;0,1,0)</f>
        <v>0</v>
      </c>
      <c r="AQ250" s="532"/>
      <c r="AR250" s="532"/>
      <c r="AS250" s="532"/>
      <c r="AT250" s="532"/>
      <c r="AU250" s="532"/>
      <c r="AV250" s="532"/>
      <c r="AW250" s="532"/>
      <c r="AX250" s="203" t="str">
        <f>IFERROR(VLOOKUP(Table_NFI[[#This Row],[Location]],CL,2,0),"")</f>
        <v>MMR001CMP259</v>
      </c>
      <c r="AZ250" s="524"/>
      <c r="DS250" s="181"/>
      <c r="DT250" s="181"/>
    </row>
    <row r="251" spans="2:124" hidden="1" x14ac:dyDescent="0.25">
      <c r="B251" s="530">
        <v>43230</v>
      </c>
      <c r="C251" s="530" t="str">
        <f>MONTH(Table_NFI[[#This Row],[Distribution Date]]) &amp; "/" &amp; YEAR(Table_NFI[[#This Row],[Distribution Date]])</f>
        <v>5/2018</v>
      </c>
      <c r="D251" s="628" t="s">
        <v>1916</v>
      </c>
      <c r="E251" s="628" t="s">
        <v>1916</v>
      </c>
      <c r="F251" s="628" t="s">
        <v>378</v>
      </c>
      <c r="G251" s="195" t="s">
        <v>27</v>
      </c>
      <c r="H251" s="217" t="s">
        <v>363</v>
      </c>
      <c r="I251" s="628"/>
      <c r="J251" s="628"/>
      <c r="K251" s="531"/>
      <c r="L251" s="628"/>
      <c r="M251" s="628"/>
      <c r="N251" s="628">
        <v>100</v>
      </c>
      <c r="O251" s="628">
        <v>20</v>
      </c>
      <c r="P251" s="628">
        <v>100</v>
      </c>
      <c r="Q251" s="628">
        <v>100</v>
      </c>
      <c r="R251" s="531"/>
      <c r="S251" s="628"/>
      <c r="T251" s="628">
        <v>100</v>
      </c>
      <c r="U251" s="531"/>
      <c r="V251" s="531"/>
      <c r="W251" s="531"/>
      <c r="X251" s="531"/>
      <c r="Y251" s="628"/>
      <c r="Z251" s="531"/>
      <c r="AA251" s="531"/>
      <c r="AB251" s="531"/>
      <c r="AC251" s="532" t="e">
        <f>IF(NFI_Expiration=1,IF(#REF!&lt;VLOOKUP(L$5,NFI,5,0),1,0)*Table_NFI[[#This Row],[NFI Core Kit]],Table_NFI[NFI Core Kit])</f>
        <v>#REF!</v>
      </c>
      <c r="AD251" s="532" t="e">
        <f>IF(NFI_Expiration=1,IF(#REF!&lt;VLOOKUP(M$5,NFI,5,0),1,0)*Table_NFI[[#This Row],[Sanitary Kit]],Table_NFI[Sanitary Kit])</f>
        <v>#REF!</v>
      </c>
      <c r="AE251" s="532" t="e">
        <f>IF(NFI_Expiration=1,IF(#REF!&lt;VLOOKUP(N$5,NFI,5,0),1,0)*Table_NFI[[#This Row],[Mosquito net]],Table_NFI[Mosquito net])</f>
        <v>#REF!</v>
      </c>
      <c r="AF251" s="532" t="e">
        <f>IF(NFI_Expiration=1,IF(#REF!&lt;VLOOKUP(O$5,NFI,5,0),1,0)*Table_NFI[[#This Row],[Tarpaulin]],Table_NFI[[#This Row],[Tarpaulin]])</f>
        <v>#REF!</v>
      </c>
      <c r="AG251" s="532" t="e">
        <f>IF(NFI_Expiration=1,IF(#REF!&lt;VLOOKUP(P$5,NFI,5,0),1,0)*Table_NFI[[#This Row],[Blanket]],Table_NFI[[#This Row],[Blanket]])</f>
        <v>#REF!</v>
      </c>
      <c r="AH251" s="532" t="e">
        <f>IF(NFI_Expiration=1,IF(#REF!&lt;VLOOKUP(Q$5,NFI,5,0),1,0)*Table_NFI[[#This Row],[Kitchen Set]],Table_NFI[Kitchen Set])</f>
        <v>#REF!</v>
      </c>
      <c r="AI251" s="532" t="e">
        <f>IF(NFI_Expiration=1,IF(#REF!&lt;VLOOKUP(R$5,NFI,5,0),1,0)*Table_NFI[[#This Row],[Clothes Kit]],Table_NFI[Clothes Kit])</f>
        <v>#REF!</v>
      </c>
      <c r="AJ251" s="532" t="e">
        <f>IF(NFI_Expiration=1,IF(#REF!&lt;VLOOKUP(S$5,NFI,5,0),1,0)*Table_NFI[[#This Row],[Plastic Bucket]],Table_NFI[Plastic Bucket])</f>
        <v>#REF!</v>
      </c>
      <c r="AK251" s="532" t="e">
        <f>IF(NFI_Expiration=1,IF(#REF!&lt;VLOOKUP(T$5,NFI,5,0),1,0)*Table_NFI[[#This Row],[Plastic Mat]],Table_NFI[Plastic Mat])*IF(Table_NFI[[#This Row],[Distribution Date]]&gt;"2014-04-01",1,2.5)</f>
        <v>#REF!</v>
      </c>
      <c r="AL251" s="532" t="e">
        <f>IF(NFI_Expiration=1,IF(#REF!&lt;VLOOKUP(U$5,NFI,5,0),1,0)*Table_NFI[[#This Row],[Winter Clothes Adult]],Table_NFI[Winter Clothes Adult])</f>
        <v>#REF!</v>
      </c>
      <c r="AM251" s="532"/>
      <c r="AN251" s="532"/>
      <c r="AO251" s="532"/>
      <c r="AP251" s="532">
        <f>IF(Table_NFI[[#This Row],[Winter Clothes Adult]]+Table_NFI[[#This Row],[Winter Clothes Children]]+Table_NFI[[#This Row],[Winter Items Other]]+Table_NFI[[#This Row],[Winter Blanket]]&gt;0,1,0)</f>
        <v>0</v>
      </c>
      <c r="AQ251" s="532"/>
      <c r="AR251" s="532"/>
      <c r="AS251" s="532"/>
      <c r="AT251" s="532"/>
      <c r="AU251" s="532"/>
      <c r="AV251" s="532"/>
      <c r="AW251" s="532"/>
      <c r="AX251" s="203" t="str">
        <f>IFERROR(VLOOKUP(Table_NFI[[#This Row],[Location]],CL,2,0),"")</f>
        <v>MMR001CMP195</v>
      </c>
      <c r="AZ251" s="524"/>
      <c r="DS251" s="181"/>
      <c r="DT251" s="181"/>
    </row>
    <row r="252" spans="2:124" hidden="1" x14ac:dyDescent="0.25">
      <c r="B252" s="530">
        <v>43230</v>
      </c>
      <c r="C252" s="530" t="str">
        <f>MONTH(Table_NFI[[#This Row],[Distribution Date]]) &amp; "/" &amp; YEAR(Table_NFI[[#This Row],[Distribution Date]])</f>
        <v>5/2018</v>
      </c>
      <c r="D252" s="628" t="s">
        <v>1916</v>
      </c>
      <c r="E252" s="628" t="s">
        <v>1916</v>
      </c>
      <c r="F252" s="628" t="s">
        <v>378</v>
      </c>
      <c r="G252" s="195" t="s">
        <v>27</v>
      </c>
      <c r="H252" s="643" t="s">
        <v>28</v>
      </c>
      <c r="I252" s="638"/>
      <c r="J252" s="639"/>
      <c r="K252" s="639"/>
      <c r="L252" s="639"/>
      <c r="M252" s="639"/>
      <c r="N252" s="642">
        <v>30</v>
      </c>
      <c r="O252" s="642"/>
      <c r="P252" s="642">
        <v>30</v>
      </c>
      <c r="Q252" s="642">
        <v>30</v>
      </c>
      <c r="R252" s="642"/>
      <c r="S252" s="642"/>
      <c r="T252" s="642">
        <v>30</v>
      </c>
      <c r="U252" s="639"/>
      <c r="V252" s="639"/>
      <c r="W252" s="639"/>
      <c r="X252" s="639"/>
      <c r="Y252" s="639"/>
      <c r="Z252" s="639"/>
      <c r="AA252" s="639"/>
      <c r="AB252" s="639"/>
      <c r="AC252" s="640" t="e">
        <f>IF(NFI_Expiration=1,IF(#REF!&lt;VLOOKUP(L$5,NFI,5,0),1,0)*Table_NFI[[#This Row],[NFI Core Kit]],Table_NFI[NFI Core Kit])</f>
        <v>#REF!</v>
      </c>
      <c r="AD252" s="640" t="e">
        <f>IF(NFI_Expiration=1,IF(#REF!&lt;VLOOKUP(M$5,NFI,5,0),1,0)*Table_NFI[[#This Row],[Sanitary Kit]],Table_NFI[Sanitary Kit])</f>
        <v>#REF!</v>
      </c>
      <c r="AE252" s="640" t="e">
        <f>IF(NFI_Expiration=1,IF(#REF!&lt;VLOOKUP(N$5,NFI,5,0),1,0)*Table_NFI[[#This Row],[Mosquito net]],Table_NFI[Mosquito net])</f>
        <v>#REF!</v>
      </c>
      <c r="AF252" s="640" t="e">
        <f>IF(NFI_Expiration=1,IF(#REF!&lt;VLOOKUP(O$5,NFI,5,0),1,0)*Table_NFI[[#This Row],[Tarpaulin]],Table_NFI[[#This Row],[Tarpaulin]])</f>
        <v>#REF!</v>
      </c>
      <c r="AG252" s="640" t="e">
        <f>IF(NFI_Expiration=1,IF(#REF!&lt;VLOOKUP(P$5,NFI,5,0),1,0)*Table_NFI[[#This Row],[Blanket]],Table_NFI[[#This Row],[Blanket]])</f>
        <v>#REF!</v>
      </c>
      <c r="AH252" s="640" t="e">
        <f>IF(NFI_Expiration=1,IF(#REF!&lt;VLOOKUP(Q$5,NFI,5,0),1,0)*Table_NFI[[#This Row],[Kitchen Set]],Table_NFI[Kitchen Set])</f>
        <v>#REF!</v>
      </c>
      <c r="AI252" s="640" t="e">
        <f>IF(NFI_Expiration=1,IF(#REF!&lt;VLOOKUP(R$5,NFI,5,0),1,0)*Table_NFI[[#This Row],[Clothes Kit]],Table_NFI[Clothes Kit])</f>
        <v>#REF!</v>
      </c>
      <c r="AJ252" s="640" t="e">
        <f>IF(NFI_Expiration=1,IF(#REF!&lt;VLOOKUP(S$5,NFI,5,0),1,0)*Table_NFI[[#This Row],[Plastic Bucket]],Table_NFI[Plastic Bucket])</f>
        <v>#REF!</v>
      </c>
      <c r="AK252" s="640" t="e">
        <f>IF(NFI_Expiration=1,IF(#REF!&lt;VLOOKUP(T$5,NFI,5,0),1,0)*Table_NFI[[#This Row],[Plastic Mat]],Table_NFI[Plastic Mat])*IF(Table_NFI[[#This Row],[Distribution Date]]&gt;"2014-04-01",1,2.5)</f>
        <v>#REF!</v>
      </c>
      <c r="AL252" s="640" t="e">
        <f>IF(NFI_Expiration=1,IF(#REF!&lt;VLOOKUP(U$5,NFI,5,0),1,0)*Table_NFI[[#This Row],[Winter Clothes Adult]],Table_NFI[Winter Clothes Adult])</f>
        <v>#REF!</v>
      </c>
      <c r="AM252" s="640"/>
      <c r="AN252" s="640"/>
      <c r="AO252" s="640"/>
      <c r="AP252" s="640">
        <f>IF(Table_NFI[[#This Row],[Winter Clothes Adult]]+Table_NFI[[#This Row],[Winter Clothes Children]]+Table_NFI[[#This Row],[Winter Items Other]]+Table_NFI[[#This Row],[Winter Blanket]]&gt;0,1,0)</f>
        <v>0</v>
      </c>
      <c r="AQ252" s="640"/>
      <c r="AR252" s="640"/>
      <c r="AS252" s="640"/>
      <c r="AT252" s="640"/>
      <c r="AU252" s="640"/>
      <c r="AV252" s="640"/>
      <c r="AW252" s="640"/>
      <c r="AX252" s="641" t="str">
        <f>IFERROR(VLOOKUP(Table_NFI[[#This Row],[Location]],CL,2,0),"")</f>
        <v>MMR001CMP042</v>
      </c>
      <c r="AY252" s="638"/>
      <c r="AZ252" s="524"/>
      <c r="DS252" s="181"/>
      <c r="DT252" s="181"/>
    </row>
    <row r="253" spans="2:124" hidden="1" x14ac:dyDescent="0.25">
      <c r="B253" s="530">
        <v>43228</v>
      </c>
      <c r="C253" s="530" t="str">
        <f>MONTH(Table_NFI[[#This Row],[Distribution Date]]) &amp; "/" &amp; YEAR(Table_NFI[[#This Row],[Distribution Date]])</f>
        <v>5/2018</v>
      </c>
      <c r="D253" s="628" t="s">
        <v>420</v>
      </c>
      <c r="E253" s="628" t="s">
        <v>420</v>
      </c>
      <c r="F253" s="628" t="s">
        <v>378</v>
      </c>
      <c r="G253" s="195" t="s">
        <v>237</v>
      </c>
      <c r="H253" s="217" t="s">
        <v>1634</v>
      </c>
      <c r="I253" s="628"/>
      <c r="J253" s="628"/>
      <c r="K253" s="531"/>
      <c r="L253" s="628"/>
      <c r="M253" s="628"/>
      <c r="N253" s="628"/>
      <c r="O253" s="628">
        <v>26</v>
      </c>
      <c r="P253" s="628"/>
      <c r="Q253" s="628"/>
      <c r="R253" s="531"/>
      <c r="S253" s="628"/>
      <c r="T253" s="628"/>
      <c r="U253" s="531"/>
      <c r="V253" s="531"/>
      <c r="W253" s="531"/>
      <c r="X253" s="531"/>
      <c r="Y253" s="628"/>
      <c r="Z253" s="531"/>
      <c r="AA253" s="531"/>
      <c r="AB253" s="531"/>
      <c r="AC253" s="532" t="e">
        <f>IF(NFI_Expiration=1,IF(#REF!&lt;VLOOKUP(L$5,NFI,5,0),1,0)*Table_NFI[[#This Row],[NFI Core Kit]],Table_NFI[NFI Core Kit])</f>
        <v>#REF!</v>
      </c>
      <c r="AD253" s="532" t="e">
        <f>IF(NFI_Expiration=1,IF(#REF!&lt;VLOOKUP(M$5,NFI,5,0),1,0)*Table_NFI[[#This Row],[Sanitary Kit]],Table_NFI[Sanitary Kit])</f>
        <v>#REF!</v>
      </c>
      <c r="AE253" s="532" t="e">
        <f>IF(NFI_Expiration=1,IF(#REF!&lt;VLOOKUP(N$5,NFI,5,0),1,0)*Table_NFI[[#This Row],[Mosquito net]],Table_NFI[Mosquito net])</f>
        <v>#REF!</v>
      </c>
      <c r="AF253" s="532" t="e">
        <f>IF(NFI_Expiration=1,IF(#REF!&lt;VLOOKUP(O$5,NFI,5,0),1,0)*Table_NFI[[#This Row],[Tarpaulin]],Table_NFI[[#This Row],[Tarpaulin]])</f>
        <v>#REF!</v>
      </c>
      <c r="AG253" s="532" t="e">
        <f>IF(NFI_Expiration=1,IF(#REF!&lt;VLOOKUP(P$5,NFI,5,0),1,0)*Table_NFI[[#This Row],[Blanket]],Table_NFI[[#This Row],[Blanket]])</f>
        <v>#REF!</v>
      </c>
      <c r="AH253" s="532" t="e">
        <f>IF(NFI_Expiration=1,IF(#REF!&lt;VLOOKUP(Q$5,NFI,5,0),1,0)*Table_NFI[[#This Row],[Kitchen Set]],Table_NFI[Kitchen Set])</f>
        <v>#REF!</v>
      </c>
      <c r="AI253" s="532" t="e">
        <f>IF(NFI_Expiration=1,IF(#REF!&lt;VLOOKUP(R$5,NFI,5,0),1,0)*Table_NFI[[#This Row],[Clothes Kit]],Table_NFI[Clothes Kit])</f>
        <v>#REF!</v>
      </c>
      <c r="AJ253" s="532" t="e">
        <f>IF(NFI_Expiration=1,IF(#REF!&lt;VLOOKUP(S$5,NFI,5,0),1,0)*Table_NFI[[#This Row],[Plastic Bucket]],Table_NFI[Plastic Bucket])</f>
        <v>#REF!</v>
      </c>
      <c r="AK253" s="532" t="e">
        <f>IF(NFI_Expiration=1,IF(#REF!&lt;VLOOKUP(T$5,NFI,5,0),1,0)*Table_NFI[[#This Row],[Plastic Mat]],Table_NFI[Plastic Mat])*IF(Table_NFI[[#This Row],[Distribution Date]]&gt;"2014-04-01",1,2.5)</f>
        <v>#REF!</v>
      </c>
      <c r="AL253" s="532" t="e">
        <f>IF(NFI_Expiration=1,IF(#REF!&lt;VLOOKUP(U$5,NFI,5,0),1,0)*Table_NFI[[#This Row],[Winter Clothes Adult]],Table_NFI[Winter Clothes Adult])</f>
        <v>#REF!</v>
      </c>
      <c r="AM253" s="532"/>
      <c r="AN253" s="532"/>
      <c r="AO253" s="532"/>
      <c r="AP253" s="532">
        <f>IF(Table_NFI[[#This Row],[Winter Clothes Adult]]+Table_NFI[[#This Row],[Winter Clothes Children]]+Table_NFI[[#This Row],[Winter Items Other]]+Table_NFI[[#This Row],[Winter Blanket]]&gt;0,1,0)</f>
        <v>0</v>
      </c>
      <c r="AQ253" s="532"/>
      <c r="AR253" s="532"/>
      <c r="AS253" s="532"/>
      <c r="AT253" s="532"/>
      <c r="AU253" s="532"/>
      <c r="AV253" s="532"/>
      <c r="AW253" s="532"/>
      <c r="AX253" s="203" t="str">
        <f>IFERROR(VLOOKUP(Table_NFI[[#This Row],[Location]],CL,2,0),"")</f>
        <v>MMR001CMP264</v>
      </c>
      <c r="AZ253" s="524"/>
      <c r="DS253" s="181"/>
      <c r="DT253" s="181"/>
    </row>
    <row r="254" spans="2:124" hidden="1" x14ac:dyDescent="0.25">
      <c r="B254" s="530">
        <v>43228</v>
      </c>
      <c r="C254" s="530" t="str">
        <f>MONTH(Table_NFI[[#This Row],[Distribution Date]]) &amp; "/" &amp; YEAR(Table_NFI[[#This Row],[Distribution Date]])</f>
        <v>5/2018</v>
      </c>
      <c r="D254" s="628" t="s">
        <v>420</v>
      </c>
      <c r="E254" s="628" t="s">
        <v>1598</v>
      </c>
      <c r="F254" s="628" t="s">
        <v>378</v>
      </c>
      <c r="G254" s="195" t="s">
        <v>480</v>
      </c>
      <c r="H254" s="217" t="s">
        <v>1612</v>
      </c>
      <c r="I254" s="628"/>
      <c r="J254" s="628"/>
      <c r="K254" s="531"/>
      <c r="L254" s="628"/>
      <c r="M254" s="628"/>
      <c r="N254" s="628"/>
      <c r="O254" s="628"/>
      <c r="P254" s="628"/>
      <c r="Q254" s="628">
        <v>40</v>
      </c>
      <c r="R254" s="531"/>
      <c r="S254" s="628"/>
      <c r="T254" s="628"/>
      <c r="U254" s="531"/>
      <c r="V254" s="531"/>
      <c r="W254" s="531"/>
      <c r="X254" s="531"/>
      <c r="Y254" s="628"/>
      <c r="Z254" s="531"/>
      <c r="AA254" s="531"/>
      <c r="AB254" s="531"/>
      <c r="AC254" s="532" t="e">
        <f>IF(NFI_Expiration=1,IF(#REF!&lt;VLOOKUP(L$5,NFI,5,0),1,0)*Table_NFI[[#This Row],[NFI Core Kit]],Table_NFI[NFI Core Kit])</f>
        <v>#REF!</v>
      </c>
      <c r="AD254" s="532" t="e">
        <f>IF(NFI_Expiration=1,IF(#REF!&lt;VLOOKUP(M$5,NFI,5,0),1,0)*Table_NFI[[#This Row],[Sanitary Kit]],Table_NFI[Sanitary Kit])</f>
        <v>#REF!</v>
      </c>
      <c r="AE254" s="532" t="e">
        <f>IF(NFI_Expiration=1,IF(#REF!&lt;VLOOKUP(N$5,NFI,5,0),1,0)*Table_NFI[[#This Row],[Mosquito net]],Table_NFI[Mosquito net])</f>
        <v>#REF!</v>
      </c>
      <c r="AF254" s="532" t="e">
        <f>IF(NFI_Expiration=1,IF(#REF!&lt;VLOOKUP(O$5,NFI,5,0),1,0)*Table_NFI[[#This Row],[Tarpaulin]],Table_NFI[[#This Row],[Tarpaulin]])</f>
        <v>#REF!</v>
      </c>
      <c r="AG254" s="532" t="e">
        <f>IF(NFI_Expiration=1,IF(#REF!&lt;VLOOKUP(P$5,NFI,5,0),1,0)*Table_NFI[[#This Row],[Blanket]],Table_NFI[[#This Row],[Blanket]])</f>
        <v>#REF!</v>
      </c>
      <c r="AH254" s="532" t="e">
        <f>IF(NFI_Expiration=1,IF(#REF!&lt;VLOOKUP(Q$5,NFI,5,0),1,0)*Table_NFI[[#This Row],[Kitchen Set]],Table_NFI[Kitchen Set])</f>
        <v>#REF!</v>
      </c>
      <c r="AI254" s="532" t="e">
        <f>IF(NFI_Expiration=1,IF(#REF!&lt;VLOOKUP(R$5,NFI,5,0),1,0)*Table_NFI[[#This Row],[Clothes Kit]],Table_NFI[Clothes Kit])</f>
        <v>#REF!</v>
      </c>
      <c r="AJ254" s="532" t="e">
        <f>IF(NFI_Expiration=1,IF(#REF!&lt;VLOOKUP(S$5,NFI,5,0),1,0)*Table_NFI[[#This Row],[Plastic Bucket]],Table_NFI[Plastic Bucket])</f>
        <v>#REF!</v>
      </c>
      <c r="AK254" s="532" t="e">
        <f>IF(NFI_Expiration=1,IF(#REF!&lt;VLOOKUP(T$5,NFI,5,0),1,0)*Table_NFI[[#This Row],[Plastic Mat]],Table_NFI[Plastic Mat])*IF(Table_NFI[[#This Row],[Distribution Date]]&gt;"2014-04-01",1,2.5)</f>
        <v>#REF!</v>
      </c>
      <c r="AL254" s="532" t="e">
        <f>IF(NFI_Expiration=1,IF(#REF!&lt;VLOOKUP(U$5,NFI,5,0),1,0)*Table_NFI[[#This Row],[Winter Clothes Adult]],Table_NFI[Winter Clothes Adult])</f>
        <v>#REF!</v>
      </c>
      <c r="AM254" s="532"/>
      <c r="AN254" s="532"/>
      <c r="AO254" s="532"/>
      <c r="AP254" s="532">
        <f>IF(Table_NFI[[#This Row],[Winter Clothes Adult]]+Table_NFI[[#This Row],[Winter Clothes Children]]+Table_NFI[[#This Row],[Winter Items Other]]+Table_NFI[[#This Row],[Winter Blanket]]&gt;0,1,0)</f>
        <v>0</v>
      </c>
      <c r="AQ254" s="532"/>
      <c r="AR254" s="532"/>
      <c r="AS254" s="532"/>
      <c r="AT254" s="532"/>
      <c r="AU254" s="532"/>
      <c r="AV254" s="532"/>
      <c r="AW254" s="532"/>
      <c r="AX254" s="203" t="str">
        <f>IFERROR(VLOOKUP(Table_NFI[[#This Row],[Location]],CL,2,0),"")</f>
        <v>MMR001CMP268</v>
      </c>
      <c r="AZ254" s="524"/>
      <c r="DS254" s="181"/>
      <c r="DT254" s="181"/>
    </row>
    <row r="255" spans="2:124" hidden="1" x14ac:dyDescent="0.25">
      <c r="B255" s="530">
        <v>43228</v>
      </c>
      <c r="C255" s="530" t="str">
        <f>MONTH(Table_NFI[[#This Row],[Distribution Date]]) &amp; "/" &amp; YEAR(Table_NFI[[#This Row],[Distribution Date]])</f>
        <v>5/2018</v>
      </c>
      <c r="D255" s="628" t="s">
        <v>420</v>
      </c>
      <c r="E255" s="628" t="s">
        <v>1598</v>
      </c>
      <c r="F255" s="628" t="s">
        <v>378</v>
      </c>
      <c r="G255" s="195" t="s">
        <v>237</v>
      </c>
      <c r="H255" s="217" t="s">
        <v>1634</v>
      </c>
      <c r="I255" s="628"/>
      <c r="J255" s="628">
        <v>251</v>
      </c>
      <c r="K255" s="531"/>
      <c r="L255" s="628"/>
      <c r="M255" s="628"/>
      <c r="N255" s="628"/>
      <c r="O255" s="628"/>
      <c r="P255" s="628"/>
      <c r="Q255" s="628">
        <v>251</v>
      </c>
      <c r="R255" s="531"/>
      <c r="S255" s="628"/>
      <c r="T255" s="628"/>
      <c r="U255" s="531"/>
      <c r="V255" s="531"/>
      <c r="W255" s="531"/>
      <c r="X255" s="531"/>
      <c r="Y255" s="628"/>
      <c r="Z255" s="531"/>
      <c r="AA255" s="531"/>
      <c r="AB255" s="531"/>
      <c r="AC255" s="532" t="e">
        <f>IF(NFI_Expiration=1,IF(#REF!&lt;VLOOKUP(L$5,NFI,5,0),1,0)*Table_NFI[[#This Row],[NFI Core Kit]],Table_NFI[NFI Core Kit])</f>
        <v>#REF!</v>
      </c>
      <c r="AD255" s="532" t="e">
        <f>IF(NFI_Expiration=1,IF(#REF!&lt;VLOOKUP(M$5,NFI,5,0),1,0)*Table_NFI[[#This Row],[Sanitary Kit]],Table_NFI[Sanitary Kit])</f>
        <v>#REF!</v>
      </c>
      <c r="AE255" s="532" t="e">
        <f>IF(NFI_Expiration=1,IF(#REF!&lt;VLOOKUP(N$5,NFI,5,0),1,0)*Table_NFI[[#This Row],[Mosquito net]],Table_NFI[Mosquito net])</f>
        <v>#REF!</v>
      </c>
      <c r="AF255" s="532" t="e">
        <f>IF(NFI_Expiration=1,IF(#REF!&lt;VLOOKUP(O$5,NFI,5,0),1,0)*Table_NFI[[#This Row],[Tarpaulin]],Table_NFI[[#This Row],[Tarpaulin]])</f>
        <v>#REF!</v>
      </c>
      <c r="AG255" s="532" t="e">
        <f>IF(NFI_Expiration=1,IF(#REF!&lt;VLOOKUP(P$5,NFI,5,0),1,0)*Table_NFI[[#This Row],[Blanket]],Table_NFI[[#This Row],[Blanket]])</f>
        <v>#REF!</v>
      </c>
      <c r="AH255" s="532" t="e">
        <f>IF(NFI_Expiration=1,IF(#REF!&lt;VLOOKUP(Q$5,NFI,5,0),1,0)*Table_NFI[[#This Row],[Kitchen Set]],Table_NFI[Kitchen Set])</f>
        <v>#REF!</v>
      </c>
      <c r="AI255" s="532" t="e">
        <f>IF(NFI_Expiration=1,IF(#REF!&lt;VLOOKUP(R$5,NFI,5,0),1,0)*Table_NFI[[#This Row],[Clothes Kit]],Table_NFI[Clothes Kit])</f>
        <v>#REF!</v>
      </c>
      <c r="AJ255" s="532" t="e">
        <f>IF(NFI_Expiration=1,IF(#REF!&lt;VLOOKUP(S$5,NFI,5,0),1,0)*Table_NFI[[#This Row],[Plastic Bucket]],Table_NFI[Plastic Bucket])</f>
        <v>#REF!</v>
      </c>
      <c r="AK255" s="532" t="e">
        <f>IF(NFI_Expiration=1,IF(#REF!&lt;VLOOKUP(T$5,NFI,5,0),1,0)*Table_NFI[[#This Row],[Plastic Mat]],Table_NFI[Plastic Mat])*IF(Table_NFI[[#This Row],[Distribution Date]]&gt;"2014-04-01",1,2.5)</f>
        <v>#REF!</v>
      </c>
      <c r="AL255" s="532" t="e">
        <f>IF(NFI_Expiration=1,IF(#REF!&lt;VLOOKUP(U$5,NFI,5,0),1,0)*Table_NFI[[#This Row],[Winter Clothes Adult]],Table_NFI[Winter Clothes Adult])</f>
        <v>#REF!</v>
      </c>
      <c r="AM255" s="532"/>
      <c r="AN255" s="532"/>
      <c r="AO255" s="532"/>
      <c r="AP255" s="532">
        <f>IF(Table_NFI[[#This Row],[Winter Clothes Adult]]+Table_NFI[[#This Row],[Winter Clothes Children]]+Table_NFI[[#This Row],[Winter Items Other]]+Table_NFI[[#This Row],[Winter Blanket]]&gt;0,1,0)</f>
        <v>0</v>
      </c>
      <c r="AQ255" s="532"/>
      <c r="AR255" s="532"/>
      <c r="AS255" s="532"/>
      <c r="AT255" s="532"/>
      <c r="AU255" s="532"/>
      <c r="AV255" s="532"/>
      <c r="AW255" s="532"/>
      <c r="AX255" s="203" t="str">
        <f>IFERROR(VLOOKUP(Table_NFI[[#This Row],[Location]],CL,2,0),"")</f>
        <v>MMR001CMP264</v>
      </c>
      <c r="AZ255" s="524"/>
      <c r="DS255" s="181"/>
      <c r="DT255" s="181"/>
    </row>
    <row r="256" spans="2:124" hidden="1" x14ac:dyDescent="0.25">
      <c r="B256" s="530">
        <v>43228</v>
      </c>
      <c r="C256" s="530" t="str">
        <f>MONTH(Table_NFI[[#This Row],[Distribution Date]]) &amp; "/" &amp; YEAR(Table_NFI[[#This Row],[Distribution Date]])</f>
        <v>5/2018</v>
      </c>
      <c r="D256" s="628" t="s">
        <v>420</v>
      </c>
      <c r="E256" s="628" t="s">
        <v>1598</v>
      </c>
      <c r="F256" s="628" t="s">
        <v>378</v>
      </c>
      <c r="G256" s="195" t="s">
        <v>237</v>
      </c>
      <c r="H256" s="217" t="s">
        <v>1688</v>
      </c>
      <c r="I256" s="628"/>
      <c r="J256" s="628">
        <v>160</v>
      </c>
      <c r="K256" s="531"/>
      <c r="L256" s="628"/>
      <c r="M256" s="628"/>
      <c r="N256" s="628"/>
      <c r="O256" s="628"/>
      <c r="P256" s="628"/>
      <c r="Q256" s="628">
        <v>160</v>
      </c>
      <c r="R256" s="531"/>
      <c r="S256" s="628"/>
      <c r="T256" s="628"/>
      <c r="U256" s="531"/>
      <c r="V256" s="531"/>
      <c r="W256" s="531"/>
      <c r="X256" s="531"/>
      <c r="Y256" s="628"/>
      <c r="Z256" s="531"/>
      <c r="AA256" s="531"/>
      <c r="AB256" s="531"/>
      <c r="AC256" s="532" t="e">
        <f>IF(NFI_Expiration=1,IF(#REF!&lt;VLOOKUP(L$5,NFI,5,0),1,0)*Table_NFI[[#This Row],[NFI Core Kit]],Table_NFI[NFI Core Kit])</f>
        <v>#REF!</v>
      </c>
      <c r="AD256" s="532" t="e">
        <f>IF(NFI_Expiration=1,IF(#REF!&lt;VLOOKUP(M$5,NFI,5,0),1,0)*Table_NFI[[#This Row],[Sanitary Kit]],Table_NFI[Sanitary Kit])</f>
        <v>#REF!</v>
      </c>
      <c r="AE256" s="532" t="e">
        <f>IF(NFI_Expiration=1,IF(#REF!&lt;VLOOKUP(N$5,NFI,5,0),1,0)*Table_NFI[[#This Row],[Mosquito net]],Table_NFI[Mosquito net])</f>
        <v>#REF!</v>
      </c>
      <c r="AF256" s="532" t="e">
        <f>IF(NFI_Expiration=1,IF(#REF!&lt;VLOOKUP(O$5,NFI,5,0),1,0)*Table_NFI[[#This Row],[Tarpaulin]],Table_NFI[[#This Row],[Tarpaulin]])</f>
        <v>#REF!</v>
      </c>
      <c r="AG256" s="532" t="e">
        <f>IF(NFI_Expiration=1,IF(#REF!&lt;VLOOKUP(P$5,NFI,5,0),1,0)*Table_NFI[[#This Row],[Blanket]],Table_NFI[[#This Row],[Blanket]])</f>
        <v>#REF!</v>
      </c>
      <c r="AH256" s="532" t="e">
        <f>IF(NFI_Expiration=1,IF(#REF!&lt;VLOOKUP(Q$5,NFI,5,0),1,0)*Table_NFI[[#This Row],[Kitchen Set]],Table_NFI[Kitchen Set])</f>
        <v>#REF!</v>
      </c>
      <c r="AI256" s="532" t="e">
        <f>IF(NFI_Expiration=1,IF(#REF!&lt;VLOOKUP(R$5,NFI,5,0),1,0)*Table_NFI[[#This Row],[Clothes Kit]],Table_NFI[Clothes Kit])</f>
        <v>#REF!</v>
      </c>
      <c r="AJ256" s="532" t="e">
        <f>IF(NFI_Expiration=1,IF(#REF!&lt;VLOOKUP(S$5,NFI,5,0),1,0)*Table_NFI[[#This Row],[Plastic Bucket]],Table_NFI[Plastic Bucket])</f>
        <v>#REF!</v>
      </c>
      <c r="AK256" s="532" t="e">
        <f>IF(NFI_Expiration=1,IF(#REF!&lt;VLOOKUP(T$5,NFI,5,0),1,0)*Table_NFI[[#This Row],[Plastic Mat]],Table_NFI[Plastic Mat])*IF(Table_NFI[[#This Row],[Distribution Date]]&gt;"2014-04-01",1,2.5)</f>
        <v>#REF!</v>
      </c>
      <c r="AL256" s="532" t="e">
        <f>IF(NFI_Expiration=1,IF(#REF!&lt;VLOOKUP(U$5,NFI,5,0),1,0)*Table_NFI[[#This Row],[Winter Clothes Adult]],Table_NFI[Winter Clothes Adult])</f>
        <v>#REF!</v>
      </c>
      <c r="AM256" s="532"/>
      <c r="AN256" s="532"/>
      <c r="AO256" s="532"/>
      <c r="AP256" s="532">
        <f>IF(Table_NFI[[#This Row],[Winter Clothes Adult]]+Table_NFI[[#This Row],[Winter Clothes Children]]+Table_NFI[[#This Row],[Winter Items Other]]+Table_NFI[[#This Row],[Winter Blanket]]&gt;0,1,0)</f>
        <v>0</v>
      </c>
      <c r="AQ256" s="532"/>
      <c r="AR256" s="532"/>
      <c r="AS256" s="532"/>
      <c r="AT256" s="532"/>
      <c r="AU256" s="532"/>
      <c r="AV256" s="532"/>
      <c r="AW256" s="532"/>
      <c r="AX256" s="203" t="str">
        <f>IFERROR(VLOOKUP(Table_NFI[[#This Row],[Location]],CL,2,0),"")</f>
        <v>MMR001CMP263</v>
      </c>
      <c r="AZ256" s="524"/>
      <c r="DS256" s="181"/>
      <c r="DT256" s="181"/>
    </row>
    <row r="257" spans="2:124" hidden="1" x14ac:dyDescent="0.25">
      <c r="B257" s="530">
        <v>43228</v>
      </c>
      <c r="C257" s="530" t="str">
        <f>MONTH(Table_NFI[[#This Row],[Distribution Date]]) &amp; "/" &amp; YEAR(Table_NFI[[#This Row],[Distribution Date]])</f>
        <v>5/2018</v>
      </c>
      <c r="D257" s="628" t="s">
        <v>420</v>
      </c>
      <c r="E257" s="628" t="s">
        <v>1598</v>
      </c>
      <c r="F257" s="628" t="s">
        <v>378</v>
      </c>
      <c r="G257" s="195" t="s">
        <v>1134</v>
      </c>
      <c r="H257" s="217" t="s">
        <v>1394</v>
      </c>
      <c r="I257" s="628"/>
      <c r="J257" s="628">
        <v>101</v>
      </c>
      <c r="K257" s="531"/>
      <c r="L257" s="628"/>
      <c r="M257" s="628"/>
      <c r="N257" s="628"/>
      <c r="O257" s="628"/>
      <c r="P257" s="628"/>
      <c r="Q257" s="628">
        <v>101</v>
      </c>
      <c r="R257" s="531"/>
      <c r="S257" s="628"/>
      <c r="T257" s="628"/>
      <c r="U257" s="531"/>
      <c r="V257" s="531"/>
      <c r="W257" s="531"/>
      <c r="X257" s="531"/>
      <c r="Y257" s="628"/>
      <c r="Z257" s="531"/>
      <c r="AA257" s="531"/>
      <c r="AB257" s="531"/>
      <c r="AC257" s="532" t="e">
        <f>IF(NFI_Expiration=1,IF(#REF!&lt;VLOOKUP(L$5,NFI,5,0),1,0)*Table_NFI[[#This Row],[NFI Core Kit]],Table_NFI[NFI Core Kit])</f>
        <v>#REF!</v>
      </c>
      <c r="AD257" s="532" t="e">
        <f>IF(NFI_Expiration=1,IF(#REF!&lt;VLOOKUP(M$5,NFI,5,0),1,0)*Table_NFI[[#This Row],[Sanitary Kit]],Table_NFI[Sanitary Kit])</f>
        <v>#REF!</v>
      </c>
      <c r="AE257" s="532" t="e">
        <f>IF(NFI_Expiration=1,IF(#REF!&lt;VLOOKUP(N$5,NFI,5,0),1,0)*Table_NFI[[#This Row],[Mosquito net]],Table_NFI[Mosquito net])</f>
        <v>#REF!</v>
      </c>
      <c r="AF257" s="532" t="e">
        <f>IF(NFI_Expiration=1,IF(#REF!&lt;VLOOKUP(O$5,NFI,5,0),1,0)*Table_NFI[[#This Row],[Tarpaulin]],Table_NFI[[#This Row],[Tarpaulin]])</f>
        <v>#REF!</v>
      </c>
      <c r="AG257" s="532" t="e">
        <f>IF(NFI_Expiration=1,IF(#REF!&lt;VLOOKUP(P$5,NFI,5,0),1,0)*Table_NFI[[#This Row],[Blanket]],Table_NFI[[#This Row],[Blanket]])</f>
        <v>#REF!</v>
      </c>
      <c r="AH257" s="532" t="e">
        <f>IF(NFI_Expiration=1,IF(#REF!&lt;VLOOKUP(Q$5,NFI,5,0),1,0)*Table_NFI[[#This Row],[Kitchen Set]],Table_NFI[Kitchen Set])</f>
        <v>#REF!</v>
      </c>
      <c r="AI257" s="532" t="e">
        <f>IF(NFI_Expiration=1,IF(#REF!&lt;VLOOKUP(R$5,NFI,5,0),1,0)*Table_NFI[[#This Row],[Clothes Kit]],Table_NFI[Clothes Kit])</f>
        <v>#REF!</v>
      </c>
      <c r="AJ257" s="532" t="e">
        <f>IF(NFI_Expiration=1,IF(#REF!&lt;VLOOKUP(S$5,NFI,5,0),1,0)*Table_NFI[[#This Row],[Plastic Bucket]],Table_NFI[Plastic Bucket])</f>
        <v>#REF!</v>
      </c>
      <c r="AK257" s="532" t="e">
        <f>IF(NFI_Expiration=1,IF(#REF!&lt;VLOOKUP(T$5,NFI,5,0),1,0)*Table_NFI[[#This Row],[Plastic Mat]],Table_NFI[Plastic Mat])*IF(Table_NFI[[#This Row],[Distribution Date]]&gt;"2014-04-01",1,2.5)</f>
        <v>#REF!</v>
      </c>
      <c r="AL257" s="532" t="e">
        <f>IF(NFI_Expiration=1,IF(#REF!&lt;VLOOKUP(U$5,NFI,5,0),1,0)*Table_NFI[[#This Row],[Winter Clothes Adult]],Table_NFI[Winter Clothes Adult])</f>
        <v>#REF!</v>
      </c>
      <c r="AM257" s="532"/>
      <c r="AN257" s="532"/>
      <c r="AO257" s="532"/>
      <c r="AP257" s="532">
        <f>IF(Table_NFI[[#This Row],[Winter Clothes Adult]]+Table_NFI[[#This Row],[Winter Clothes Children]]+Table_NFI[[#This Row],[Winter Items Other]]+Table_NFI[[#This Row],[Winter Blanket]]&gt;0,1,0)</f>
        <v>0</v>
      </c>
      <c r="AQ257" s="532"/>
      <c r="AR257" s="532"/>
      <c r="AS257" s="532"/>
      <c r="AT257" s="532"/>
      <c r="AU257" s="532"/>
      <c r="AV257" s="532"/>
      <c r="AW257" s="532"/>
      <c r="AX257" s="203" t="str">
        <f>IFERROR(VLOOKUP(Table_NFI[[#This Row],[Location]],CL,2,0),"")</f>
        <v/>
      </c>
      <c r="AZ257" s="524"/>
      <c r="DS257" s="181"/>
      <c r="DT257" s="181"/>
    </row>
    <row r="258" spans="2:124" hidden="1" x14ac:dyDescent="0.25">
      <c r="B258" s="530">
        <v>43228</v>
      </c>
      <c r="C258" s="530" t="str">
        <f>MONTH(Table_NFI[[#This Row],[Distribution Date]]) &amp; "/" &amp; YEAR(Table_NFI[[#This Row],[Distribution Date]])</f>
        <v>5/2018</v>
      </c>
      <c r="D258" s="628" t="s">
        <v>420</v>
      </c>
      <c r="E258" s="628" t="s">
        <v>1598</v>
      </c>
      <c r="F258" s="628" t="s">
        <v>378</v>
      </c>
      <c r="G258" s="195" t="s">
        <v>237</v>
      </c>
      <c r="H258" s="217" t="s">
        <v>1689</v>
      </c>
      <c r="I258" s="628"/>
      <c r="J258" s="628">
        <v>86</v>
      </c>
      <c r="K258" s="531"/>
      <c r="L258" s="628"/>
      <c r="M258" s="628"/>
      <c r="N258" s="628"/>
      <c r="O258" s="628"/>
      <c r="P258" s="628"/>
      <c r="Q258" s="628">
        <v>86</v>
      </c>
      <c r="R258" s="531"/>
      <c r="S258" s="628"/>
      <c r="T258" s="628"/>
      <c r="U258" s="531"/>
      <c r="V258" s="531"/>
      <c r="W258" s="531"/>
      <c r="X258" s="531"/>
      <c r="Y258" s="628"/>
      <c r="Z258" s="531"/>
      <c r="AA258" s="531"/>
      <c r="AB258" s="531"/>
      <c r="AC258" s="532" t="e">
        <f>IF(NFI_Expiration=1,IF(#REF!&lt;VLOOKUP(L$5,NFI,5,0),1,0)*Table_NFI[[#This Row],[NFI Core Kit]],Table_NFI[NFI Core Kit])</f>
        <v>#REF!</v>
      </c>
      <c r="AD258" s="532" t="e">
        <f>IF(NFI_Expiration=1,IF(#REF!&lt;VLOOKUP(M$5,NFI,5,0),1,0)*Table_NFI[[#This Row],[Sanitary Kit]],Table_NFI[Sanitary Kit])</f>
        <v>#REF!</v>
      </c>
      <c r="AE258" s="532" t="e">
        <f>IF(NFI_Expiration=1,IF(#REF!&lt;VLOOKUP(N$5,NFI,5,0),1,0)*Table_NFI[[#This Row],[Mosquito net]],Table_NFI[Mosquito net])</f>
        <v>#REF!</v>
      </c>
      <c r="AF258" s="532" t="e">
        <f>IF(NFI_Expiration=1,IF(#REF!&lt;VLOOKUP(O$5,NFI,5,0),1,0)*Table_NFI[[#This Row],[Tarpaulin]],Table_NFI[[#This Row],[Tarpaulin]])</f>
        <v>#REF!</v>
      </c>
      <c r="AG258" s="532" t="e">
        <f>IF(NFI_Expiration=1,IF(#REF!&lt;VLOOKUP(P$5,NFI,5,0),1,0)*Table_NFI[[#This Row],[Blanket]],Table_NFI[[#This Row],[Blanket]])</f>
        <v>#REF!</v>
      </c>
      <c r="AH258" s="532" t="e">
        <f>IF(NFI_Expiration=1,IF(#REF!&lt;VLOOKUP(Q$5,NFI,5,0),1,0)*Table_NFI[[#This Row],[Kitchen Set]],Table_NFI[Kitchen Set])</f>
        <v>#REF!</v>
      </c>
      <c r="AI258" s="532" t="e">
        <f>IF(NFI_Expiration=1,IF(#REF!&lt;VLOOKUP(R$5,NFI,5,0),1,0)*Table_NFI[[#This Row],[Clothes Kit]],Table_NFI[Clothes Kit])</f>
        <v>#REF!</v>
      </c>
      <c r="AJ258" s="532" t="e">
        <f>IF(NFI_Expiration=1,IF(#REF!&lt;VLOOKUP(S$5,NFI,5,0),1,0)*Table_NFI[[#This Row],[Plastic Bucket]],Table_NFI[Plastic Bucket])</f>
        <v>#REF!</v>
      </c>
      <c r="AK258" s="532" t="e">
        <f>IF(NFI_Expiration=1,IF(#REF!&lt;VLOOKUP(T$5,NFI,5,0),1,0)*Table_NFI[[#This Row],[Plastic Mat]],Table_NFI[Plastic Mat])*IF(Table_NFI[[#This Row],[Distribution Date]]&gt;"2014-04-01",1,2.5)</f>
        <v>#REF!</v>
      </c>
      <c r="AL258" s="532" t="e">
        <f>IF(NFI_Expiration=1,IF(#REF!&lt;VLOOKUP(U$5,NFI,5,0),1,0)*Table_NFI[[#This Row],[Winter Clothes Adult]],Table_NFI[Winter Clothes Adult])</f>
        <v>#REF!</v>
      </c>
      <c r="AM258" s="532"/>
      <c r="AN258" s="532"/>
      <c r="AO258" s="532"/>
      <c r="AP258" s="532">
        <f>IF(Table_NFI[[#This Row],[Winter Clothes Adult]]+Table_NFI[[#This Row],[Winter Clothes Children]]+Table_NFI[[#This Row],[Winter Items Other]]+Table_NFI[[#This Row],[Winter Blanket]]&gt;0,1,0)</f>
        <v>0</v>
      </c>
      <c r="AQ258" s="532"/>
      <c r="AR258" s="532"/>
      <c r="AS258" s="532"/>
      <c r="AT258" s="532"/>
      <c r="AU258" s="532"/>
      <c r="AV258" s="532"/>
      <c r="AW258" s="532"/>
      <c r="AX258" s="203" t="str">
        <f>IFERROR(VLOOKUP(Table_NFI[[#This Row],[Location]],CL,2,0),"")</f>
        <v/>
      </c>
      <c r="AZ258" s="524"/>
      <c r="DS258" s="181"/>
      <c r="DT258" s="181"/>
    </row>
    <row r="259" spans="2:124" hidden="1" x14ac:dyDescent="0.25">
      <c r="B259" s="530">
        <v>43228</v>
      </c>
      <c r="C259" s="530" t="str">
        <f>MONTH(Table_NFI[[#This Row],[Distribution Date]]) &amp; "/" &amp; YEAR(Table_NFI[[#This Row],[Distribution Date]])</f>
        <v>5/2018</v>
      </c>
      <c r="D259" s="628" t="s">
        <v>420</v>
      </c>
      <c r="E259" s="628" t="s">
        <v>424</v>
      </c>
      <c r="F259" s="628" t="s">
        <v>378</v>
      </c>
      <c r="G259" s="195" t="s">
        <v>309</v>
      </c>
      <c r="H259" s="217" t="s">
        <v>323</v>
      </c>
      <c r="I259" s="628"/>
      <c r="J259" s="628"/>
      <c r="K259" s="531"/>
      <c r="L259" s="628">
        <v>3</v>
      </c>
      <c r="M259" s="628"/>
      <c r="N259" s="632"/>
      <c r="O259" s="628">
        <v>3</v>
      </c>
      <c r="P259" s="632"/>
      <c r="Q259" s="628">
        <v>3</v>
      </c>
      <c r="R259" s="531"/>
      <c r="S259" s="628">
        <v>3</v>
      </c>
      <c r="T259" s="632"/>
      <c r="U259" s="531"/>
      <c r="V259" s="531"/>
      <c r="W259" s="531"/>
      <c r="X259" s="531"/>
      <c r="Y259" s="628">
        <v>3</v>
      </c>
      <c r="Z259" s="531"/>
      <c r="AA259" s="531"/>
      <c r="AB259" s="531"/>
      <c r="AC259" s="532" t="e">
        <f>IF(NFI_Expiration=1,IF(#REF!&lt;VLOOKUP(L$5,NFI,5,0),1,0)*Table_NFI[[#This Row],[NFI Core Kit]],Table_NFI[NFI Core Kit])</f>
        <v>#REF!</v>
      </c>
      <c r="AD259" s="532" t="e">
        <f>IF(NFI_Expiration=1,IF(#REF!&lt;VLOOKUP(M$5,NFI,5,0),1,0)*Table_NFI[[#This Row],[Sanitary Kit]],Table_NFI[Sanitary Kit])</f>
        <v>#REF!</v>
      </c>
      <c r="AE259" s="532" t="e">
        <f>IF(NFI_Expiration=1,IF(#REF!&lt;VLOOKUP(N$5,NFI,5,0),1,0)*Table_NFI[[#This Row],[Mosquito net]],Table_NFI[Mosquito net])</f>
        <v>#REF!</v>
      </c>
      <c r="AF259" s="532" t="e">
        <f>IF(NFI_Expiration=1,IF(#REF!&lt;VLOOKUP(O$5,NFI,5,0),1,0)*Table_NFI[[#This Row],[Tarpaulin]],Table_NFI[[#This Row],[Tarpaulin]])</f>
        <v>#REF!</v>
      </c>
      <c r="AG259" s="532" t="e">
        <f>IF(NFI_Expiration=1,IF(#REF!&lt;VLOOKUP(P$5,NFI,5,0),1,0)*Table_NFI[[#This Row],[Blanket]],Table_NFI[[#This Row],[Blanket]])</f>
        <v>#REF!</v>
      </c>
      <c r="AH259" s="532" t="e">
        <f>IF(NFI_Expiration=1,IF(#REF!&lt;VLOOKUP(Q$5,NFI,5,0),1,0)*Table_NFI[[#This Row],[Kitchen Set]],Table_NFI[Kitchen Set])</f>
        <v>#REF!</v>
      </c>
      <c r="AI259" s="532" t="e">
        <f>IF(NFI_Expiration=1,IF(#REF!&lt;VLOOKUP(R$5,NFI,5,0),1,0)*Table_NFI[[#This Row],[Clothes Kit]],Table_NFI[Clothes Kit])</f>
        <v>#REF!</v>
      </c>
      <c r="AJ259" s="532" t="e">
        <f>IF(NFI_Expiration=1,IF(#REF!&lt;VLOOKUP(S$5,NFI,5,0),1,0)*Table_NFI[[#This Row],[Plastic Bucket]],Table_NFI[Plastic Bucket])</f>
        <v>#REF!</v>
      </c>
      <c r="AK259" s="532" t="e">
        <f>IF(NFI_Expiration=1,IF(#REF!&lt;VLOOKUP(T$5,NFI,5,0),1,0)*Table_NFI[[#This Row],[Plastic Mat]],Table_NFI[Plastic Mat])*IF(Table_NFI[[#This Row],[Distribution Date]]&gt;"2014-04-01",1,2.5)</f>
        <v>#REF!</v>
      </c>
      <c r="AL259" s="532" t="e">
        <f>IF(NFI_Expiration=1,IF(#REF!&lt;VLOOKUP(U$5,NFI,5,0),1,0)*Table_NFI[[#This Row],[Winter Clothes Adult]],Table_NFI[Winter Clothes Adult])</f>
        <v>#REF!</v>
      </c>
      <c r="AM259" s="532"/>
      <c r="AN259" s="532"/>
      <c r="AO259" s="532"/>
      <c r="AP259" s="532">
        <f>IF(Table_NFI[[#This Row],[Winter Clothes Adult]]+Table_NFI[[#This Row],[Winter Clothes Children]]+Table_NFI[[#This Row],[Winter Items Other]]+Table_NFI[[#This Row],[Winter Blanket]]&gt;0,1,0)</f>
        <v>0</v>
      </c>
      <c r="AQ259" s="532"/>
      <c r="AR259" s="532"/>
      <c r="AS259" s="532"/>
      <c r="AT259" s="532"/>
      <c r="AU259" s="532"/>
      <c r="AV259" s="532"/>
      <c r="AW259" s="532"/>
      <c r="AX259" s="203" t="str">
        <f>IFERROR(VLOOKUP(Table_NFI[[#This Row],[Location]],CL,2,0),"")</f>
        <v>MMR001CMP040</v>
      </c>
      <c r="AZ259" s="524"/>
      <c r="DS259" s="181"/>
      <c r="DT259" s="181"/>
    </row>
    <row r="260" spans="2:124" hidden="1" x14ac:dyDescent="0.25">
      <c r="B260" s="530">
        <v>43228</v>
      </c>
      <c r="C260" s="530" t="str">
        <f>MONTH(Table_NFI[[#This Row],[Distribution Date]]) &amp; "/" &amp; YEAR(Table_NFI[[#This Row],[Distribution Date]])</f>
        <v>5/2018</v>
      </c>
      <c r="D260" s="628" t="s">
        <v>420</v>
      </c>
      <c r="E260" s="628" t="s">
        <v>424</v>
      </c>
      <c r="F260" s="628" t="s">
        <v>378</v>
      </c>
      <c r="G260" s="195" t="s">
        <v>309</v>
      </c>
      <c r="H260" s="217" t="s">
        <v>323</v>
      </c>
      <c r="I260" s="628"/>
      <c r="J260" s="628"/>
      <c r="K260" s="531"/>
      <c r="L260" s="628">
        <v>24</v>
      </c>
      <c r="M260" s="628"/>
      <c r="N260" s="628">
        <v>52</v>
      </c>
      <c r="O260" s="628">
        <v>24</v>
      </c>
      <c r="P260" s="628">
        <v>52</v>
      </c>
      <c r="Q260" s="628">
        <v>24</v>
      </c>
      <c r="R260" s="628"/>
      <c r="S260" s="628">
        <v>24</v>
      </c>
      <c r="T260" s="628">
        <v>89</v>
      </c>
      <c r="U260" s="629"/>
      <c r="V260" s="531"/>
      <c r="W260" s="531"/>
      <c r="X260" s="531"/>
      <c r="Y260" s="628">
        <v>24</v>
      </c>
      <c r="Z260" s="531"/>
      <c r="AA260" s="531"/>
      <c r="AB260" s="531"/>
      <c r="AC260" s="532" t="e">
        <f>IF(NFI_Expiration=1,IF(#REF!&lt;VLOOKUP(L$5,NFI,5,0),1,0)*Table_NFI[[#This Row],[NFI Core Kit]],Table_NFI[NFI Core Kit])</f>
        <v>#REF!</v>
      </c>
      <c r="AD260" s="532" t="e">
        <f>IF(NFI_Expiration=1,IF(#REF!&lt;VLOOKUP(M$5,NFI,5,0),1,0)*Table_NFI[[#This Row],[Sanitary Kit]],Table_NFI[Sanitary Kit])</f>
        <v>#REF!</v>
      </c>
      <c r="AE260" s="532" t="e">
        <f>IF(NFI_Expiration=1,IF(#REF!&lt;VLOOKUP(N$5,NFI,5,0),1,0)*Table_NFI[[#This Row],[Mosquito net]],Table_NFI[Mosquito net])</f>
        <v>#REF!</v>
      </c>
      <c r="AF260" s="532" t="e">
        <f>IF(NFI_Expiration=1,IF(#REF!&lt;VLOOKUP(O$5,NFI,5,0),1,0)*Table_NFI[[#This Row],[Tarpaulin]],Table_NFI[[#This Row],[Tarpaulin]])</f>
        <v>#REF!</v>
      </c>
      <c r="AG260" s="532" t="e">
        <f>IF(NFI_Expiration=1,IF(#REF!&lt;VLOOKUP(P$5,NFI,5,0),1,0)*Table_NFI[[#This Row],[Blanket]],Table_NFI[[#This Row],[Blanket]])</f>
        <v>#REF!</v>
      </c>
      <c r="AH260" s="532" t="e">
        <f>IF(NFI_Expiration=1,IF(#REF!&lt;VLOOKUP(Q$5,NFI,5,0),1,0)*Table_NFI[[#This Row],[Kitchen Set]],Table_NFI[Kitchen Set])</f>
        <v>#REF!</v>
      </c>
      <c r="AI260" s="532" t="e">
        <f>IF(NFI_Expiration=1,IF(#REF!&lt;VLOOKUP(R$5,NFI,5,0),1,0)*Table_NFI[[#This Row],[Clothes Kit]],Table_NFI[Clothes Kit])</f>
        <v>#REF!</v>
      </c>
      <c r="AJ260" s="532" t="e">
        <f>IF(NFI_Expiration=1,IF(#REF!&lt;VLOOKUP(S$5,NFI,5,0),1,0)*Table_NFI[[#This Row],[Plastic Bucket]],Table_NFI[Plastic Bucket])</f>
        <v>#REF!</v>
      </c>
      <c r="AK260" s="532" t="e">
        <f>IF(NFI_Expiration=1,IF(#REF!&lt;VLOOKUP(T$5,NFI,5,0),1,0)*Table_NFI[[#This Row],[Plastic Mat]],Table_NFI[Plastic Mat])*IF(Table_NFI[[#This Row],[Distribution Date]]&gt;"2014-04-01",1,2.5)</f>
        <v>#REF!</v>
      </c>
      <c r="AL260" s="532" t="e">
        <f>IF(NFI_Expiration=1,IF(#REF!&lt;VLOOKUP(U$5,NFI,5,0),1,0)*Table_NFI[[#This Row],[Winter Clothes Adult]],Table_NFI[Winter Clothes Adult])</f>
        <v>#REF!</v>
      </c>
      <c r="AM260" s="532"/>
      <c r="AN260" s="532"/>
      <c r="AO260" s="532"/>
      <c r="AP260" s="532">
        <f>IF(Table_NFI[[#This Row],[Winter Clothes Adult]]+Table_NFI[[#This Row],[Winter Clothes Children]]+Table_NFI[[#This Row],[Winter Items Other]]+Table_NFI[[#This Row],[Winter Blanket]]&gt;0,1,0)</f>
        <v>0</v>
      </c>
      <c r="AQ260" s="532"/>
      <c r="AR260" s="532"/>
      <c r="AS260" s="532"/>
      <c r="AT260" s="532"/>
      <c r="AU260" s="532"/>
      <c r="AV260" s="532"/>
      <c r="AW260" s="532"/>
      <c r="AX260" s="203" t="str">
        <f>IFERROR(VLOOKUP(Table_NFI[[#This Row],[Location]],CL,2,0),"")</f>
        <v>MMR001CMP040</v>
      </c>
      <c r="AZ260" s="524"/>
      <c r="DS260" s="181"/>
      <c r="DT260" s="181"/>
    </row>
    <row r="261" spans="2:124" hidden="1" x14ac:dyDescent="0.25">
      <c r="B261" s="530">
        <v>43231</v>
      </c>
      <c r="C261" s="530" t="str">
        <f>MONTH(Table_NFI[[#This Row],[Distribution Date]]) &amp; "/" &amp; YEAR(Table_NFI[[#This Row],[Distribution Date]])</f>
        <v>5/2018</v>
      </c>
      <c r="D261" s="628" t="s">
        <v>420</v>
      </c>
      <c r="E261" s="628" t="s">
        <v>462</v>
      </c>
      <c r="F261" s="628" t="s">
        <v>378</v>
      </c>
      <c r="G261" s="195" t="s">
        <v>309</v>
      </c>
      <c r="H261" s="217" t="s">
        <v>317</v>
      </c>
      <c r="I261" s="181"/>
      <c r="J261" s="531"/>
      <c r="K261" s="531"/>
      <c r="L261" s="628">
        <v>12</v>
      </c>
      <c r="M261" s="628">
        <v>9</v>
      </c>
      <c r="N261" s="628">
        <v>25</v>
      </c>
      <c r="O261" s="628">
        <v>12</v>
      </c>
      <c r="P261" s="628">
        <v>25</v>
      </c>
      <c r="Q261" s="628">
        <v>12</v>
      </c>
      <c r="R261" s="628"/>
      <c r="S261" s="628">
        <v>12</v>
      </c>
      <c r="T261" s="628">
        <v>34</v>
      </c>
      <c r="U261" s="629"/>
      <c r="V261" s="531"/>
      <c r="W261" s="531"/>
      <c r="X261" s="531"/>
      <c r="Y261" s="628">
        <v>12</v>
      </c>
      <c r="Z261" s="531"/>
      <c r="AA261" s="531"/>
      <c r="AB261" s="531"/>
      <c r="AC261" s="532" t="e">
        <f>IF(NFI_Expiration=1,IF(#REF!&lt;VLOOKUP(L$5,NFI,5,0),1,0)*Table_NFI[[#This Row],[NFI Core Kit]],Table_NFI[NFI Core Kit])</f>
        <v>#REF!</v>
      </c>
      <c r="AD261" s="532" t="e">
        <f>IF(NFI_Expiration=1,IF(#REF!&lt;VLOOKUP(M$5,NFI,5,0),1,0)*Table_NFI[[#This Row],[Sanitary Kit]],Table_NFI[Sanitary Kit])</f>
        <v>#REF!</v>
      </c>
      <c r="AE261" s="532" t="e">
        <f>IF(NFI_Expiration=1,IF(#REF!&lt;VLOOKUP(N$5,NFI,5,0),1,0)*Table_NFI[[#This Row],[Mosquito net]],Table_NFI[Mosquito net])</f>
        <v>#REF!</v>
      </c>
      <c r="AF261" s="532" t="e">
        <f>IF(NFI_Expiration=1,IF(#REF!&lt;VLOOKUP(O$5,NFI,5,0),1,0)*Table_NFI[[#This Row],[Tarpaulin]],Table_NFI[[#This Row],[Tarpaulin]])</f>
        <v>#REF!</v>
      </c>
      <c r="AG261" s="532" t="e">
        <f>IF(NFI_Expiration=1,IF(#REF!&lt;VLOOKUP(P$5,NFI,5,0),1,0)*Table_NFI[[#This Row],[Blanket]],Table_NFI[[#This Row],[Blanket]])</f>
        <v>#REF!</v>
      </c>
      <c r="AH261" s="532" t="e">
        <f>IF(NFI_Expiration=1,IF(#REF!&lt;VLOOKUP(Q$5,NFI,5,0),1,0)*Table_NFI[[#This Row],[Kitchen Set]],Table_NFI[Kitchen Set])</f>
        <v>#REF!</v>
      </c>
      <c r="AI261" s="532" t="e">
        <f>IF(NFI_Expiration=1,IF(#REF!&lt;VLOOKUP(R$5,NFI,5,0),1,0)*Table_NFI[[#This Row],[Clothes Kit]],Table_NFI[Clothes Kit])</f>
        <v>#REF!</v>
      </c>
      <c r="AJ261" s="532" t="e">
        <f>IF(NFI_Expiration=1,IF(#REF!&lt;VLOOKUP(S$5,NFI,5,0),1,0)*Table_NFI[[#This Row],[Plastic Bucket]],Table_NFI[Plastic Bucket])</f>
        <v>#REF!</v>
      </c>
      <c r="AK261" s="532" t="e">
        <f>IF(NFI_Expiration=1,IF(#REF!&lt;VLOOKUP(T$5,NFI,5,0),1,0)*Table_NFI[[#This Row],[Plastic Mat]],Table_NFI[Plastic Mat])*IF(Table_NFI[[#This Row],[Distribution Date]]&gt;"2014-04-01",1,2.5)</f>
        <v>#REF!</v>
      </c>
      <c r="AL261" s="532" t="e">
        <f>IF(NFI_Expiration=1,IF(#REF!&lt;VLOOKUP(U$5,NFI,5,0),1,0)*Table_NFI[[#This Row],[Winter Clothes Adult]],Table_NFI[Winter Clothes Adult])</f>
        <v>#REF!</v>
      </c>
      <c r="AM261" s="532"/>
      <c r="AN261" s="532"/>
      <c r="AO261" s="532"/>
      <c r="AP261" s="532">
        <f>IF(Table_NFI[[#This Row],[Winter Clothes Adult]]+Table_NFI[[#This Row],[Winter Clothes Children]]+Table_NFI[[#This Row],[Winter Items Other]]+Table_NFI[[#This Row],[Winter Blanket]]&gt;0,1,0)</f>
        <v>0</v>
      </c>
      <c r="AQ261" s="532"/>
      <c r="AR261" s="532"/>
      <c r="AS261" s="532"/>
      <c r="AT261" s="532"/>
      <c r="AU261" s="532"/>
      <c r="AV261" s="532"/>
      <c r="AW261" s="532"/>
      <c r="AX261" s="203" t="str">
        <f>IFERROR(VLOOKUP(Table_NFI[[#This Row],[Location]],CL,2,0),"")</f>
        <v>MMR001CMP032</v>
      </c>
      <c r="AZ261" s="524"/>
      <c r="DS261" s="181"/>
      <c r="DT261" s="181"/>
    </row>
    <row r="262" spans="2:124" hidden="1" x14ac:dyDescent="0.25">
      <c r="B262" s="530">
        <v>43231</v>
      </c>
      <c r="C262" s="530" t="str">
        <f>MONTH(Table_NFI[[#This Row],[Distribution Date]]) &amp; "/" &amp; YEAR(Table_NFI[[#This Row],[Distribution Date]])</f>
        <v>5/2018</v>
      </c>
      <c r="D262" s="628" t="s">
        <v>420</v>
      </c>
      <c r="E262" s="628" t="s">
        <v>462</v>
      </c>
      <c r="F262" s="628" t="s">
        <v>378</v>
      </c>
      <c r="G262" s="195" t="s">
        <v>309</v>
      </c>
      <c r="H262" s="217" t="s">
        <v>337</v>
      </c>
      <c r="I262" s="181"/>
      <c r="J262" s="531"/>
      <c r="K262" s="531"/>
      <c r="L262" s="628">
        <v>1</v>
      </c>
      <c r="M262" s="628">
        <v>1</v>
      </c>
      <c r="N262" s="628">
        <v>4</v>
      </c>
      <c r="O262" s="628">
        <v>1</v>
      </c>
      <c r="P262" s="628">
        <v>4</v>
      </c>
      <c r="Q262" s="628">
        <v>1</v>
      </c>
      <c r="R262" s="628"/>
      <c r="S262" s="628">
        <v>1</v>
      </c>
      <c r="T262" s="628">
        <v>7</v>
      </c>
      <c r="U262" s="629"/>
      <c r="V262" s="531"/>
      <c r="W262" s="531"/>
      <c r="X262" s="531"/>
      <c r="Y262" s="628">
        <v>1</v>
      </c>
      <c r="Z262" s="531"/>
      <c r="AA262" s="531"/>
      <c r="AB262" s="531"/>
      <c r="AC262" s="532" t="e">
        <f>IF(NFI_Expiration=1,IF(#REF!&lt;VLOOKUP(L$5,NFI,5,0),1,0)*Table_NFI[[#This Row],[NFI Core Kit]],Table_NFI[NFI Core Kit])</f>
        <v>#REF!</v>
      </c>
      <c r="AD262" s="532" t="e">
        <f>IF(NFI_Expiration=1,IF(#REF!&lt;VLOOKUP(M$5,NFI,5,0),1,0)*Table_NFI[[#This Row],[Sanitary Kit]],Table_NFI[Sanitary Kit])</f>
        <v>#REF!</v>
      </c>
      <c r="AE262" s="532" t="e">
        <f>IF(NFI_Expiration=1,IF(#REF!&lt;VLOOKUP(N$5,NFI,5,0),1,0)*Table_NFI[[#This Row],[Mosquito net]],Table_NFI[Mosquito net])</f>
        <v>#REF!</v>
      </c>
      <c r="AF262" s="532" t="e">
        <f>IF(NFI_Expiration=1,IF(#REF!&lt;VLOOKUP(O$5,NFI,5,0),1,0)*Table_NFI[[#This Row],[Tarpaulin]],Table_NFI[[#This Row],[Tarpaulin]])</f>
        <v>#REF!</v>
      </c>
      <c r="AG262" s="532" t="e">
        <f>IF(NFI_Expiration=1,IF(#REF!&lt;VLOOKUP(P$5,NFI,5,0),1,0)*Table_NFI[[#This Row],[Blanket]],Table_NFI[[#This Row],[Blanket]])</f>
        <v>#REF!</v>
      </c>
      <c r="AH262" s="532" t="e">
        <f>IF(NFI_Expiration=1,IF(#REF!&lt;VLOOKUP(Q$5,NFI,5,0),1,0)*Table_NFI[[#This Row],[Kitchen Set]],Table_NFI[Kitchen Set])</f>
        <v>#REF!</v>
      </c>
      <c r="AI262" s="532" t="e">
        <f>IF(NFI_Expiration=1,IF(#REF!&lt;VLOOKUP(R$5,NFI,5,0),1,0)*Table_NFI[[#This Row],[Clothes Kit]],Table_NFI[Clothes Kit])</f>
        <v>#REF!</v>
      </c>
      <c r="AJ262" s="532" t="e">
        <f>IF(NFI_Expiration=1,IF(#REF!&lt;VLOOKUP(S$5,NFI,5,0),1,0)*Table_NFI[[#This Row],[Plastic Bucket]],Table_NFI[Plastic Bucket])</f>
        <v>#REF!</v>
      </c>
      <c r="AK262" s="532" t="e">
        <f>IF(NFI_Expiration=1,IF(#REF!&lt;VLOOKUP(T$5,NFI,5,0),1,0)*Table_NFI[[#This Row],[Plastic Mat]],Table_NFI[Plastic Mat])*IF(Table_NFI[[#This Row],[Distribution Date]]&gt;"2014-04-01",1,2.5)</f>
        <v>#REF!</v>
      </c>
      <c r="AL262" s="532" t="e">
        <f>IF(NFI_Expiration=1,IF(#REF!&lt;VLOOKUP(U$5,NFI,5,0),1,0)*Table_NFI[[#This Row],[Winter Clothes Adult]],Table_NFI[Winter Clothes Adult])</f>
        <v>#REF!</v>
      </c>
      <c r="AM262" s="532"/>
      <c r="AN262" s="532"/>
      <c r="AO262" s="532"/>
      <c r="AP262" s="532">
        <f>IF(Table_NFI[[#This Row],[Winter Clothes Adult]]+Table_NFI[[#This Row],[Winter Clothes Children]]+Table_NFI[[#This Row],[Winter Items Other]]+Table_NFI[[#This Row],[Winter Blanket]]&gt;0,1,0)</f>
        <v>0</v>
      </c>
      <c r="AQ262" s="532"/>
      <c r="AR262" s="532"/>
      <c r="AS262" s="532"/>
      <c r="AT262" s="532"/>
      <c r="AU262" s="532"/>
      <c r="AV262" s="532"/>
      <c r="AW262" s="532"/>
      <c r="AX262" s="203" t="str">
        <f>IFERROR(VLOOKUP(Table_NFI[[#This Row],[Location]],CL,2,0),"")</f>
        <v>MMR001CMP030</v>
      </c>
      <c r="AZ262" s="524"/>
      <c r="DS262" s="181"/>
      <c r="DT262" s="181"/>
    </row>
    <row r="263" spans="2:124" hidden="1" x14ac:dyDescent="0.25">
      <c r="B263" s="530">
        <v>43231</v>
      </c>
      <c r="C263" s="530" t="str">
        <f>MONTH(Table_NFI[[#This Row],[Distribution Date]]) &amp; "/" &amp; YEAR(Table_NFI[[#This Row],[Distribution Date]])</f>
        <v>5/2018</v>
      </c>
      <c r="D263" s="628" t="s">
        <v>420</v>
      </c>
      <c r="E263" s="628" t="s">
        <v>462</v>
      </c>
      <c r="F263" s="628" t="s">
        <v>378</v>
      </c>
      <c r="G263" s="195" t="s">
        <v>309</v>
      </c>
      <c r="H263" s="217" t="s">
        <v>315</v>
      </c>
      <c r="I263" s="181"/>
      <c r="J263" s="531"/>
      <c r="K263" s="531"/>
      <c r="L263" s="628">
        <v>1</v>
      </c>
      <c r="M263" s="628">
        <v>1</v>
      </c>
      <c r="N263" s="628">
        <v>3</v>
      </c>
      <c r="O263" s="628">
        <v>1</v>
      </c>
      <c r="P263" s="628">
        <v>3</v>
      </c>
      <c r="Q263" s="628">
        <v>1</v>
      </c>
      <c r="R263" s="628"/>
      <c r="S263" s="628">
        <v>1</v>
      </c>
      <c r="T263" s="628">
        <v>4</v>
      </c>
      <c r="U263" s="629"/>
      <c r="V263" s="531"/>
      <c r="W263" s="531"/>
      <c r="X263" s="531"/>
      <c r="Y263" s="628">
        <v>1</v>
      </c>
      <c r="Z263" s="531"/>
      <c r="AA263" s="531"/>
      <c r="AB263" s="531"/>
      <c r="AC263" s="532" t="e">
        <f>IF(NFI_Expiration=1,IF(#REF!&lt;VLOOKUP(L$5,NFI,5,0),1,0)*Table_NFI[[#This Row],[NFI Core Kit]],Table_NFI[NFI Core Kit])</f>
        <v>#REF!</v>
      </c>
      <c r="AD263" s="532" t="e">
        <f>IF(NFI_Expiration=1,IF(#REF!&lt;VLOOKUP(M$5,NFI,5,0),1,0)*Table_NFI[[#This Row],[Sanitary Kit]],Table_NFI[Sanitary Kit])</f>
        <v>#REF!</v>
      </c>
      <c r="AE263" s="532" t="e">
        <f>IF(NFI_Expiration=1,IF(#REF!&lt;VLOOKUP(N$5,NFI,5,0),1,0)*Table_NFI[[#This Row],[Mosquito net]],Table_NFI[Mosquito net])</f>
        <v>#REF!</v>
      </c>
      <c r="AF263" s="532" t="e">
        <f>IF(NFI_Expiration=1,IF(#REF!&lt;VLOOKUP(O$5,NFI,5,0),1,0)*Table_NFI[[#This Row],[Tarpaulin]],Table_NFI[[#This Row],[Tarpaulin]])</f>
        <v>#REF!</v>
      </c>
      <c r="AG263" s="532" t="e">
        <f>IF(NFI_Expiration=1,IF(#REF!&lt;VLOOKUP(P$5,NFI,5,0),1,0)*Table_NFI[[#This Row],[Blanket]],Table_NFI[[#This Row],[Blanket]])</f>
        <v>#REF!</v>
      </c>
      <c r="AH263" s="532" t="e">
        <f>IF(NFI_Expiration=1,IF(#REF!&lt;VLOOKUP(Q$5,NFI,5,0),1,0)*Table_NFI[[#This Row],[Kitchen Set]],Table_NFI[Kitchen Set])</f>
        <v>#REF!</v>
      </c>
      <c r="AI263" s="532" t="e">
        <f>IF(NFI_Expiration=1,IF(#REF!&lt;VLOOKUP(R$5,NFI,5,0),1,0)*Table_NFI[[#This Row],[Clothes Kit]],Table_NFI[Clothes Kit])</f>
        <v>#REF!</v>
      </c>
      <c r="AJ263" s="532" t="e">
        <f>IF(NFI_Expiration=1,IF(#REF!&lt;VLOOKUP(S$5,NFI,5,0),1,0)*Table_NFI[[#This Row],[Plastic Bucket]],Table_NFI[Plastic Bucket])</f>
        <v>#REF!</v>
      </c>
      <c r="AK263" s="532" t="e">
        <f>IF(NFI_Expiration=1,IF(#REF!&lt;VLOOKUP(T$5,NFI,5,0),1,0)*Table_NFI[[#This Row],[Plastic Mat]],Table_NFI[Plastic Mat])*IF(Table_NFI[[#This Row],[Distribution Date]]&gt;"2014-04-01",1,2.5)</f>
        <v>#REF!</v>
      </c>
      <c r="AL263" s="532" t="e">
        <f>IF(NFI_Expiration=1,IF(#REF!&lt;VLOOKUP(U$5,NFI,5,0),1,0)*Table_NFI[[#This Row],[Winter Clothes Adult]],Table_NFI[Winter Clothes Adult])</f>
        <v>#REF!</v>
      </c>
      <c r="AM263" s="532"/>
      <c r="AN263" s="532"/>
      <c r="AO263" s="532"/>
      <c r="AP263" s="532">
        <f>IF(Table_NFI[[#This Row],[Winter Clothes Adult]]+Table_NFI[[#This Row],[Winter Clothes Children]]+Table_NFI[[#This Row],[Winter Items Other]]+Table_NFI[[#This Row],[Winter Blanket]]&gt;0,1,0)</f>
        <v>0</v>
      </c>
      <c r="AQ263" s="532"/>
      <c r="AR263" s="532"/>
      <c r="AS263" s="532"/>
      <c r="AT263" s="532"/>
      <c r="AU263" s="532"/>
      <c r="AV263" s="532"/>
      <c r="AW263" s="532"/>
      <c r="AX263" s="203" t="str">
        <f>IFERROR(VLOOKUP(Table_NFI[[#This Row],[Location]],CL,2,0),"")</f>
        <v>MMR001CMP038</v>
      </c>
      <c r="AZ263" s="524"/>
      <c r="DS263" s="181"/>
      <c r="DT263" s="181"/>
    </row>
    <row r="264" spans="2:124" hidden="1" x14ac:dyDescent="0.25">
      <c r="B264" s="530">
        <v>43245</v>
      </c>
      <c r="C264" s="530" t="str">
        <f>MONTH(Table_NFI[[#This Row],[Distribution Date]]) &amp; "/" &amp; YEAR(Table_NFI[[#This Row],[Distribution Date]])</f>
        <v>5/2018</v>
      </c>
      <c r="D264" s="628" t="s">
        <v>420</v>
      </c>
      <c r="E264" s="628" t="s">
        <v>462</v>
      </c>
      <c r="F264" s="628" t="s">
        <v>378</v>
      </c>
      <c r="G264" s="195" t="s">
        <v>309</v>
      </c>
      <c r="H264" s="217" t="s">
        <v>327</v>
      </c>
      <c r="I264" s="181"/>
      <c r="J264" s="531"/>
      <c r="K264" s="531"/>
      <c r="L264" s="628">
        <v>10</v>
      </c>
      <c r="M264" s="628"/>
      <c r="N264" s="628">
        <v>33</v>
      </c>
      <c r="O264" s="628">
        <v>10</v>
      </c>
      <c r="P264" s="628">
        <v>33</v>
      </c>
      <c r="Q264" s="628">
        <v>10</v>
      </c>
      <c r="R264" s="628"/>
      <c r="S264" s="628">
        <v>10</v>
      </c>
      <c r="T264" s="628">
        <v>57</v>
      </c>
      <c r="U264" s="629"/>
      <c r="V264" s="628"/>
      <c r="W264" s="628"/>
      <c r="X264" s="628"/>
      <c r="Y264" s="628">
        <v>10</v>
      </c>
      <c r="Z264" s="531"/>
      <c r="AA264" s="531"/>
      <c r="AB264" s="531"/>
      <c r="AC264" s="532" t="e">
        <f>IF(NFI_Expiration=1,IF(#REF!&lt;VLOOKUP(L$5,NFI,5,0),1,0)*Table_NFI[[#This Row],[NFI Core Kit]],Table_NFI[NFI Core Kit])</f>
        <v>#REF!</v>
      </c>
      <c r="AD264" s="532" t="e">
        <f>IF(NFI_Expiration=1,IF(#REF!&lt;VLOOKUP(M$5,NFI,5,0),1,0)*Table_NFI[[#This Row],[Sanitary Kit]],Table_NFI[Sanitary Kit])</f>
        <v>#REF!</v>
      </c>
      <c r="AE264" s="532" t="e">
        <f>IF(NFI_Expiration=1,IF(#REF!&lt;VLOOKUP(N$5,NFI,5,0),1,0)*Table_NFI[[#This Row],[Mosquito net]],Table_NFI[Mosquito net])</f>
        <v>#REF!</v>
      </c>
      <c r="AF264" s="532" t="e">
        <f>IF(NFI_Expiration=1,IF(#REF!&lt;VLOOKUP(O$5,NFI,5,0),1,0)*Table_NFI[[#This Row],[Tarpaulin]],Table_NFI[[#This Row],[Tarpaulin]])</f>
        <v>#REF!</v>
      </c>
      <c r="AG264" s="532" t="e">
        <f>IF(NFI_Expiration=1,IF(#REF!&lt;VLOOKUP(P$5,NFI,5,0),1,0)*Table_NFI[[#This Row],[Blanket]],Table_NFI[[#This Row],[Blanket]])</f>
        <v>#REF!</v>
      </c>
      <c r="AH264" s="532" t="e">
        <f>IF(NFI_Expiration=1,IF(#REF!&lt;VLOOKUP(Q$5,NFI,5,0),1,0)*Table_NFI[[#This Row],[Kitchen Set]],Table_NFI[Kitchen Set])</f>
        <v>#REF!</v>
      </c>
      <c r="AI264" s="532" t="e">
        <f>IF(NFI_Expiration=1,IF(#REF!&lt;VLOOKUP(R$5,NFI,5,0),1,0)*Table_NFI[[#This Row],[Clothes Kit]],Table_NFI[Clothes Kit])</f>
        <v>#REF!</v>
      </c>
      <c r="AJ264" s="532" t="e">
        <f>IF(NFI_Expiration=1,IF(#REF!&lt;VLOOKUP(S$5,NFI,5,0),1,0)*Table_NFI[[#This Row],[Plastic Bucket]],Table_NFI[Plastic Bucket])</f>
        <v>#REF!</v>
      </c>
      <c r="AK264" s="532" t="e">
        <f>IF(NFI_Expiration=1,IF(#REF!&lt;VLOOKUP(T$5,NFI,5,0),1,0)*Table_NFI[[#This Row],[Plastic Mat]],Table_NFI[Plastic Mat])*IF(Table_NFI[[#This Row],[Distribution Date]]&gt;"2014-04-01",1,2.5)</f>
        <v>#REF!</v>
      </c>
      <c r="AL264" s="532" t="e">
        <f>IF(NFI_Expiration=1,IF(#REF!&lt;VLOOKUP(U$5,NFI,5,0),1,0)*Table_NFI[[#This Row],[Winter Clothes Adult]],Table_NFI[Winter Clothes Adult])</f>
        <v>#REF!</v>
      </c>
      <c r="AM264" s="532"/>
      <c r="AN264" s="532"/>
      <c r="AO264" s="532"/>
      <c r="AP264" s="532">
        <f>IF(Table_NFI[[#This Row],[Winter Clothes Adult]]+Table_NFI[[#This Row],[Winter Clothes Children]]+Table_NFI[[#This Row],[Winter Items Other]]+Table_NFI[[#This Row],[Winter Blanket]]&gt;0,1,0)</f>
        <v>0</v>
      </c>
      <c r="AQ264" s="532"/>
      <c r="AR264" s="532"/>
      <c r="AS264" s="532"/>
      <c r="AT264" s="532"/>
      <c r="AU264" s="532"/>
      <c r="AV264" s="532"/>
      <c r="AW264" s="532"/>
      <c r="AX264" s="203" t="str">
        <f>IFERROR(VLOOKUP(Table_NFI[[#This Row],[Location]],CL,2,0),"")</f>
        <v>MMR001CMP031</v>
      </c>
      <c r="AZ264" s="524"/>
      <c r="DS264" s="181"/>
      <c r="DT264" s="181"/>
    </row>
    <row r="265" spans="2:124" hidden="1" x14ac:dyDescent="0.25">
      <c r="B265" s="530">
        <v>43245</v>
      </c>
      <c r="C265" s="530" t="str">
        <f>MONTH(Table_NFI[[#This Row],[Distribution Date]]) &amp; "/" &amp; YEAR(Table_NFI[[#This Row],[Distribution Date]])</f>
        <v>5/2018</v>
      </c>
      <c r="D265" s="628" t="s">
        <v>420</v>
      </c>
      <c r="E265" s="628" t="s">
        <v>462</v>
      </c>
      <c r="F265" s="628" t="s">
        <v>378</v>
      </c>
      <c r="G265" s="195" t="s">
        <v>309</v>
      </c>
      <c r="H265" s="217" t="s">
        <v>317</v>
      </c>
      <c r="I265" s="181"/>
      <c r="J265" s="531"/>
      <c r="K265" s="531"/>
      <c r="L265" s="628">
        <v>7</v>
      </c>
      <c r="M265" s="628"/>
      <c r="N265" s="628">
        <v>12</v>
      </c>
      <c r="O265" s="628">
        <v>7</v>
      </c>
      <c r="P265" s="628">
        <v>12</v>
      </c>
      <c r="Q265" s="628">
        <v>7</v>
      </c>
      <c r="R265" s="628"/>
      <c r="S265" s="628">
        <v>7</v>
      </c>
      <c r="T265" s="628">
        <v>16</v>
      </c>
      <c r="U265" s="629"/>
      <c r="V265" s="628"/>
      <c r="W265" s="628"/>
      <c r="X265" s="628"/>
      <c r="Y265" s="628">
        <v>7</v>
      </c>
      <c r="Z265" s="531"/>
      <c r="AA265" s="531"/>
      <c r="AB265" s="531"/>
      <c r="AC265" s="532" t="e">
        <f>IF(NFI_Expiration=1,IF(#REF!&lt;VLOOKUP(L$5,NFI,5,0),1,0)*Table_NFI[[#This Row],[NFI Core Kit]],Table_NFI[NFI Core Kit])</f>
        <v>#REF!</v>
      </c>
      <c r="AD265" s="532" t="e">
        <f>IF(NFI_Expiration=1,IF(#REF!&lt;VLOOKUP(M$5,NFI,5,0),1,0)*Table_NFI[[#This Row],[Sanitary Kit]],Table_NFI[Sanitary Kit])</f>
        <v>#REF!</v>
      </c>
      <c r="AE265" s="532" t="e">
        <f>IF(NFI_Expiration=1,IF(#REF!&lt;VLOOKUP(N$5,NFI,5,0),1,0)*Table_NFI[[#This Row],[Mosquito net]],Table_NFI[Mosquito net])</f>
        <v>#REF!</v>
      </c>
      <c r="AF265" s="532" t="e">
        <f>IF(NFI_Expiration=1,IF(#REF!&lt;VLOOKUP(O$5,NFI,5,0),1,0)*Table_NFI[[#This Row],[Tarpaulin]],Table_NFI[[#This Row],[Tarpaulin]])</f>
        <v>#REF!</v>
      </c>
      <c r="AG265" s="532" t="e">
        <f>IF(NFI_Expiration=1,IF(#REF!&lt;VLOOKUP(P$5,NFI,5,0),1,0)*Table_NFI[[#This Row],[Blanket]],Table_NFI[[#This Row],[Blanket]])</f>
        <v>#REF!</v>
      </c>
      <c r="AH265" s="532" t="e">
        <f>IF(NFI_Expiration=1,IF(#REF!&lt;VLOOKUP(Q$5,NFI,5,0),1,0)*Table_NFI[[#This Row],[Kitchen Set]],Table_NFI[Kitchen Set])</f>
        <v>#REF!</v>
      </c>
      <c r="AI265" s="532" t="e">
        <f>IF(NFI_Expiration=1,IF(#REF!&lt;VLOOKUP(R$5,NFI,5,0),1,0)*Table_NFI[[#This Row],[Clothes Kit]],Table_NFI[Clothes Kit])</f>
        <v>#REF!</v>
      </c>
      <c r="AJ265" s="532" t="e">
        <f>IF(NFI_Expiration=1,IF(#REF!&lt;VLOOKUP(S$5,NFI,5,0),1,0)*Table_NFI[[#This Row],[Plastic Bucket]],Table_NFI[Plastic Bucket])</f>
        <v>#REF!</v>
      </c>
      <c r="AK265" s="532" t="e">
        <f>IF(NFI_Expiration=1,IF(#REF!&lt;VLOOKUP(T$5,NFI,5,0),1,0)*Table_NFI[[#This Row],[Plastic Mat]],Table_NFI[Plastic Mat])*IF(Table_NFI[[#This Row],[Distribution Date]]&gt;"2014-04-01",1,2.5)</f>
        <v>#REF!</v>
      </c>
      <c r="AL265" s="532" t="e">
        <f>IF(NFI_Expiration=1,IF(#REF!&lt;VLOOKUP(U$5,NFI,5,0),1,0)*Table_NFI[[#This Row],[Winter Clothes Adult]],Table_NFI[Winter Clothes Adult])</f>
        <v>#REF!</v>
      </c>
      <c r="AM265" s="532"/>
      <c r="AN265" s="532"/>
      <c r="AO265" s="532"/>
      <c r="AP265" s="532">
        <f>IF(Table_NFI[[#This Row],[Winter Clothes Adult]]+Table_NFI[[#This Row],[Winter Clothes Children]]+Table_NFI[[#This Row],[Winter Items Other]]+Table_NFI[[#This Row],[Winter Blanket]]&gt;0,1,0)</f>
        <v>0</v>
      </c>
      <c r="AQ265" s="532"/>
      <c r="AR265" s="532"/>
      <c r="AS265" s="532"/>
      <c r="AT265" s="532"/>
      <c r="AU265" s="532"/>
      <c r="AV265" s="532"/>
      <c r="AW265" s="532"/>
      <c r="AX265" s="203" t="str">
        <f>IFERROR(VLOOKUP(Table_NFI[[#This Row],[Location]],CL,2,0),"")</f>
        <v>MMR001CMP032</v>
      </c>
      <c r="AZ265" s="524"/>
      <c r="DS265" s="181"/>
      <c r="DT265" s="181"/>
    </row>
    <row r="266" spans="2:124" hidden="1" x14ac:dyDescent="0.25">
      <c r="B266" s="530">
        <v>43244</v>
      </c>
      <c r="C266" s="530" t="str">
        <f>MONTH(Table_NFI[[#This Row],[Distribution Date]]) &amp; "/" &amp; YEAR(Table_NFI[[#This Row],[Distribution Date]])</f>
        <v>5/2018</v>
      </c>
      <c r="D266" s="196" t="s">
        <v>420</v>
      </c>
      <c r="E266" s="196" t="s">
        <v>1302</v>
      </c>
      <c r="F266" s="196" t="s">
        <v>378</v>
      </c>
      <c r="G266" s="195" t="s">
        <v>237</v>
      </c>
      <c r="H266" s="217" t="s">
        <v>272</v>
      </c>
      <c r="I266" s="181"/>
      <c r="J266" s="531"/>
      <c r="K266" s="531"/>
      <c r="L266" s="628">
        <v>21</v>
      </c>
      <c r="M266" s="628"/>
      <c r="N266" s="628">
        <v>61</v>
      </c>
      <c r="O266" s="628">
        <v>21</v>
      </c>
      <c r="P266" s="628">
        <v>65</v>
      </c>
      <c r="Q266" s="628">
        <v>21</v>
      </c>
      <c r="R266" s="628"/>
      <c r="S266" s="637">
        <v>21</v>
      </c>
      <c r="T266" s="637">
        <v>106</v>
      </c>
      <c r="U266" s="629"/>
      <c r="V266" s="628"/>
      <c r="W266" s="628"/>
      <c r="X266" s="628"/>
      <c r="Y266" s="637">
        <v>21</v>
      </c>
      <c r="Z266" s="531"/>
      <c r="AA266" s="531"/>
      <c r="AB266" s="531"/>
      <c r="AC266" s="532" t="e">
        <f>IF(NFI_Expiration=1,IF(#REF!&lt;VLOOKUP(L$5,NFI,5,0),1,0)*Table_NFI[[#This Row],[NFI Core Kit]],Table_NFI[NFI Core Kit])</f>
        <v>#REF!</v>
      </c>
      <c r="AD266" s="532" t="e">
        <f>IF(NFI_Expiration=1,IF(#REF!&lt;VLOOKUP(M$5,NFI,5,0),1,0)*Table_NFI[[#This Row],[Sanitary Kit]],Table_NFI[Sanitary Kit])</f>
        <v>#REF!</v>
      </c>
      <c r="AE266" s="532" t="e">
        <f>IF(NFI_Expiration=1,IF(#REF!&lt;VLOOKUP(N$5,NFI,5,0),1,0)*Table_NFI[[#This Row],[Mosquito net]],Table_NFI[Mosquito net])</f>
        <v>#REF!</v>
      </c>
      <c r="AF266" s="532" t="e">
        <f>IF(NFI_Expiration=1,IF(#REF!&lt;VLOOKUP(O$5,NFI,5,0),1,0)*Table_NFI[[#This Row],[Tarpaulin]],Table_NFI[[#This Row],[Tarpaulin]])</f>
        <v>#REF!</v>
      </c>
      <c r="AG266" s="532" t="e">
        <f>IF(NFI_Expiration=1,IF(#REF!&lt;VLOOKUP(P$5,NFI,5,0),1,0)*Table_NFI[[#This Row],[Blanket]],Table_NFI[[#This Row],[Blanket]])</f>
        <v>#REF!</v>
      </c>
      <c r="AH266" s="532" t="e">
        <f>IF(NFI_Expiration=1,IF(#REF!&lt;VLOOKUP(Q$5,NFI,5,0),1,0)*Table_NFI[[#This Row],[Kitchen Set]],Table_NFI[Kitchen Set])</f>
        <v>#REF!</v>
      </c>
      <c r="AI266" s="532" t="e">
        <f>IF(NFI_Expiration=1,IF(#REF!&lt;VLOOKUP(R$5,NFI,5,0),1,0)*Table_NFI[[#This Row],[Clothes Kit]],Table_NFI[Clothes Kit])</f>
        <v>#REF!</v>
      </c>
      <c r="AJ266" s="532" t="e">
        <f>IF(NFI_Expiration=1,IF(#REF!&lt;VLOOKUP(S$5,NFI,5,0),1,0)*Table_NFI[[#This Row],[Plastic Bucket]],Table_NFI[Plastic Bucket])</f>
        <v>#REF!</v>
      </c>
      <c r="AK266" s="532" t="e">
        <f>IF(NFI_Expiration=1,IF(#REF!&lt;VLOOKUP(T$5,NFI,5,0),1,0)*Table_NFI[[#This Row],[Plastic Mat]],Table_NFI[Plastic Mat])*IF(Table_NFI[[#This Row],[Distribution Date]]&gt;"2014-04-01",1,2.5)</f>
        <v>#REF!</v>
      </c>
      <c r="AL266" s="532" t="e">
        <f>IF(NFI_Expiration=1,IF(#REF!&lt;VLOOKUP(U$5,NFI,5,0),1,0)*Table_NFI[[#This Row],[Winter Clothes Adult]],Table_NFI[Winter Clothes Adult])</f>
        <v>#REF!</v>
      </c>
      <c r="AM266" s="532"/>
      <c r="AN266" s="532"/>
      <c r="AO266" s="532"/>
      <c r="AP266" s="532">
        <f>IF(Table_NFI[[#This Row],[Winter Clothes Adult]]+Table_NFI[[#This Row],[Winter Clothes Children]]+Table_NFI[[#This Row],[Winter Items Other]]+Table_NFI[[#This Row],[Winter Blanket]]&gt;0,1,0)</f>
        <v>0</v>
      </c>
      <c r="AQ266" s="532"/>
      <c r="AR266" s="532"/>
      <c r="AS266" s="532"/>
      <c r="AT266" s="532"/>
      <c r="AU266" s="532"/>
      <c r="AV266" s="532"/>
      <c r="AW266" s="532"/>
      <c r="AX266" s="203" t="str">
        <f>IFERROR(VLOOKUP(Table_NFI[[#This Row],[Location]],CL,2,0),"")</f>
        <v>MMR001CMP162</v>
      </c>
      <c r="AZ266" s="524"/>
      <c r="DS266" s="181"/>
      <c r="DT266" s="181"/>
    </row>
    <row r="267" spans="2:124" hidden="1" x14ac:dyDescent="0.25">
      <c r="B267" s="530">
        <v>43238</v>
      </c>
      <c r="C267" s="530" t="str">
        <f>MONTH(Table_NFI[[#This Row],[Distribution Date]]) &amp; "/" &amp; YEAR(Table_NFI[[#This Row],[Distribution Date]])</f>
        <v>5/2018</v>
      </c>
      <c r="D267" s="196" t="s">
        <v>420</v>
      </c>
      <c r="E267" s="196" t="s">
        <v>1302</v>
      </c>
      <c r="F267" s="196" t="s">
        <v>378</v>
      </c>
      <c r="G267" s="195" t="s">
        <v>309</v>
      </c>
      <c r="H267" s="217" t="s">
        <v>329</v>
      </c>
      <c r="I267" s="181"/>
      <c r="J267" s="531"/>
      <c r="K267" s="531"/>
      <c r="L267" s="628">
        <v>52</v>
      </c>
      <c r="M267" s="628"/>
      <c r="N267" s="628">
        <v>153</v>
      </c>
      <c r="O267" s="628">
        <v>52</v>
      </c>
      <c r="P267" s="628">
        <v>157</v>
      </c>
      <c r="Q267" s="628">
        <v>52</v>
      </c>
      <c r="R267" s="628"/>
      <c r="S267" s="637">
        <v>52</v>
      </c>
      <c r="T267" s="637">
        <v>274</v>
      </c>
      <c r="U267" s="629"/>
      <c r="V267" s="628"/>
      <c r="W267" s="628"/>
      <c r="X267" s="628"/>
      <c r="Y267" s="637">
        <v>52</v>
      </c>
      <c r="Z267" s="531"/>
      <c r="AA267" s="531"/>
      <c r="AB267" s="531"/>
      <c r="AC267" s="532" t="e">
        <f>IF(NFI_Expiration=1,IF(#REF!&lt;VLOOKUP(L$5,NFI,5,0),1,0)*Table_NFI[[#This Row],[NFI Core Kit]],Table_NFI[NFI Core Kit])</f>
        <v>#REF!</v>
      </c>
      <c r="AD267" s="532" t="e">
        <f>IF(NFI_Expiration=1,IF(#REF!&lt;VLOOKUP(M$5,NFI,5,0),1,0)*Table_NFI[[#This Row],[Sanitary Kit]],Table_NFI[Sanitary Kit])</f>
        <v>#REF!</v>
      </c>
      <c r="AE267" s="532" t="e">
        <f>IF(NFI_Expiration=1,IF(#REF!&lt;VLOOKUP(N$5,NFI,5,0),1,0)*Table_NFI[[#This Row],[Mosquito net]],Table_NFI[Mosquito net])</f>
        <v>#REF!</v>
      </c>
      <c r="AF267" s="532" t="e">
        <f>IF(NFI_Expiration=1,IF(#REF!&lt;VLOOKUP(O$5,NFI,5,0),1,0)*Table_NFI[[#This Row],[Tarpaulin]],Table_NFI[[#This Row],[Tarpaulin]])</f>
        <v>#REF!</v>
      </c>
      <c r="AG267" s="532" t="e">
        <f>IF(NFI_Expiration=1,IF(#REF!&lt;VLOOKUP(P$5,NFI,5,0),1,0)*Table_NFI[[#This Row],[Blanket]],Table_NFI[[#This Row],[Blanket]])</f>
        <v>#REF!</v>
      </c>
      <c r="AH267" s="532" t="e">
        <f>IF(NFI_Expiration=1,IF(#REF!&lt;VLOOKUP(Q$5,NFI,5,0),1,0)*Table_NFI[[#This Row],[Kitchen Set]],Table_NFI[Kitchen Set])</f>
        <v>#REF!</v>
      </c>
      <c r="AI267" s="532" t="e">
        <f>IF(NFI_Expiration=1,IF(#REF!&lt;VLOOKUP(R$5,NFI,5,0),1,0)*Table_NFI[[#This Row],[Clothes Kit]],Table_NFI[Clothes Kit])</f>
        <v>#REF!</v>
      </c>
      <c r="AJ267" s="532" t="e">
        <f>IF(NFI_Expiration=1,IF(#REF!&lt;VLOOKUP(S$5,NFI,5,0),1,0)*Table_NFI[[#This Row],[Plastic Bucket]],Table_NFI[Plastic Bucket])</f>
        <v>#REF!</v>
      </c>
      <c r="AK267" s="532" t="e">
        <f>IF(NFI_Expiration=1,IF(#REF!&lt;VLOOKUP(T$5,NFI,5,0),1,0)*Table_NFI[[#This Row],[Plastic Mat]],Table_NFI[Plastic Mat])*IF(Table_NFI[[#This Row],[Distribution Date]]&gt;"2014-04-01",1,2.5)</f>
        <v>#REF!</v>
      </c>
      <c r="AL267" s="532" t="e">
        <f>IF(NFI_Expiration=1,IF(#REF!&lt;VLOOKUP(U$5,NFI,5,0),1,0)*Table_NFI[[#This Row],[Winter Clothes Adult]],Table_NFI[Winter Clothes Adult])</f>
        <v>#REF!</v>
      </c>
      <c r="AM267" s="532"/>
      <c r="AN267" s="532"/>
      <c r="AO267" s="532"/>
      <c r="AP267" s="532">
        <f>IF(Table_NFI[[#This Row],[Winter Clothes Adult]]+Table_NFI[[#This Row],[Winter Clothes Children]]+Table_NFI[[#This Row],[Winter Items Other]]+Table_NFI[[#This Row],[Winter Blanket]]&gt;0,1,0)</f>
        <v>0</v>
      </c>
      <c r="AQ267" s="532"/>
      <c r="AR267" s="532"/>
      <c r="AS267" s="532"/>
      <c r="AT267" s="532"/>
      <c r="AU267" s="532"/>
      <c r="AV267" s="532"/>
      <c r="AW267" s="532"/>
      <c r="AX267" s="203" t="str">
        <f>IFERROR(VLOOKUP(Table_NFI[[#This Row],[Location]],CL,2,0),"")</f>
        <v>MMR001CMP029</v>
      </c>
      <c r="AZ267" s="524"/>
      <c r="DS267" s="181"/>
      <c r="DT267" s="181"/>
    </row>
    <row r="268" spans="2:124" hidden="1" x14ac:dyDescent="0.3">
      <c r="B268" s="530">
        <v>43221</v>
      </c>
      <c r="C268" s="530" t="str">
        <f>MONTH(Table_NFI[[#This Row],[Distribution Date]]) &amp; "/" &amp; YEAR(Table_NFI[[#This Row],[Distribution Date]])</f>
        <v>5/2018</v>
      </c>
      <c r="D268" s="196" t="s">
        <v>420</v>
      </c>
      <c r="E268" s="196" t="s">
        <v>1302</v>
      </c>
      <c r="F268" s="196" t="s">
        <v>378</v>
      </c>
      <c r="G268" s="195" t="s">
        <v>309</v>
      </c>
      <c r="H268" s="217" t="s">
        <v>329</v>
      </c>
      <c r="I268" s="181"/>
      <c r="J268" s="531"/>
      <c r="K268" s="531"/>
      <c r="L268" s="531"/>
      <c r="M268" s="531"/>
      <c r="N268" s="531"/>
      <c r="O268" s="531"/>
      <c r="P268" s="531"/>
      <c r="Q268" s="531"/>
      <c r="R268" s="531"/>
      <c r="S268" s="531"/>
      <c r="T268" s="531"/>
      <c r="U268" s="531"/>
      <c r="V268" s="531"/>
      <c r="W268" s="531"/>
      <c r="X268" s="531"/>
      <c r="Y268" s="531"/>
      <c r="Z268" s="531"/>
      <c r="AA268" s="531"/>
      <c r="AB268" s="531">
        <v>9</v>
      </c>
      <c r="AC268" s="532" t="e">
        <f>IF(NFI_Expiration=1,IF(#REF!&lt;VLOOKUP(L$5,NFI,5,0),1,0)*Table_NFI[[#This Row],[NFI Core Kit]],Table_NFI[NFI Core Kit])</f>
        <v>#REF!</v>
      </c>
      <c r="AD268" s="532" t="e">
        <f>IF(NFI_Expiration=1,IF(#REF!&lt;VLOOKUP(M$5,NFI,5,0),1,0)*Table_NFI[[#This Row],[Sanitary Kit]],Table_NFI[Sanitary Kit])</f>
        <v>#REF!</v>
      </c>
      <c r="AE268" s="532" t="e">
        <f>IF(NFI_Expiration=1,IF(#REF!&lt;VLOOKUP(N$5,NFI,5,0),1,0)*Table_NFI[[#This Row],[Mosquito net]],Table_NFI[Mosquito net])</f>
        <v>#REF!</v>
      </c>
      <c r="AF268" s="532" t="e">
        <f>IF(NFI_Expiration=1,IF(#REF!&lt;VLOOKUP(O$5,NFI,5,0),1,0)*Table_NFI[[#This Row],[Tarpaulin]],Table_NFI[[#This Row],[Tarpaulin]])</f>
        <v>#REF!</v>
      </c>
      <c r="AG268" s="532" t="e">
        <f>IF(NFI_Expiration=1,IF(#REF!&lt;VLOOKUP(P$5,NFI,5,0),1,0)*Table_NFI[[#This Row],[Blanket]],Table_NFI[[#This Row],[Blanket]])</f>
        <v>#REF!</v>
      </c>
      <c r="AH268" s="532" t="e">
        <f>IF(NFI_Expiration=1,IF(#REF!&lt;VLOOKUP(Q$5,NFI,5,0),1,0)*Table_NFI[[#This Row],[Kitchen Set]],Table_NFI[Kitchen Set])</f>
        <v>#REF!</v>
      </c>
      <c r="AI268" s="532" t="e">
        <f>IF(NFI_Expiration=1,IF(#REF!&lt;VLOOKUP(R$5,NFI,5,0),1,0)*Table_NFI[[#This Row],[Clothes Kit]],Table_NFI[Clothes Kit])</f>
        <v>#REF!</v>
      </c>
      <c r="AJ268" s="532" t="e">
        <f>IF(NFI_Expiration=1,IF(#REF!&lt;VLOOKUP(S$5,NFI,5,0),1,0)*Table_NFI[[#This Row],[Plastic Bucket]],Table_NFI[Plastic Bucket])</f>
        <v>#REF!</v>
      </c>
      <c r="AK268" s="532" t="e">
        <f>IF(NFI_Expiration=1,IF(#REF!&lt;VLOOKUP(T$5,NFI,5,0),1,0)*Table_NFI[[#This Row],[Plastic Mat]],Table_NFI[Plastic Mat])*IF(Table_NFI[[#This Row],[Distribution Date]]&gt;"2014-04-01",1,2.5)</f>
        <v>#REF!</v>
      </c>
      <c r="AL268" s="532" t="e">
        <f>IF(NFI_Expiration=1,IF(#REF!&lt;VLOOKUP(U$5,NFI,5,0),1,0)*Table_NFI[[#This Row],[Winter Clothes Adult]],Table_NFI[Winter Clothes Adult])</f>
        <v>#REF!</v>
      </c>
      <c r="AM268" s="532"/>
      <c r="AN268" s="532"/>
      <c r="AO268" s="532"/>
      <c r="AP268" s="532">
        <f>IF(Table_NFI[[#This Row],[Winter Clothes Adult]]+Table_NFI[[#This Row],[Winter Clothes Children]]+Table_NFI[[#This Row],[Winter Items Other]]+Table_NFI[[#This Row],[Winter Blanket]]&gt;0,1,0)</f>
        <v>0</v>
      </c>
      <c r="AQ268" s="532"/>
      <c r="AR268" s="532"/>
      <c r="AS268" s="532"/>
      <c r="AT268" s="532"/>
      <c r="AU268" s="532"/>
      <c r="AV268" s="532"/>
      <c r="AW268" s="532"/>
      <c r="AX268" s="203" t="str">
        <f>IFERROR(VLOOKUP(Table_NFI[[#This Row],[Location]],CL,2,0),"")</f>
        <v>MMR001CMP029</v>
      </c>
      <c r="AZ268" s="524"/>
      <c r="DS268" s="181"/>
      <c r="DT268" s="181"/>
    </row>
    <row r="269" spans="2:124" hidden="1" x14ac:dyDescent="0.25">
      <c r="B269" s="530">
        <v>43224</v>
      </c>
      <c r="C269" s="530" t="str">
        <f>MONTH(Table_NFI[[#This Row],[Distribution Date]]) &amp; "/" &amp; YEAR(Table_NFI[[#This Row],[Distribution Date]])</f>
        <v>5/2018</v>
      </c>
      <c r="D269" s="628" t="s">
        <v>825</v>
      </c>
      <c r="E269" s="628" t="s">
        <v>825</v>
      </c>
      <c r="F269" s="628" t="s">
        <v>378</v>
      </c>
      <c r="G269" s="195" t="s">
        <v>27</v>
      </c>
      <c r="H269" s="217" t="s">
        <v>28</v>
      </c>
      <c r="I269" s="181"/>
      <c r="J269" s="531"/>
      <c r="K269" s="531"/>
      <c r="L269" s="531">
        <v>45</v>
      </c>
      <c r="M269" s="531">
        <v>45</v>
      </c>
      <c r="N269" s="531"/>
      <c r="O269" s="531"/>
      <c r="P269" s="531"/>
      <c r="Q269" s="531"/>
      <c r="R269" s="531"/>
      <c r="S269" s="531"/>
      <c r="T269" s="531"/>
      <c r="U269" s="531"/>
      <c r="V269" s="531"/>
      <c r="W269" s="531"/>
      <c r="X269" s="531"/>
      <c r="Y269" s="531">
        <v>45</v>
      </c>
      <c r="Z269" s="531"/>
      <c r="AA269" s="531"/>
      <c r="AB269" s="531"/>
      <c r="AC269" s="532" t="e">
        <f>IF(NFI_Expiration=1,IF(#REF!&lt;VLOOKUP(L$5,NFI,5,0),1,0)*Table_NFI[[#This Row],[NFI Core Kit]],Table_NFI[NFI Core Kit])</f>
        <v>#REF!</v>
      </c>
      <c r="AD269" s="532" t="e">
        <f>IF(NFI_Expiration=1,IF(#REF!&lt;VLOOKUP(M$5,NFI,5,0),1,0)*Table_NFI[[#This Row],[Sanitary Kit]],Table_NFI[Sanitary Kit])</f>
        <v>#REF!</v>
      </c>
      <c r="AE269" s="532" t="e">
        <f>IF(NFI_Expiration=1,IF(#REF!&lt;VLOOKUP(N$5,NFI,5,0),1,0)*Table_NFI[[#This Row],[Mosquito net]],Table_NFI[Mosquito net])</f>
        <v>#REF!</v>
      </c>
      <c r="AF269" s="532" t="e">
        <f>IF(NFI_Expiration=1,IF(#REF!&lt;VLOOKUP(O$5,NFI,5,0),1,0)*Table_NFI[[#This Row],[Tarpaulin]],Table_NFI[[#This Row],[Tarpaulin]])</f>
        <v>#REF!</v>
      </c>
      <c r="AG269" s="532" t="e">
        <f>IF(NFI_Expiration=1,IF(#REF!&lt;VLOOKUP(P$5,NFI,5,0),1,0)*Table_NFI[[#This Row],[Blanket]],Table_NFI[[#This Row],[Blanket]])</f>
        <v>#REF!</v>
      </c>
      <c r="AH269" s="532" t="e">
        <f>IF(NFI_Expiration=1,IF(#REF!&lt;VLOOKUP(Q$5,NFI,5,0),1,0)*Table_NFI[[#This Row],[Kitchen Set]],Table_NFI[Kitchen Set])</f>
        <v>#REF!</v>
      </c>
      <c r="AI269" s="532" t="e">
        <f>IF(NFI_Expiration=1,IF(#REF!&lt;VLOOKUP(R$5,NFI,5,0),1,0)*Table_NFI[[#This Row],[Clothes Kit]],Table_NFI[Clothes Kit])</f>
        <v>#REF!</v>
      </c>
      <c r="AJ269" s="532" t="e">
        <f>IF(NFI_Expiration=1,IF(#REF!&lt;VLOOKUP(S$5,NFI,5,0),1,0)*Table_NFI[[#This Row],[Plastic Bucket]],Table_NFI[Plastic Bucket])</f>
        <v>#REF!</v>
      </c>
      <c r="AK269" s="532" t="e">
        <f>IF(NFI_Expiration=1,IF(#REF!&lt;VLOOKUP(T$5,NFI,5,0),1,0)*Table_NFI[[#This Row],[Plastic Mat]],Table_NFI[Plastic Mat])*IF(Table_NFI[[#This Row],[Distribution Date]]&gt;"2014-04-01",1,2.5)</f>
        <v>#REF!</v>
      </c>
      <c r="AL269" s="532" t="e">
        <f>IF(NFI_Expiration=1,IF(#REF!&lt;VLOOKUP(U$5,NFI,5,0),1,0)*Table_NFI[[#This Row],[Winter Clothes Adult]],Table_NFI[Winter Clothes Adult])</f>
        <v>#REF!</v>
      </c>
      <c r="AM269" s="532"/>
      <c r="AN269" s="532"/>
      <c r="AO269" s="532"/>
      <c r="AP269" s="532">
        <f>IF(Table_NFI[[#This Row],[Winter Clothes Adult]]+Table_NFI[[#This Row],[Winter Clothes Children]]+Table_NFI[[#This Row],[Winter Items Other]]+Table_NFI[[#This Row],[Winter Blanket]]&gt;0,1,0)</f>
        <v>0</v>
      </c>
      <c r="AQ269" s="532"/>
      <c r="AR269" s="532"/>
      <c r="AS269" s="532"/>
      <c r="AT269" s="532"/>
      <c r="AU269" s="532"/>
      <c r="AV269" s="532"/>
      <c r="AW269" s="532"/>
      <c r="AX269" s="203" t="str">
        <f>IFERROR(VLOOKUP(Table_NFI[[#This Row],[Location]],CL,2,0),"")</f>
        <v>MMR001CMP042</v>
      </c>
      <c r="AZ269" s="524"/>
      <c r="DS269" s="181"/>
      <c r="DT269" s="181"/>
    </row>
    <row r="270" spans="2:124" hidden="1" x14ac:dyDescent="0.25">
      <c r="B270" s="530">
        <v>43224</v>
      </c>
      <c r="C270" s="530" t="str">
        <f>MONTH(Table_NFI[[#This Row],[Distribution Date]]) &amp; "/" &amp; YEAR(Table_NFI[[#This Row],[Distribution Date]])</f>
        <v>5/2018</v>
      </c>
      <c r="D270" s="628" t="s">
        <v>825</v>
      </c>
      <c r="E270" s="628" t="s">
        <v>825</v>
      </c>
      <c r="F270" s="628" t="s">
        <v>378</v>
      </c>
      <c r="G270" s="195" t="s">
        <v>27</v>
      </c>
      <c r="H270" s="217" t="s">
        <v>363</v>
      </c>
      <c r="I270" s="181"/>
      <c r="J270" s="531"/>
      <c r="K270" s="531"/>
      <c r="L270" s="531">
        <v>54</v>
      </c>
      <c r="M270" s="531">
        <v>54</v>
      </c>
      <c r="N270" s="531"/>
      <c r="O270" s="531"/>
      <c r="P270" s="531"/>
      <c r="Q270" s="531"/>
      <c r="R270" s="531"/>
      <c r="S270" s="531"/>
      <c r="T270" s="531"/>
      <c r="U270" s="531"/>
      <c r="V270" s="531"/>
      <c r="W270" s="531"/>
      <c r="X270" s="531"/>
      <c r="Y270" s="531">
        <v>54</v>
      </c>
      <c r="Z270" s="531"/>
      <c r="AA270" s="531"/>
      <c r="AB270" s="531"/>
      <c r="AC270" s="532" t="e">
        <f>IF(NFI_Expiration=1,IF(#REF!&lt;VLOOKUP(L$5,NFI,5,0),1,0)*Table_NFI[[#This Row],[NFI Core Kit]],Table_NFI[NFI Core Kit])</f>
        <v>#REF!</v>
      </c>
      <c r="AD270" s="532" t="e">
        <f>IF(NFI_Expiration=1,IF(#REF!&lt;VLOOKUP(M$5,NFI,5,0),1,0)*Table_NFI[[#This Row],[Sanitary Kit]],Table_NFI[Sanitary Kit])</f>
        <v>#REF!</v>
      </c>
      <c r="AE270" s="532" t="e">
        <f>IF(NFI_Expiration=1,IF(#REF!&lt;VLOOKUP(N$5,NFI,5,0),1,0)*Table_NFI[[#This Row],[Mosquito net]],Table_NFI[Mosquito net])</f>
        <v>#REF!</v>
      </c>
      <c r="AF270" s="532" t="e">
        <f>IF(NFI_Expiration=1,IF(#REF!&lt;VLOOKUP(O$5,NFI,5,0),1,0)*Table_NFI[[#This Row],[Tarpaulin]],Table_NFI[[#This Row],[Tarpaulin]])</f>
        <v>#REF!</v>
      </c>
      <c r="AG270" s="532" t="e">
        <f>IF(NFI_Expiration=1,IF(#REF!&lt;VLOOKUP(P$5,NFI,5,0),1,0)*Table_NFI[[#This Row],[Blanket]],Table_NFI[[#This Row],[Blanket]])</f>
        <v>#REF!</v>
      </c>
      <c r="AH270" s="532" t="e">
        <f>IF(NFI_Expiration=1,IF(#REF!&lt;VLOOKUP(Q$5,NFI,5,0),1,0)*Table_NFI[[#This Row],[Kitchen Set]],Table_NFI[Kitchen Set])</f>
        <v>#REF!</v>
      </c>
      <c r="AI270" s="532" t="e">
        <f>IF(NFI_Expiration=1,IF(#REF!&lt;VLOOKUP(R$5,NFI,5,0),1,0)*Table_NFI[[#This Row],[Clothes Kit]],Table_NFI[Clothes Kit])</f>
        <v>#REF!</v>
      </c>
      <c r="AJ270" s="532" t="e">
        <f>IF(NFI_Expiration=1,IF(#REF!&lt;VLOOKUP(S$5,NFI,5,0),1,0)*Table_NFI[[#This Row],[Plastic Bucket]],Table_NFI[Plastic Bucket])</f>
        <v>#REF!</v>
      </c>
      <c r="AK270" s="532" t="e">
        <f>IF(NFI_Expiration=1,IF(#REF!&lt;VLOOKUP(T$5,NFI,5,0),1,0)*Table_NFI[[#This Row],[Plastic Mat]],Table_NFI[Plastic Mat])*IF(Table_NFI[[#This Row],[Distribution Date]]&gt;"2014-04-01",1,2.5)</f>
        <v>#REF!</v>
      </c>
      <c r="AL270" s="532" t="e">
        <f>IF(NFI_Expiration=1,IF(#REF!&lt;VLOOKUP(U$5,NFI,5,0),1,0)*Table_NFI[[#This Row],[Winter Clothes Adult]],Table_NFI[Winter Clothes Adult])</f>
        <v>#REF!</v>
      </c>
      <c r="AM270" s="532"/>
      <c r="AN270" s="532"/>
      <c r="AO270" s="532"/>
      <c r="AP270" s="532">
        <f>IF(Table_NFI[[#This Row],[Winter Clothes Adult]]+Table_NFI[[#This Row],[Winter Clothes Children]]+Table_NFI[[#This Row],[Winter Items Other]]+Table_NFI[[#This Row],[Winter Blanket]]&gt;0,1,0)</f>
        <v>0</v>
      </c>
      <c r="AQ270" s="532"/>
      <c r="AR270" s="532"/>
      <c r="AS270" s="532"/>
      <c r="AT270" s="532"/>
      <c r="AU270" s="532"/>
      <c r="AV270" s="532"/>
      <c r="AW270" s="532"/>
      <c r="AX270" s="203" t="str">
        <f>IFERROR(VLOOKUP(Table_NFI[[#This Row],[Location]],CL,2,0),"")</f>
        <v>MMR001CMP195</v>
      </c>
      <c r="AZ270" s="524"/>
      <c r="DS270" s="181"/>
      <c r="DT270" s="181"/>
    </row>
    <row r="271" spans="2:124" hidden="1" x14ac:dyDescent="0.25">
      <c r="B271" s="530">
        <v>43224</v>
      </c>
      <c r="C271" s="530" t="str">
        <f>MONTH(Table_NFI[[#This Row],[Distribution Date]]) &amp; "/" &amp; YEAR(Table_NFI[[#This Row],[Distribution Date]])</f>
        <v>5/2018</v>
      </c>
      <c r="D271" s="628" t="s">
        <v>825</v>
      </c>
      <c r="E271" s="628" t="s">
        <v>825</v>
      </c>
      <c r="F271" s="628" t="s">
        <v>378</v>
      </c>
      <c r="G271" s="195" t="s">
        <v>480</v>
      </c>
      <c r="H271" s="217" t="s">
        <v>1666</v>
      </c>
      <c r="I271" s="181"/>
      <c r="J271" s="531">
        <v>28</v>
      </c>
      <c r="K271" s="531"/>
      <c r="L271" s="531"/>
      <c r="M271" s="531"/>
      <c r="N271" s="531">
        <v>28</v>
      </c>
      <c r="O271" s="531">
        <v>28</v>
      </c>
      <c r="P271" s="531">
        <v>28</v>
      </c>
      <c r="Q271" s="531">
        <v>28</v>
      </c>
      <c r="R271" s="531"/>
      <c r="S271" s="531"/>
      <c r="T271" s="531"/>
      <c r="U271" s="531"/>
      <c r="V271" s="531"/>
      <c r="W271" s="531"/>
      <c r="X271" s="531"/>
      <c r="Y271" s="531"/>
      <c r="Z271" s="531"/>
      <c r="AA271" s="531"/>
      <c r="AB271" s="531"/>
      <c r="AC271" s="532" t="e">
        <f>IF(NFI_Expiration=1,IF(#REF!&lt;VLOOKUP(L$5,NFI,5,0),1,0)*Table_NFI[[#This Row],[NFI Core Kit]],Table_NFI[NFI Core Kit])</f>
        <v>#REF!</v>
      </c>
      <c r="AD271" s="532" t="e">
        <f>IF(NFI_Expiration=1,IF(#REF!&lt;VLOOKUP(M$5,NFI,5,0),1,0)*Table_NFI[[#This Row],[Sanitary Kit]],Table_NFI[Sanitary Kit])</f>
        <v>#REF!</v>
      </c>
      <c r="AE271" s="532" t="e">
        <f>IF(NFI_Expiration=1,IF(#REF!&lt;VLOOKUP(N$5,NFI,5,0),1,0)*Table_NFI[[#This Row],[Mosquito net]],Table_NFI[Mosquito net])</f>
        <v>#REF!</v>
      </c>
      <c r="AF271" s="532" t="e">
        <f>IF(NFI_Expiration=1,IF(#REF!&lt;VLOOKUP(O$5,NFI,5,0),1,0)*Table_NFI[[#This Row],[Tarpaulin]],Table_NFI[[#This Row],[Tarpaulin]])</f>
        <v>#REF!</v>
      </c>
      <c r="AG271" s="532" t="e">
        <f>IF(NFI_Expiration=1,IF(#REF!&lt;VLOOKUP(P$5,NFI,5,0),1,0)*Table_NFI[[#This Row],[Blanket]],Table_NFI[[#This Row],[Blanket]])</f>
        <v>#REF!</v>
      </c>
      <c r="AH271" s="532" t="e">
        <f>IF(NFI_Expiration=1,IF(#REF!&lt;VLOOKUP(Q$5,NFI,5,0),1,0)*Table_NFI[[#This Row],[Kitchen Set]],Table_NFI[Kitchen Set])</f>
        <v>#REF!</v>
      </c>
      <c r="AI271" s="532" t="e">
        <f>IF(NFI_Expiration=1,IF(#REF!&lt;VLOOKUP(R$5,NFI,5,0),1,0)*Table_NFI[[#This Row],[Clothes Kit]],Table_NFI[Clothes Kit])</f>
        <v>#REF!</v>
      </c>
      <c r="AJ271" s="532" t="e">
        <f>IF(NFI_Expiration=1,IF(#REF!&lt;VLOOKUP(S$5,NFI,5,0),1,0)*Table_NFI[[#This Row],[Plastic Bucket]],Table_NFI[Plastic Bucket])</f>
        <v>#REF!</v>
      </c>
      <c r="AK271" s="532" t="e">
        <f>IF(NFI_Expiration=1,IF(#REF!&lt;VLOOKUP(T$5,NFI,5,0),1,0)*Table_NFI[[#This Row],[Plastic Mat]],Table_NFI[Plastic Mat])*IF(Table_NFI[[#This Row],[Distribution Date]]&gt;"2014-04-01",1,2.5)</f>
        <v>#REF!</v>
      </c>
      <c r="AL271" s="532" t="e">
        <f>IF(NFI_Expiration=1,IF(#REF!&lt;VLOOKUP(U$5,NFI,5,0),1,0)*Table_NFI[[#This Row],[Winter Clothes Adult]],Table_NFI[Winter Clothes Adult])</f>
        <v>#REF!</v>
      </c>
      <c r="AM271" s="532"/>
      <c r="AN271" s="532"/>
      <c r="AO271" s="532"/>
      <c r="AP271" s="532">
        <f>IF(Table_NFI[[#This Row],[Winter Clothes Adult]]+Table_NFI[[#This Row],[Winter Clothes Children]]+Table_NFI[[#This Row],[Winter Items Other]]+Table_NFI[[#This Row],[Winter Blanket]]&gt;0,1,0)</f>
        <v>0</v>
      </c>
      <c r="AQ271" s="532"/>
      <c r="AR271" s="532"/>
      <c r="AS271" s="532"/>
      <c r="AT271" s="532"/>
      <c r="AU271" s="532"/>
      <c r="AV271" s="532"/>
      <c r="AW271" s="532"/>
      <c r="AX271" s="203" t="str">
        <f>IFERROR(VLOOKUP(Table_NFI[[#This Row],[Location]],CL,2,0),"")</f>
        <v>MMR001CMP270</v>
      </c>
      <c r="AZ271" s="524"/>
      <c r="DS271" s="181"/>
      <c r="DT271" s="181"/>
    </row>
    <row r="272" spans="2:124" hidden="1" x14ac:dyDescent="0.25">
      <c r="B272" s="530">
        <v>43228</v>
      </c>
      <c r="C272" s="530" t="str">
        <f>MONTH(Table_NFI[[#This Row],[Distribution Date]]) &amp; "/" &amp; YEAR(Table_NFI[[#This Row],[Distribution Date]])</f>
        <v>5/2018</v>
      </c>
      <c r="D272" s="628" t="s">
        <v>825</v>
      </c>
      <c r="E272" s="628" t="s">
        <v>825</v>
      </c>
      <c r="F272" s="628" t="s">
        <v>378</v>
      </c>
      <c r="G272" s="195" t="s">
        <v>361</v>
      </c>
      <c r="H272" s="217" t="s">
        <v>1659</v>
      </c>
      <c r="I272" s="181"/>
      <c r="J272" s="531"/>
      <c r="K272" s="531"/>
      <c r="L272" s="531"/>
      <c r="M272" s="531">
        <v>29</v>
      </c>
      <c r="N272" s="531">
        <v>29</v>
      </c>
      <c r="O272" s="531"/>
      <c r="P272" s="531"/>
      <c r="Q272" s="531">
        <v>29</v>
      </c>
      <c r="R272" s="531"/>
      <c r="S272" s="531"/>
      <c r="T272" s="531"/>
      <c r="U272" s="531"/>
      <c r="V272" s="531"/>
      <c r="W272" s="531"/>
      <c r="X272" s="531"/>
      <c r="Y272" s="531"/>
      <c r="Z272" s="531"/>
      <c r="AA272" s="531"/>
      <c r="AB272" s="531"/>
      <c r="AC272" s="532" t="e">
        <f>IF(NFI_Expiration=1,IF(#REF!&lt;VLOOKUP(L$5,NFI,5,0),1,0)*Table_NFI[[#This Row],[NFI Core Kit]],Table_NFI[NFI Core Kit])</f>
        <v>#REF!</v>
      </c>
      <c r="AD272" s="532" t="e">
        <f>IF(NFI_Expiration=1,IF(#REF!&lt;VLOOKUP(M$5,NFI,5,0),1,0)*Table_NFI[[#This Row],[Sanitary Kit]],Table_NFI[Sanitary Kit])</f>
        <v>#REF!</v>
      </c>
      <c r="AE272" s="532" t="e">
        <f>IF(NFI_Expiration=1,IF(#REF!&lt;VLOOKUP(N$5,NFI,5,0),1,0)*Table_NFI[[#This Row],[Mosquito net]],Table_NFI[Mosquito net])</f>
        <v>#REF!</v>
      </c>
      <c r="AF272" s="532" t="e">
        <f>IF(NFI_Expiration=1,IF(#REF!&lt;VLOOKUP(O$5,NFI,5,0),1,0)*Table_NFI[[#This Row],[Tarpaulin]],Table_NFI[[#This Row],[Tarpaulin]])</f>
        <v>#REF!</v>
      </c>
      <c r="AG272" s="532" t="e">
        <f>IF(NFI_Expiration=1,IF(#REF!&lt;VLOOKUP(P$5,NFI,5,0),1,0)*Table_NFI[[#This Row],[Blanket]],Table_NFI[[#This Row],[Blanket]])</f>
        <v>#REF!</v>
      </c>
      <c r="AH272" s="532" t="e">
        <f>IF(NFI_Expiration=1,IF(#REF!&lt;VLOOKUP(Q$5,NFI,5,0),1,0)*Table_NFI[[#This Row],[Kitchen Set]],Table_NFI[Kitchen Set])</f>
        <v>#REF!</v>
      </c>
      <c r="AI272" s="532" t="e">
        <f>IF(NFI_Expiration=1,IF(#REF!&lt;VLOOKUP(R$5,NFI,5,0),1,0)*Table_NFI[[#This Row],[Clothes Kit]],Table_NFI[Clothes Kit])</f>
        <v>#REF!</v>
      </c>
      <c r="AJ272" s="532" t="e">
        <f>IF(NFI_Expiration=1,IF(#REF!&lt;VLOOKUP(S$5,NFI,5,0),1,0)*Table_NFI[[#This Row],[Plastic Bucket]],Table_NFI[Plastic Bucket])</f>
        <v>#REF!</v>
      </c>
      <c r="AK272" s="532" t="e">
        <f>IF(NFI_Expiration=1,IF(#REF!&lt;VLOOKUP(T$5,NFI,5,0),1,0)*Table_NFI[[#This Row],[Plastic Mat]],Table_NFI[Plastic Mat])*IF(Table_NFI[[#This Row],[Distribution Date]]&gt;"2014-04-01",1,2.5)</f>
        <v>#REF!</v>
      </c>
      <c r="AL272" s="532" t="e">
        <f>IF(NFI_Expiration=1,IF(#REF!&lt;VLOOKUP(U$5,NFI,5,0),1,0)*Table_NFI[[#This Row],[Winter Clothes Adult]],Table_NFI[Winter Clothes Adult])</f>
        <v>#REF!</v>
      </c>
      <c r="AM272" s="532"/>
      <c r="AN272" s="532"/>
      <c r="AO272" s="532"/>
      <c r="AP272" s="532">
        <f>IF(Table_NFI[[#This Row],[Winter Clothes Adult]]+Table_NFI[[#This Row],[Winter Clothes Children]]+Table_NFI[[#This Row],[Winter Items Other]]+Table_NFI[[#This Row],[Winter Blanket]]&gt;0,1,0)</f>
        <v>0</v>
      </c>
      <c r="AQ272" s="532"/>
      <c r="AR272" s="532"/>
      <c r="AS272" s="532"/>
      <c r="AT272" s="532"/>
      <c r="AU272" s="532"/>
      <c r="AV272" s="532"/>
      <c r="AW272" s="532"/>
      <c r="AX272" s="203" t="str">
        <f>IFERROR(VLOOKUP(Table_NFI[[#This Row],[Location]],CL,2,0),"")</f>
        <v/>
      </c>
      <c r="AZ272" s="524"/>
      <c r="DS272" s="181"/>
      <c r="DT272" s="181"/>
    </row>
    <row r="273" spans="2:124" hidden="1" x14ac:dyDescent="0.25">
      <c r="B273" s="530">
        <v>43230</v>
      </c>
      <c r="C273" s="530" t="str">
        <f>MONTH(Table_NFI[[#This Row],[Distribution Date]]) &amp; "/" &amp; YEAR(Table_NFI[[#This Row],[Distribution Date]])</f>
        <v>5/2018</v>
      </c>
      <c r="D273" s="628" t="s">
        <v>825</v>
      </c>
      <c r="E273" s="628" t="s">
        <v>825</v>
      </c>
      <c r="F273" s="628" t="s">
        <v>378</v>
      </c>
      <c r="G273" s="195" t="s">
        <v>1134</v>
      </c>
      <c r="H273" s="217" t="s">
        <v>1394</v>
      </c>
      <c r="I273" s="181"/>
      <c r="J273" s="531">
        <v>67</v>
      </c>
      <c r="K273" s="531"/>
      <c r="L273" s="531"/>
      <c r="M273" s="531"/>
      <c r="N273" s="531">
        <v>67</v>
      </c>
      <c r="O273" s="531"/>
      <c r="P273" s="531"/>
      <c r="Q273" s="531"/>
      <c r="R273" s="531"/>
      <c r="S273" s="531"/>
      <c r="T273" s="531"/>
      <c r="U273" s="531"/>
      <c r="V273" s="531"/>
      <c r="W273" s="531"/>
      <c r="X273" s="531"/>
      <c r="Y273" s="531"/>
      <c r="Z273" s="531"/>
      <c r="AA273" s="531"/>
      <c r="AB273" s="531"/>
      <c r="AC273" s="532" t="e">
        <f>IF(NFI_Expiration=1,IF(#REF!&lt;VLOOKUP(L$5,NFI,5,0),1,0)*Table_NFI[[#This Row],[NFI Core Kit]],Table_NFI[NFI Core Kit])</f>
        <v>#REF!</v>
      </c>
      <c r="AD273" s="532" t="e">
        <f>IF(NFI_Expiration=1,IF(#REF!&lt;VLOOKUP(M$5,NFI,5,0),1,0)*Table_NFI[[#This Row],[Sanitary Kit]],Table_NFI[Sanitary Kit])</f>
        <v>#REF!</v>
      </c>
      <c r="AE273" s="532" t="e">
        <f>IF(NFI_Expiration=1,IF(#REF!&lt;VLOOKUP(N$5,NFI,5,0),1,0)*Table_NFI[[#This Row],[Mosquito net]],Table_NFI[Mosquito net])</f>
        <v>#REF!</v>
      </c>
      <c r="AF273" s="532" t="e">
        <f>IF(NFI_Expiration=1,IF(#REF!&lt;VLOOKUP(O$5,NFI,5,0),1,0)*Table_NFI[[#This Row],[Tarpaulin]],Table_NFI[[#This Row],[Tarpaulin]])</f>
        <v>#REF!</v>
      </c>
      <c r="AG273" s="532" t="e">
        <f>IF(NFI_Expiration=1,IF(#REF!&lt;VLOOKUP(P$5,NFI,5,0),1,0)*Table_NFI[[#This Row],[Blanket]],Table_NFI[[#This Row],[Blanket]])</f>
        <v>#REF!</v>
      </c>
      <c r="AH273" s="532" t="e">
        <f>IF(NFI_Expiration=1,IF(#REF!&lt;VLOOKUP(Q$5,NFI,5,0),1,0)*Table_NFI[[#This Row],[Kitchen Set]],Table_NFI[Kitchen Set])</f>
        <v>#REF!</v>
      </c>
      <c r="AI273" s="532" t="e">
        <f>IF(NFI_Expiration=1,IF(#REF!&lt;VLOOKUP(R$5,NFI,5,0),1,0)*Table_NFI[[#This Row],[Clothes Kit]],Table_NFI[Clothes Kit])</f>
        <v>#REF!</v>
      </c>
      <c r="AJ273" s="532" t="e">
        <f>IF(NFI_Expiration=1,IF(#REF!&lt;VLOOKUP(S$5,NFI,5,0),1,0)*Table_NFI[[#This Row],[Plastic Bucket]],Table_NFI[Plastic Bucket])</f>
        <v>#REF!</v>
      </c>
      <c r="AK273" s="532" t="e">
        <f>IF(NFI_Expiration=1,IF(#REF!&lt;VLOOKUP(T$5,NFI,5,0),1,0)*Table_NFI[[#This Row],[Plastic Mat]],Table_NFI[Plastic Mat])*IF(Table_NFI[[#This Row],[Distribution Date]]&gt;"2014-04-01",1,2.5)</f>
        <v>#REF!</v>
      </c>
      <c r="AL273" s="532" t="e">
        <f>IF(NFI_Expiration=1,IF(#REF!&lt;VLOOKUP(U$5,NFI,5,0),1,0)*Table_NFI[[#This Row],[Winter Clothes Adult]],Table_NFI[Winter Clothes Adult])</f>
        <v>#REF!</v>
      </c>
      <c r="AM273" s="532"/>
      <c r="AN273" s="532"/>
      <c r="AO273" s="532"/>
      <c r="AP273" s="532">
        <f>IF(Table_NFI[[#This Row],[Winter Clothes Adult]]+Table_NFI[[#This Row],[Winter Clothes Children]]+Table_NFI[[#This Row],[Winter Items Other]]+Table_NFI[[#This Row],[Winter Blanket]]&gt;0,1,0)</f>
        <v>0</v>
      </c>
      <c r="AQ273" s="532"/>
      <c r="AR273" s="532"/>
      <c r="AS273" s="532"/>
      <c r="AT273" s="532"/>
      <c r="AU273" s="532"/>
      <c r="AV273" s="532"/>
      <c r="AW273" s="532"/>
      <c r="AX273" s="203" t="str">
        <f>IFERROR(VLOOKUP(Table_NFI[[#This Row],[Location]],CL,2,0),"")</f>
        <v/>
      </c>
      <c r="AZ273" s="524"/>
      <c r="DS273" s="181"/>
      <c r="DT273" s="181"/>
    </row>
    <row r="274" spans="2:124" hidden="1" x14ac:dyDescent="0.25">
      <c r="B274" s="530">
        <v>43230</v>
      </c>
      <c r="C274" s="530" t="str">
        <f>MONTH(Table_NFI[[#This Row],[Distribution Date]]) &amp; "/" &amp; YEAR(Table_NFI[[#This Row],[Distribution Date]])</f>
        <v>5/2018</v>
      </c>
      <c r="D274" s="628" t="s">
        <v>825</v>
      </c>
      <c r="E274" s="628" t="s">
        <v>825</v>
      </c>
      <c r="F274" s="628" t="s">
        <v>378</v>
      </c>
      <c r="G274" s="195" t="s">
        <v>480</v>
      </c>
      <c r="H274" s="217" t="s">
        <v>1612</v>
      </c>
      <c r="I274" s="181"/>
      <c r="J274" s="531"/>
      <c r="K274" s="531"/>
      <c r="L274" s="531">
        <v>37</v>
      </c>
      <c r="M274" s="531">
        <v>37</v>
      </c>
      <c r="N274" s="531"/>
      <c r="O274" s="531"/>
      <c r="P274" s="531"/>
      <c r="Q274" s="531"/>
      <c r="R274" s="531"/>
      <c r="S274" s="531"/>
      <c r="T274" s="531"/>
      <c r="U274" s="531"/>
      <c r="V274" s="531"/>
      <c r="W274" s="531"/>
      <c r="X274" s="531"/>
      <c r="Y274" s="531">
        <v>37</v>
      </c>
      <c r="Z274" s="531"/>
      <c r="AA274" s="531"/>
      <c r="AB274" s="531"/>
      <c r="AC274" s="532" t="e">
        <f>IF(NFI_Expiration=1,IF(#REF!&lt;VLOOKUP(L$5,NFI,5,0),1,0)*Table_NFI[[#This Row],[NFI Core Kit]],Table_NFI[NFI Core Kit])</f>
        <v>#REF!</v>
      </c>
      <c r="AD274" s="532" t="e">
        <f>IF(NFI_Expiration=1,IF(#REF!&lt;VLOOKUP(M$5,NFI,5,0),1,0)*Table_NFI[[#This Row],[Sanitary Kit]],Table_NFI[Sanitary Kit])</f>
        <v>#REF!</v>
      </c>
      <c r="AE274" s="532" t="e">
        <f>IF(NFI_Expiration=1,IF(#REF!&lt;VLOOKUP(N$5,NFI,5,0),1,0)*Table_NFI[[#This Row],[Mosquito net]],Table_NFI[Mosquito net])</f>
        <v>#REF!</v>
      </c>
      <c r="AF274" s="532" t="e">
        <f>IF(NFI_Expiration=1,IF(#REF!&lt;VLOOKUP(O$5,NFI,5,0),1,0)*Table_NFI[[#This Row],[Tarpaulin]],Table_NFI[[#This Row],[Tarpaulin]])</f>
        <v>#REF!</v>
      </c>
      <c r="AG274" s="532" t="e">
        <f>IF(NFI_Expiration=1,IF(#REF!&lt;VLOOKUP(P$5,NFI,5,0),1,0)*Table_NFI[[#This Row],[Blanket]],Table_NFI[[#This Row],[Blanket]])</f>
        <v>#REF!</v>
      </c>
      <c r="AH274" s="532" t="e">
        <f>IF(NFI_Expiration=1,IF(#REF!&lt;VLOOKUP(Q$5,NFI,5,0),1,0)*Table_NFI[[#This Row],[Kitchen Set]],Table_NFI[Kitchen Set])</f>
        <v>#REF!</v>
      </c>
      <c r="AI274" s="532" t="e">
        <f>IF(NFI_Expiration=1,IF(#REF!&lt;VLOOKUP(R$5,NFI,5,0),1,0)*Table_NFI[[#This Row],[Clothes Kit]],Table_NFI[Clothes Kit])</f>
        <v>#REF!</v>
      </c>
      <c r="AJ274" s="532" t="e">
        <f>IF(NFI_Expiration=1,IF(#REF!&lt;VLOOKUP(S$5,NFI,5,0),1,0)*Table_NFI[[#This Row],[Plastic Bucket]],Table_NFI[Plastic Bucket])</f>
        <v>#REF!</v>
      </c>
      <c r="AK274" s="532" t="e">
        <f>IF(NFI_Expiration=1,IF(#REF!&lt;VLOOKUP(T$5,NFI,5,0),1,0)*Table_NFI[[#This Row],[Plastic Mat]],Table_NFI[Plastic Mat])*IF(Table_NFI[[#This Row],[Distribution Date]]&gt;"2014-04-01",1,2.5)</f>
        <v>#REF!</v>
      </c>
      <c r="AL274" s="532" t="e">
        <f>IF(NFI_Expiration=1,IF(#REF!&lt;VLOOKUP(U$5,NFI,5,0),1,0)*Table_NFI[[#This Row],[Winter Clothes Adult]],Table_NFI[Winter Clothes Adult])</f>
        <v>#REF!</v>
      </c>
      <c r="AM274" s="532"/>
      <c r="AN274" s="532"/>
      <c r="AO274" s="532"/>
      <c r="AP274" s="532">
        <f>IF(Table_NFI[[#This Row],[Winter Clothes Adult]]+Table_NFI[[#This Row],[Winter Clothes Children]]+Table_NFI[[#This Row],[Winter Items Other]]+Table_NFI[[#This Row],[Winter Blanket]]&gt;0,1,0)</f>
        <v>0</v>
      </c>
      <c r="AQ274" s="532"/>
      <c r="AR274" s="532"/>
      <c r="AS274" s="532"/>
      <c r="AT274" s="532"/>
      <c r="AU274" s="532"/>
      <c r="AV274" s="532"/>
      <c r="AW274" s="532"/>
      <c r="AX274" s="203" t="str">
        <f>IFERROR(VLOOKUP(Table_NFI[[#This Row],[Location]],CL,2,0),"")</f>
        <v>MMR001CMP268</v>
      </c>
      <c r="AZ274" s="524"/>
      <c r="DS274" s="181"/>
      <c r="DT274" s="181"/>
    </row>
    <row r="275" spans="2:124" hidden="1" x14ac:dyDescent="0.3">
      <c r="B275" s="530">
        <v>43237</v>
      </c>
      <c r="C275" s="530" t="str">
        <f>MONTH(Table_NFI[[#This Row],[Distribution Date]]) &amp; "/" &amp; YEAR(Table_NFI[[#This Row],[Distribution Date]])</f>
        <v>5/2018</v>
      </c>
      <c r="D275" s="196" t="s">
        <v>1452</v>
      </c>
      <c r="E275" s="196"/>
      <c r="F275" s="196" t="s">
        <v>506</v>
      </c>
      <c r="G275" s="195" t="s">
        <v>297</v>
      </c>
      <c r="H275" s="217" t="s">
        <v>1135</v>
      </c>
      <c r="I275" s="181"/>
      <c r="J275" s="531"/>
      <c r="K275" s="531"/>
      <c r="L275" s="531">
        <v>1</v>
      </c>
      <c r="M275" s="531"/>
      <c r="N275" s="531"/>
      <c r="O275" s="531"/>
      <c r="P275" s="531"/>
      <c r="Q275" s="531"/>
      <c r="R275" s="531"/>
      <c r="S275" s="531"/>
      <c r="T275" s="531"/>
      <c r="U275" s="531"/>
      <c r="V275" s="531"/>
      <c r="W275" s="531"/>
      <c r="X275" s="531"/>
      <c r="Y275" s="531"/>
      <c r="Z275" s="531"/>
      <c r="AA275" s="531"/>
      <c r="AB275" s="531"/>
      <c r="AC275" s="532" t="e">
        <f>IF(NFI_Expiration=1,IF(#REF!&lt;VLOOKUP(L$5,NFI,5,0),1,0)*Table_NFI[[#This Row],[NFI Core Kit]],Table_NFI[NFI Core Kit])</f>
        <v>#REF!</v>
      </c>
      <c r="AD275" s="532" t="e">
        <f>IF(NFI_Expiration=1,IF(#REF!&lt;VLOOKUP(M$5,NFI,5,0),1,0)*Table_NFI[[#This Row],[Sanitary Kit]],Table_NFI[Sanitary Kit])</f>
        <v>#REF!</v>
      </c>
      <c r="AE275" s="532" t="e">
        <f>IF(NFI_Expiration=1,IF(#REF!&lt;VLOOKUP(N$5,NFI,5,0),1,0)*Table_NFI[[#This Row],[Mosquito net]],Table_NFI[Mosquito net])</f>
        <v>#REF!</v>
      </c>
      <c r="AF275" s="532" t="e">
        <f>IF(NFI_Expiration=1,IF(#REF!&lt;VLOOKUP(O$5,NFI,5,0),1,0)*Table_NFI[[#This Row],[Tarpaulin]],Table_NFI[[#This Row],[Tarpaulin]])</f>
        <v>#REF!</v>
      </c>
      <c r="AG275" s="532" t="e">
        <f>IF(NFI_Expiration=1,IF(#REF!&lt;VLOOKUP(P$5,NFI,5,0),1,0)*Table_NFI[[#This Row],[Blanket]],Table_NFI[[#This Row],[Blanket]])</f>
        <v>#REF!</v>
      </c>
      <c r="AH275" s="532" t="e">
        <f>IF(NFI_Expiration=1,IF(#REF!&lt;VLOOKUP(Q$5,NFI,5,0),1,0)*Table_NFI[[#This Row],[Kitchen Set]],Table_NFI[Kitchen Set])</f>
        <v>#REF!</v>
      </c>
      <c r="AI275" s="532" t="e">
        <f>IF(NFI_Expiration=1,IF(#REF!&lt;VLOOKUP(R$5,NFI,5,0),1,0)*Table_NFI[[#This Row],[Clothes Kit]],Table_NFI[Clothes Kit])</f>
        <v>#REF!</v>
      </c>
      <c r="AJ275" s="532" t="e">
        <f>IF(NFI_Expiration=1,IF(#REF!&lt;VLOOKUP(S$5,NFI,5,0),1,0)*Table_NFI[[#This Row],[Plastic Bucket]],Table_NFI[Plastic Bucket])</f>
        <v>#REF!</v>
      </c>
      <c r="AK275" s="532" t="e">
        <f>IF(NFI_Expiration=1,IF(#REF!&lt;VLOOKUP(T$5,NFI,5,0),1,0)*Table_NFI[[#This Row],[Plastic Mat]],Table_NFI[Plastic Mat])*IF(Table_NFI[[#This Row],[Distribution Date]]&gt;"2014-04-01",1,2.5)</f>
        <v>#REF!</v>
      </c>
      <c r="AL275" s="532" t="e">
        <f>IF(NFI_Expiration=1,IF(#REF!&lt;VLOOKUP(U$5,NFI,5,0),1,0)*Table_NFI[[#This Row],[Winter Clothes Adult]],Table_NFI[Winter Clothes Adult])</f>
        <v>#REF!</v>
      </c>
      <c r="AM275" s="532"/>
      <c r="AN275" s="532"/>
      <c r="AO275" s="532"/>
      <c r="AP275" s="532">
        <f>IF(Table_NFI[[#This Row],[Winter Clothes Adult]]+Table_NFI[[#This Row],[Winter Clothes Children]]+Table_NFI[[#This Row],[Winter Items Other]]+Table_NFI[[#This Row],[Winter Blanket]]&gt;0,1,0)</f>
        <v>0</v>
      </c>
      <c r="AQ275" s="532"/>
      <c r="AR275" s="532"/>
      <c r="AS275" s="532"/>
      <c r="AT275" s="532"/>
      <c r="AU275" s="532"/>
      <c r="AV275" s="532"/>
      <c r="AW275" s="532"/>
      <c r="AX275" s="203" t="str">
        <f>IFERROR(VLOOKUP(Table_NFI[[#This Row],[Location]],CL,2,0),"")</f>
        <v>MMR015CMP221</v>
      </c>
      <c r="AZ275" s="524"/>
      <c r="DS275" s="181"/>
      <c r="DT275" s="181"/>
    </row>
    <row r="276" spans="2:124" hidden="1" x14ac:dyDescent="0.3">
      <c r="B276" s="530">
        <v>43248</v>
      </c>
      <c r="C276" s="530" t="str">
        <f>MONTH(Table_NFI[[#This Row],[Distribution Date]]) &amp; "/" &amp; YEAR(Table_NFI[[#This Row],[Distribution Date]])</f>
        <v>5/2018</v>
      </c>
      <c r="D276" s="196" t="s">
        <v>1452</v>
      </c>
      <c r="E276" s="196"/>
      <c r="F276" s="196" t="s">
        <v>506</v>
      </c>
      <c r="G276" s="195" t="s">
        <v>288</v>
      </c>
      <c r="H276" s="217" t="s">
        <v>1135</v>
      </c>
      <c r="I276" s="181"/>
      <c r="J276" s="531"/>
      <c r="K276" s="531"/>
      <c r="L276" s="531">
        <v>1</v>
      </c>
      <c r="M276" s="531"/>
      <c r="N276" s="531"/>
      <c r="O276" s="531"/>
      <c r="P276" s="531"/>
      <c r="Q276" s="531"/>
      <c r="R276" s="531"/>
      <c r="S276" s="531"/>
      <c r="T276" s="531"/>
      <c r="U276" s="531"/>
      <c r="V276" s="531"/>
      <c r="W276" s="531"/>
      <c r="X276" s="531"/>
      <c r="Y276" s="531"/>
      <c r="Z276" s="531"/>
      <c r="AA276" s="531"/>
      <c r="AB276" s="531"/>
      <c r="AC276" s="532" t="e">
        <f>IF(NFI_Expiration=1,IF(#REF!&lt;VLOOKUP(L$5,NFI,5,0),1,0)*Table_NFI[[#This Row],[NFI Core Kit]],Table_NFI[NFI Core Kit])</f>
        <v>#REF!</v>
      </c>
      <c r="AD276" s="532" t="e">
        <f>IF(NFI_Expiration=1,IF(#REF!&lt;VLOOKUP(M$5,NFI,5,0),1,0)*Table_NFI[[#This Row],[Sanitary Kit]],Table_NFI[Sanitary Kit])</f>
        <v>#REF!</v>
      </c>
      <c r="AE276" s="532" t="e">
        <f>IF(NFI_Expiration=1,IF(#REF!&lt;VLOOKUP(N$5,NFI,5,0),1,0)*Table_NFI[[#This Row],[Mosquito net]],Table_NFI[Mosquito net])</f>
        <v>#REF!</v>
      </c>
      <c r="AF276" s="532" t="e">
        <f>IF(NFI_Expiration=1,IF(#REF!&lt;VLOOKUP(O$5,NFI,5,0),1,0)*Table_NFI[[#This Row],[Tarpaulin]],Table_NFI[[#This Row],[Tarpaulin]])</f>
        <v>#REF!</v>
      </c>
      <c r="AG276" s="532" t="e">
        <f>IF(NFI_Expiration=1,IF(#REF!&lt;VLOOKUP(P$5,NFI,5,0),1,0)*Table_NFI[[#This Row],[Blanket]],Table_NFI[[#This Row],[Blanket]])</f>
        <v>#REF!</v>
      </c>
      <c r="AH276" s="532" t="e">
        <f>IF(NFI_Expiration=1,IF(#REF!&lt;VLOOKUP(Q$5,NFI,5,0),1,0)*Table_NFI[[#This Row],[Kitchen Set]],Table_NFI[Kitchen Set])</f>
        <v>#REF!</v>
      </c>
      <c r="AI276" s="532" t="e">
        <f>IF(NFI_Expiration=1,IF(#REF!&lt;VLOOKUP(R$5,NFI,5,0),1,0)*Table_NFI[[#This Row],[Clothes Kit]],Table_NFI[Clothes Kit])</f>
        <v>#REF!</v>
      </c>
      <c r="AJ276" s="532" t="e">
        <f>IF(NFI_Expiration=1,IF(#REF!&lt;VLOOKUP(S$5,NFI,5,0),1,0)*Table_NFI[[#This Row],[Plastic Bucket]],Table_NFI[Plastic Bucket])</f>
        <v>#REF!</v>
      </c>
      <c r="AK276" s="532" t="e">
        <f>IF(NFI_Expiration=1,IF(#REF!&lt;VLOOKUP(T$5,NFI,5,0),1,0)*Table_NFI[[#This Row],[Plastic Mat]],Table_NFI[Plastic Mat])*IF(Table_NFI[[#This Row],[Distribution Date]]&gt;"2014-04-01",1,2.5)</f>
        <v>#REF!</v>
      </c>
      <c r="AL276" s="532" t="e">
        <f>IF(NFI_Expiration=1,IF(#REF!&lt;VLOOKUP(U$5,NFI,5,0),1,0)*Table_NFI[[#This Row],[Winter Clothes Adult]],Table_NFI[Winter Clothes Adult])</f>
        <v>#REF!</v>
      </c>
      <c r="AM276" s="532"/>
      <c r="AN276" s="532"/>
      <c r="AO276" s="532"/>
      <c r="AP276" s="532">
        <f>IF(Table_NFI[[#This Row],[Winter Clothes Adult]]+Table_NFI[[#This Row],[Winter Clothes Children]]+Table_NFI[[#This Row],[Winter Items Other]]+Table_NFI[[#This Row],[Winter Blanket]]&gt;0,1,0)</f>
        <v>0</v>
      </c>
      <c r="AQ276" s="532"/>
      <c r="AR276" s="532"/>
      <c r="AS276" s="532"/>
      <c r="AT276" s="532"/>
      <c r="AU276" s="532"/>
      <c r="AV276" s="532"/>
      <c r="AW276" s="532"/>
      <c r="AX276" s="203" t="str">
        <f>IFERROR(VLOOKUP(Table_NFI[[#This Row],[Location]],CL,2,0),"")</f>
        <v>MMR015CMP221</v>
      </c>
      <c r="AZ276" s="524"/>
      <c r="DS276" s="181"/>
      <c r="DT276" s="181"/>
    </row>
    <row r="277" spans="2:124" hidden="1" x14ac:dyDescent="0.3">
      <c r="B277" s="530">
        <v>43235</v>
      </c>
      <c r="C277" s="530" t="str">
        <f>MONTH(Table_NFI[[#This Row],[Distribution Date]]) &amp; "/" &amp; YEAR(Table_NFI[[#This Row],[Distribution Date]])</f>
        <v>5/2018</v>
      </c>
      <c r="D277" s="196" t="s">
        <v>1452</v>
      </c>
      <c r="E277" s="196"/>
      <c r="F277" s="196" t="s">
        <v>378</v>
      </c>
      <c r="G277" s="195" t="s">
        <v>151</v>
      </c>
      <c r="H277" s="217" t="s">
        <v>154</v>
      </c>
      <c r="I277" s="181">
        <v>1</v>
      </c>
      <c r="J277" s="531"/>
      <c r="K277" s="531"/>
      <c r="L277" s="531"/>
      <c r="M277" s="531"/>
      <c r="N277" s="531"/>
      <c r="O277" s="531"/>
      <c r="P277" s="531"/>
      <c r="Q277" s="531"/>
      <c r="R277" s="531"/>
      <c r="S277" s="531"/>
      <c r="T277" s="531"/>
      <c r="U277" s="531"/>
      <c r="V277" s="531"/>
      <c r="W277" s="531"/>
      <c r="X277" s="531"/>
      <c r="Y277" s="531"/>
      <c r="Z277" s="531"/>
      <c r="AA277" s="531"/>
      <c r="AB277" s="531"/>
      <c r="AC277" s="532" t="e">
        <f>IF(NFI_Expiration=1,IF(#REF!&lt;VLOOKUP(L$5,NFI,5,0),1,0)*Table_NFI[[#This Row],[NFI Core Kit]],Table_NFI[NFI Core Kit])</f>
        <v>#REF!</v>
      </c>
      <c r="AD277" s="532" t="e">
        <f>IF(NFI_Expiration=1,IF(#REF!&lt;VLOOKUP(M$5,NFI,5,0),1,0)*Table_NFI[[#This Row],[Sanitary Kit]],Table_NFI[Sanitary Kit])</f>
        <v>#REF!</v>
      </c>
      <c r="AE277" s="532" t="e">
        <f>IF(NFI_Expiration=1,IF(#REF!&lt;VLOOKUP(N$5,NFI,5,0),1,0)*Table_NFI[[#This Row],[Mosquito net]],Table_NFI[Mosquito net])</f>
        <v>#REF!</v>
      </c>
      <c r="AF277" s="532" t="e">
        <f>IF(NFI_Expiration=1,IF(#REF!&lt;VLOOKUP(O$5,NFI,5,0),1,0)*Table_NFI[[#This Row],[Tarpaulin]],Table_NFI[[#This Row],[Tarpaulin]])</f>
        <v>#REF!</v>
      </c>
      <c r="AG277" s="532" t="e">
        <f>IF(NFI_Expiration=1,IF(#REF!&lt;VLOOKUP(P$5,NFI,5,0),1,0)*Table_NFI[[#This Row],[Blanket]],Table_NFI[[#This Row],[Blanket]])</f>
        <v>#REF!</v>
      </c>
      <c r="AH277" s="532" t="e">
        <f>IF(NFI_Expiration=1,IF(#REF!&lt;VLOOKUP(Q$5,NFI,5,0),1,0)*Table_NFI[[#This Row],[Kitchen Set]],Table_NFI[Kitchen Set])</f>
        <v>#REF!</v>
      </c>
      <c r="AI277" s="532" t="e">
        <f>IF(NFI_Expiration=1,IF(#REF!&lt;VLOOKUP(R$5,NFI,5,0),1,0)*Table_NFI[[#This Row],[Clothes Kit]],Table_NFI[Clothes Kit])</f>
        <v>#REF!</v>
      </c>
      <c r="AJ277" s="532" t="e">
        <f>IF(NFI_Expiration=1,IF(#REF!&lt;VLOOKUP(S$5,NFI,5,0),1,0)*Table_NFI[[#This Row],[Plastic Bucket]],Table_NFI[Plastic Bucket])</f>
        <v>#REF!</v>
      </c>
      <c r="AK277" s="532" t="e">
        <f>IF(NFI_Expiration=1,IF(#REF!&lt;VLOOKUP(T$5,NFI,5,0),1,0)*Table_NFI[[#This Row],[Plastic Mat]],Table_NFI[Plastic Mat])*IF(Table_NFI[[#This Row],[Distribution Date]]&gt;"2014-04-01",1,2.5)</f>
        <v>#REF!</v>
      </c>
      <c r="AL277" s="532" t="e">
        <f>IF(NFI_Expiration=1,IF(#REF!&lt;VLOOKUP(U$5,NFI,5,0),1,0)*Table_NFI[[#This Row],[Winter Clothes Adult]],Table_NFI[Winter Clothes Adult])</f>
        <v>#REF!</v>
      </c>
      <c r="AM277" s="532"/>
      <c r="AN277" s="532"/>
      <c r="AO277" s="532"/>
      <c r="AP277" s="532">
        <f>IF(Table_NFI[[#This Row],[Winter Clothes Adult]]+Table_NFI[[#This Row],[Winter Clothes Children]]+Table_NFI[[#This Row],[Winter Items Other]]+Table_NFI[[#This Row],[Winter Blanket]]&gt;0,1,0)</f>
        <v>0</v>
      </c>
      <c r="AQ277" s="532"/>
      <c r="AR277" s="532"/>
      <c r="AS277" s="532"/>
      <c r="AT277" s="532"/>
      <c r="AU277" s="532"/>
      <c r="AV277" s="532"/>
      <c r="AW277" s="532"/>
      <c r="AX277" s="203" t="str">
        <f>IFERROR(VLOOKUP(Table_NFI[[#This Row],[Location]],CL,2,0),"")</f>
        <v>MMR001CMP132</v>
      </c>
      <c r="AZ277" s="524"/>
      <c r="DS277" s="181"/>
      <c r="DT277" s="181"/>
    </row>
    <row r="278" spans="2:124" hidden="1" x14ac:dyDescent="0.3">
      <c r="B278" s="530">
        <v>43241</v>
      </c>
      <c r="C278" s="530" t="str">
        <f>MONTH(Table_NFI[[#This Row],[Distribution Date]]) &amp; "/" &amp; YEAR(Table_NFI[[#This Row],[Distribution Date]])</f>
        <v>5/2018</v>
      </c>
      <c r="D278" s="196" t="s">
        <v>1452</v>
      </c>
      <c r="E278" s="196"/>
      <c r="F278" s="196" t="s">
        <v>506</v>
      </c>
      <c r="G278" s="195" t="s">
        <v>288</v>
      </c>
      <c r="H278" s="217" t="s">
        <v>289</v>
      </c>
      <c r="I278" s="181">
        <v>1</v>
      </c>
      <c r="J278" s="531"/>
      <c r="K278" s="531"/>
      <c r="L278" s="531"/>
      <c r="M278" s="531"/>
      <c r="N278" s="531"/>
      <c r="O278" s="531"/>
      <c r="P278" s="531"/>
      <c r="Q278" s="531"/>
      <c r="R278" s="531"/>
      <c r="S278" s="531"/>
      <c r="T278" s="531"/>
      <c r="U278" s="531"/>
      <c r="V278" s="531"/>
      <c r="W278" s="531"/>
      <c r="X278" s="531"/>
      <c r="Y278" s="531"/>
      <c r="Z278" s="531"/>
      <c r="AA278" s="531"/>
      <c r="AB278" s="531"/>
      <c r="AC278" s="532" t="e">
        <f>IF(NFI_Expiration=1,IF(#REF!&lt;VLOOKUP(L$5,NFI,5,0),1,0)*Table_NFI[[#This Row],[NFI Core Kit]],Table_NFI[NFI Core Kit])</f>
        <v>#REF!</v>
      </c>
      <c r="AD278" s="532" t="e">
        <f>IF(NFI_Expiration=1,IF(#REF!&lt;VLOOKUP(M$5,NFI,5,0),1,0)*Table_NFI[[#This Row],[Sanitary Kit]],Table_NFI[Sanitary Kit])</f>
        <v>#REF!</v>
      </c>
      <c r="AE278" s="532" t="e">
        <f>IF(NFI_Expiration=1,IF(#REF!&lt;VLOOKUP(N$5,NFI,5,0),1,0)*Table_NFI[[#This Row],[Mosquito net]],Table_NFI[Mosquito net])</f>
        <v>#REF!</v>
      </c>
      <c r="AF278" s="532" t="e">
        <f>IF(NFI_Expiration=1,IF(#REF!&lt;VLOOKUP(O$5,NFI,5,0),1,0)*Table_NFI[[#This Row],[Tarpaulin]],Table_NFI[[#This Row],[Tarpaulin]])</f>
        <v>#REF!</v>
      </c>
      <c r="AG278" s="532" t="e">
        <f>IF(NFI_Expiration=1,IF(#REF!&lt;VLOOKUP(P$5,NFI,5,0),1,0)*Table_NFI[[#This Row],[Blanket]],Table_NFI[[#This Row],[Blanket]])</f>
        <v>#REF!</v>
      </c>
      <c r="AH278" s="532" t="e">
        <f>IF(NFI_Expiration=1,IF(#REF!&lt;VLOOKUP(Q$5,NFI,5,0),1,0)*Table_NFI[[#This Row],[Kitchen Set]],Table_NFI[Kitchen Set])</f>
        <v>#REF!</v>
      </c>
      <c r="AI278" s="532" t="e">
        <f>IF(NFI_Expiration=1,IF(#REF!&lt;VLOOKUP(R$5,NFI,5,0),1,0)*Table_NFI[[#This Row],[Clothes Kit]],Table_NFI[Clothes Kit])</f>
        <v>#REF!</v>
      </c>
      <c r="AJ278" s="532" t="e">
        <f>IF(NFI_Expiration=1,IF(#REF!&lt;VLOOKUP(S$5,NFI,5,0),1,0)*Table_NFI[[#This Row],[Plastic Bucket]],Table_NFI[Plastic Bucket])</f>
        <v>#REF!</v>
      </c>
      <c r="AK278" s="532" t="e">
        <f>IF(NFI_Expiration=1,IF(#REF!&lt;VLOOKUP(T$5,NFI,5,0),1,0)*Table_NFI[[#This Row],[Plastic Mat]],Table_NFI[Plastic Mat])*IF(Table_NFI[[#This Row],[Distribution Date]]&gt;"2014-04-01",1,2.5)</f>
        <v>#REF!</v>
      </c>
      <c r="AL278" s="532" t="e">
        <f>IF(NFI_Expiration=1,IF(#REF!&lt;VLOOKUP(U$5,NFI,5,0),1,0)*Table_NFI[[#This Row],[Winter Clothes Adult]],Table_NFI[Winter Clothes Adult])</f>
        <v>#REF!</v>
      </c>
      <c r="AM278" s="532"/>
      <c r="AN278" s="532"/>
      <c r="AO278" s="532"/>
      <c r="AP278" s="532">
        <f>IF(Table_NFI[[#This Row],[Winter Clothes Adult]]+Table_NFI[[#This Row],[Winter Clothes Children]]+Table_NFI[[#This Row],[Winter Items Other]]+Table_NFI[[#This Row],[Winter Blanket]]&gt;0,1,0)</f>
        <v>0</v>
      </c>
      <c r="AQ278" s="532"/>
      <c r="AR278" s="532"/>
      <c r="AS278" s="532"/>
      <c r="AT278" s="532"/>
      <c r="AU278" s="532"/>
      <c r="AV278" s="532"/>
      <c r="AW278" s="532"/>
      <c r="AX278" s="203" t="str">
        <f>IFERROR(VLOOKUP(Table_NFI[[#This Row],[Location]],CL,2,0),"")</f>
        <v>MMR015CMP001</v>
      </c>
      <c r="AZ278" s="524"/>
      <c r="DS278" s="181"/>
      <c r="DT278" s="181"/>
    </row>
    <row r="279" spans="2:124" hidden="1" x14ac:dyDescent="0.3">
      <c r="B279" s="530">
        <v>43251</v>
      </c>
      <c r="C279" s="530" t="str">
        <f>MONTH(Table_NFI[[#This Row],[Distribution Date]]) &amp; "/" &amp; YEAR(Table_NFI[[#This Row],[Distribution Date]])</f>
        <v>5/2018</v>
      </c>
      <c r="D279" s="196" t="s">
        <v>1452</v>
      </c>
      <c r="E279" s="196"/>
      <c r="F279" s="196" t="s">
        <v>378</v>
      </c>
      <c r="G279" s="195" t="s">
        <v>151</v>
      </c>
      <c r="H279" s="217" t="s">
        <v>909</v>
      </c>
      <c r="I279" s="181">
        <v>1</v>
      </c>
      <c r="J279" s="531"/>
      <c r="K279" s="531"/>
      <c r="L279" s="531"/>
      <c r="M279" s="531"/>
      <c r="N279" s="531">
        <v>2</v>
      </c>
      <c r="O279" s="531"/>
      <c r="P279" s="531">
        <v>2</v>
      </c>
      <c r="Q279" s="531">
        <v>2</v>
      </c>
      <c r="R279" s="531">
        <v>2</v>
      </c>
      <c r="S279" s="531">
        <v>1</v>
      </c>
      <c r="T279" s="531">
        <v>2</v>
      </c>
      <c r="U279" s="531"/>
      <c r="V279" s="531"/>
      <c r="W279" s="531"/>
      <c r="X279" s="531"/>
      <c r="Y279" s="531"/>
      <c r="Z279" s="531"/>
      <c r="AA279" s="531"/>
      <c r="AB279" s="531"/>
      <c r="AC279" s="532" t="e">
        <f>IF(NFI_Expiration=1,IF(#REF!&lt;VLOOKUP(L$5,NFI,5,0),1,0)*Table_NFI[[#This Row],[NFI Core Kit]],Table_NFI[NFI Core Kit])</f>
        <v>#REF!</v>
      </c>
      <c r="AD279" s="532" t="e">
        <f>IF(NFI_Expiration=1,IF(#REF!&lt;VLOOKUP(M$5,NFI,5,0),1,0)*Table_NFI[[#This Row],[Sanitary Kit]],Table_NFI[Sanitary Kit])</f>
        <v>#REF!</v>
      </c>
      <c r="AE279" s="532" t="e">
        <f>IF(NFI_Expiration=1,IF(#REF!&lt;VLOOKUP(N$5,NFI,5,0),1,0)*Table_NFI[[#This Row],[Mosquito net]],Table_NFI[Mosquito net])</f>
        <v>#REF!</v>
      </c>
      <c r="AF279" s="532" t="e">
        <f>IF(NFI_Expiration=1,IF(#REF!&lt;VLOOKUP(O$5,NFI,5,0),1,0)*Table_NFI[[#This Row],[Tarpaulin]],Table_NFI[[#This Row],[Tarpaulin]])</f>
        <v>#REF!</v>
      </c>
      <c r="AG279" s="532" t="e">
        <f>IF(NFI_Expiration=1,IF(#REF!&lt;VLOOKUP(P$5,NFI,5,0),1,0)*Table_NFI[[#This Row],[Blanket]],Table_NFI[[#This Row],[Blanket]])</f>
        <v>#REF!</v>
      </c>
      <c r="AH279" s="532" t="e">
        <f>IF(NFI_Expiration=1,IF(#REF!&lt;VLOOKUP(Q$5,NFI,5,0),1,0)*Table_NFI[[#This Row],[Kitchen Set]],Table_NFI[Kitchen Set])</f>
        <v>#REF!</v>
      </c>
      <c r="AI279" s="532" t="e">
        <f>IF(NFI_Expiration=1,IF(#REF!&lt;VLOOKUP(R$5,NFI,5,0),1,0)*Table_NFI[[#This Row],[Clothes Kit]],Table_NFI[Clothes Kit])</f>
        <v>#REF!</v>
      </c>
      <c r="AJ279" s="532" t="e">
        <f>IF(NFI_Expiration=1,IF(#REF!&lt;VLOOKUP(S$5,NFI,5,0),1,0)*Table_NFI[[#This Row],[Plastic Bucket]],Table_NFI[Plastic Bucket])</f>
        <v>#REF!</v>
      </c>
      <c r="AK279" s="532" t="e">
        <f>IF(NFI_Expiration=1,IF(#REF!&lt;VLOOKUP(T$5,NFI,5,0),1,0)*Table_NFI[[#This Row],[Plastic Mat]],Table_NFI[Plastic Mat])*IF(Table_NFI[[#This Row],[Distribution Date]]&gt;"2014-04-01",1,2.5)</f>
        <v>#REF!</v>
      </c>
      <c r="AL279" s="532" t="e">
        <f>IF(NFI_Expiration=1,IF(#REF!&lt;VLOOKUP(U$5,NFI,5,0),1,0)*Table_NFI[[#This Row],[Winter Clothes Adult]],Table_NFI[Winter Clothes Adult])</f>
        <v>#REF!</v>
      </c>
      <c r="AM279" s="532"/>
      <c r="AN279" s="532"/>
      <c r="AO279" s="532"/>
      <c r="AP279" s="532">
        <f>IF(Table_NFI[[#This Row],[Winter Clothes Adult]]+Table_NFI[[#This Row],[Winter Clothes Children]]+Table_NFI[[#This Row],[Winter Items Other]]+Table_NFI[[#This Row],[Winter Blanket]]&gt;0,1,0)</f>
        <v>0</v>
      </c>
      <c r="AQ279" s="532"/>
      <c r="AR279" s="532"/>
      <c r="AS279" s="532"/>
      <c r="AT279" s="532"/>
      <c r="AU279" s="532"/>
      <c r="AV279" s="532"/>
      <c r="AW279" s="532"/>
      <c r="AX279" s="203" t="str">
        <f>IFERROR(VLOOKUP(Table_NFI[[#This Row],[Location]],CL,2,0),"")</f>
        <v>MMR001CMP228</v>
      </c>
      <c r="AZ279" s="524"/>
      <c r="DS279" s="181"/>
      <c r="DT279" s="181"/>
    </row>
    <row r="280" spans="2:124" hidden="1" x14ac:dyDescent="0.25">
      <c r="B280" s="530">
        <v>43221</v>
      </c>
      <c r="C280" s="530" t="str">
        <f>MONTH(Table_NFI[[#This Row],[Distribution Date]]) &amp; "/" &amp; YEAR(Table_NFI[[#This Row],[Distribution Date]])</f>
        <v>5/2018</v>
      </c>
      <c r="D280" s="196" t="s">
        <v>778</v>
      </c>
      <c r="E280" s="196" t="s">
        <v>778</v>
      </c>
      <c r="F280" s="628" t="s">
        <v>378</v>
      </c>
      <c r="G280" s="195" t="s">
        <v>237</v>
      </c>
      <c r="H280" s="217" t="s">
        <v>1688</v>
      </c>
      <c r="I280" s="181"/>
      <c r="J280" s="531"/>
      <c r="K280" s="531"/>
      <c r="L280" s="531"/>
      <c r="M280" s="531"/>
      <c r="N280" s="531">
        <v>66</v>
      </c>
      <c r="O280" s="531"/>
      <c r="P280" s="531">
        <v>66</v>
      </c>
      <c r="Q280" s="531"/>
      <c r="R280" s="531"/>
      <c r="S280" s="531"/>
      <c r="T280" s="531">
        <v>66</v>
      </c>
      <c r="U280" s="531"/>
      <c r="V280" s="531"/>
      <c r="W280" s="531"/>
      <c r="X280" s="531"/>
      <c r="Y280" s="531"/>
      <c r="Z280" s="531"/>
      <c r="AA280" s="531"/>
      <c r="AB280" s="531"/>
      <c r="AC280" s="532" t="e">
        <f>IF(NFI_Expiration=1,IF(#REF!&lt;VLOOKUP(L$5,NFI,5,0),1,0)*Table_NFI[[#This Row],[NFI Core Kit]],Table_NFI[NFI Core Kit])</f>
        <v>#REF!</v>
      </c>
      <c r="AD280" s="532" t="e">
        <f>IF(NFI_Expiration=1,IF(#REF!&lt;VLOOKUP(M$5,NFI,5,0),1,0)*Table_NFI[[#This Row],[Sanitary Kit]],Table_NFI[Sanitary Kit])</f>
        <v>#REF!</v>
      </c>
      <c r="AE280" s="532" t="e">
        <f>IF(NFI_Expiration=1,IF(#REF!&lt;VLOOKUP(N$5,NFI,5,0),1,0)*Table_NFI[[#This Row],[Mosquito net]],Table_NFI[Mosquito net])</f>
        <v>#REF!</v>
      </c>
      <c r="AF280" s="532" t="e">
        <f>IF(NFI_Expiration=1,IF(#REF!&lt;VLOOKUP(O$5,NFI,5,0),1,0)*Table_NFI[[#This Row],[Tarpaulin]],Table_NFI[[#This Row],[Tarpaulin]])</f>
        <v>#REF!</v>
      </c>
      <c r="AG280" s="532" t="e">
        <f>IF(NFI_Expiration=1,IF(#REF!&lt;VLOOKUP(P$5,NFI,5,0),1,0)*Table_NFI[[#This Row],[Blanket]],Table_NFI[[#This Row],[Blanket]])</f>
        <v>#REF!</v>
      </c>
      <c r="AH280" s="532" t="e">
        <f>IF(NFI_Expiration=1,IF(#REF!&lt;VLOOKUP(Q$5,NFI,5,0),1,0)*Table_NFI[[#This Row],[Kitchen Set]],Table_NFI[Kitchen Set])</f>
        <v>#REF!</v>
      </c>
      <c r="AI280" s="532" t="e">
        <f>IF(NFI_Expiration=1,IF(#REF!&lt;VLOOKUP(R$5,NFI,5,0),1,0)*Table_NFI[[#This Row],[Clothes Kit]],Table_NFI[Clothes Kit])</f>
        <v>#REF!</v>
      </c>
      <c r="AJ280" s="532" t="e">
        <f>IF(NFI_Expiration=1,IF(#REF!&lt;VLOOKUP(S$5,NFI,5,0),1,0)*Table_NFI[[#This Row],[Plastic Bucket]],Table_NFI[Plastic Bucket])</f>
        <v>#REF!</v>
      </c>
      <c r="AK280" s="532" t="e">
        <f>IF(NFI_Expiration=1,IF(#REF!&lt;VLOOKUP(T$5,NFI,5,0),1,0)*Table_NFI[[#This Row],[Plastic Mat]],Table_NFI[Plastic Mat])*IF(Table_NFI[[#This Row],[Distribution Date]]&gt;"2014-04-01",1,2.5)</f>
        <v>#REF!</v>
      </c>
      <c r="AL280" s="532" t="e">
        <f>IF(NFI_Expiration=1,IF(#REF!&lt;VLOOKUP(U$5,NFI,5,0),1,0)*Table_NFI[[#This Row],[Winter Clothes Adult]],Table_NFI[Winter Clothes Adult])</f>
        <v>#REF!</v>
      </c>
      <c r="AM280" s="532"/>
      <c r="AN280" s="532"/>
      <c r="AO280" s="532"/>
      <c r="AP280" s="532">
        <f>IF(Table_NFI[[#This Row],[Winter Clothes Adult]]+Table_NFI[[#This Row],[Winter Clothes Children]]+Table_NFI[[#This Row],[Winter Items Other]]+Table_NFI[[#This Row],[Winter Blanket]]&gt;0,1,0)</f>
        <v>0</v>
      </c>
      <c r="AQ280" s="532"/>
      <c r="AR280" s="532"/>
      <c r="AS280" s="532"/>
      <c r="AT280" s="532"/>
      <c r="AU280" s="532"/>
      <c r="AV280" s="532"/>
      <c r="AW280" s="532"/>
      <c r="AX280" s="203" t="str">
        <f>IFERROR(VLOOKUP(Table_NFI[[#This Row],[Location]],CL,2,0),"")</f>
        <v>MMR001CMP263</v>
      </c>
      <c r="AZ280" s="524"/>
      <c r="DS280" s="181"/>
      <c r="DT280" s="181"/>
    </row>
    <row r="281" spans="2:124" hidden="1" x14ac:dyDescent="0.25">
      <c r="B281" s="530">
        <v>43225</v>
      </c>
      <c r="C281" s="530" t="str">
        <f>MONTH(Table_NFI[[#This Row],[Distribution Date]]) &amp; "/" &amp; YEAR(Table_NFI[[#This Row],[Distribution Date]])</f>
        <v>5/2018</v>
      </c>
      <c r="D281" s="196" t="s">
        <v>778</v>
      </c>
      <c r="E281" s="196" t="s">
        <v>778</v>
      </c>
      <c r="F281" s="628" t="s">
        <v>378</v>
      </c>
      <c r="G281" s="195" t="s">
        <v>237</v>
      </c>
      <c r="H281" s="217" t="s">
        <v>1634</v>
      </c>
      <c r="I281" s="181"/>
      <c r="J281" s="531"/>
      <c r="K281" s="531"/>
      <c r="L281" s="531"/>
      <c r="M281" s="531"/>
      <c r="N281" s="531">
        <v>101</v>
      </c>
      <c r="O281" s="531"/>
      <c r="P281" s="531">
        <v>101</v>
      </c>
      <c r="Q281" s="531"/>
      <c r="R281" s="531"/>
      <c r="S281" s="531"/>
      <c r="T281" s="531">
        <v>101</v>
      </c>
      <c r="U281" s="531"/>
      <c r="V281" s="531"/>
      <c r="W281" s="531"/>
      <c r="X281" s="531"/>
      <c r="Y281" s="531"/>
      <c r="Z281" s="531"/>
      <c r="AA281" s="531"/>
      <c r="AB281" s="531"/>
      <c r="AC281" s="532" t="e">
        <f>IF(NFI_Expiration=1,IF(#REF!&lt;VLOOKUP(L$5,NFI,5,0),1,0)*Table_NFI[[#This Row],[NFI Core Kit]],Table_NFI[NFI Core Kit])</f>
        <v>#REF!</v>
      </c>
      <c r="AD281" s="532" t="e">
        <f>IF(NFI_Expiration=1,IF(#REF!&lt;VLOOKUP(M$5,NFI,5,0),1,0)*Table_NFI[[#This Row],[Sanitary Kit]],Table_NFI[Sanitary Kit])</f>
        <v>#REF!</v>
      </c>
      <c r="AE281" s="532" t="e">
        <f>IF(NFI_Expiration=1,IF(#REF!&lt;VLOOKUP(N$5,NFI,5,0),1,0)*Table_NFI[[#This Row],[Mosquito net]],Table_NFI[Mosquito net])</f>
        <v>#REF!</v>
      </c>
      <c r="AF281" s="532" t="e">
        <f>IF(NFI_Expiration=1,IF(#REF!&lt;VLOOKUP(O$5,NFI,5,0),1,0)*Table_NFI[[#This Row],[Tarpaulin]],Table_NFI[[#This Row],[Tarpaulin]])</f>
        <v>#REF!</v>
      </c>
      <c r="AG281" s="532" t="e">
        <f>IF(NFI_Expiration=1,IF(#REF!&lt;VLOOKUP(P$5,NFI,5,0),1,0)*Table_NFI[[#This Row],[Blanket]],Table_NFI[[#This Row],[Blanket]])</f>
        <v>#REF!</v>
      </c>
      <c r="AH281" s="532" t="e">
        <f>IF(NFI_Expiration=1,IF(#REF!&lt;VLOOKUP(Q$5,NFI,5,0),1,0)*Table_NFI[[#This Row],[Kitchen Set]],Table_NFI[Kitchen Set])</f>
        <v>#REF!</v>
      </c>
      <c r="AI281" s="532" t="e">
        <f>IF(NFI_Expiration=1,IF(#REF!&lt;VLOOKUP(R$5,NFI,5,0),1,0)*Table_NFI[[#This Row],[Clothes Kit]],Table_NFI[Clothes Kit])</f>
        <v>#REF!</v>
      </c>
      <c r="AJ281" s="532" t="e">
        <f>IF(NFI_Expiration=1,IF(#REF!&lt;VLOOKUP(S$5,NFI,5,0),1,0)*Table_NFI[[#This Row],[Plastic Bucket]],Table_NFI[Plastic Bucket])</f>
        <v>#REF!</v>
      </c>
      <c r="AK281" s="532" t="e">
        <f>IF(NFI_Expiration=1,IF(#REF!&lt;VLOOKUP(T$5,NFI,5,0),1,0)*Table_NFI[[#This Row],[Plastic Mat]],Table_NFI[Plastic Mat])*IF(Table_NFI[[#This Row],[Distribution Date]]&gt;"2014-04-01",1,2.5)</f>
        <v>#REF!</v>
      </c>
      <c r="AL281" s="532" t="e">
        <f>IF(NFI_Expiration=1,IF(#REF!&lt;VLOOKUP(U$5,NFI,5,0),1,0)*Table_NFI[[#This Row],[Winter Clothes Adult]],Table_NFI[Winter Clothes Adult])</f>
        <v>#REF!</v>
      </c>
      <c r="AM281" s="532"/>
      <c r="AN281" s="532"/>
      <c r="AO281" s="532"/>
      <c r="AP281" s="532">
        <f>IF(Table_NFI[[#This Row],[Winter Clothes Adult]]+Table_NFI[[#This Row],[Winter Clothes Children]]+Table_NFI[[#This Row],[Winter Items Other]]+Table_NFI[[#This Row],[Winter Blanket]]&gt;0,1,0)</f>
        <v>0</v>
      </c>
      <c r="AQ281" s="532"/>
      <c r="AR281" s="532"/>
      <c r="AS281" s="532"/>
      <c r="AT281" s="532"/>
      <c r="AU281" s="532"/>
      <c r="AV281" s="532"/>
      <c r="AW281" s="532"/>
      <c r="AX281" s="203" t="str">
        <f>IFERROR(VLOOKUP(Table_NFI[[#This Row],[Location]],CL,2,0),"")</f>
        <v>MMR001CMP264</v>
      </c>
      <c r="AZ281" s="524"/>
      <c r="DS281" s="181"/>
      <c r="DT281" s="181"/>
    </row>
    <row r="282" spans="2:124" hidden="1" x14ac:dyDescent="0.3">
      <c r="B282" s="530">
        <v>43225</v>
      </c>
      <c r="C282" s="530" t="str">
        <f>MONTH(Table_NFI[[#This Row],[Distribution Date]]) &amp; "/" &amp; YEAR(Table_NFI[[#This Row],[Distribution Date]])</f>
        <v>5/2018</v>
      </c>
      <c r="D282" s="196" t="s">
        <v>778</v>
      </c>
      <c r="E282" s="196" t="s">
        <v>778</v>
      </c>
      <c r="F282" s="196" t="s">
        <v>378</v>
      </c>
      <c r="G282" s="195" t="s">
        <v>237</v>
      </c>
      <c r="H282" s="217" t="s">
        <v>1688</v>
      </c>
      <c r="I282" s="181"/>
      <c r="J282" s="531"/>
      <c r="K282" s="531"/>
      <c r="L282" s="531"/>
      <c r="M282" s="531"/>
      <c r="N282" s="531">
        <v>49</v>
      </c>
      <c r="O282" s="531"/>
      <c r="P282" s="531">
        <v>49</v>
      </c>
      <c r="Q282" s="531"/>
      <c r="R282" s="531"/>
      <c r="S282" s="531"/>
      <c r="T282" s="531">
        <v>49</v>
      </c>
      <c r="U282" s="531"/>
      <c r="V282" s="531"/>
      <c r="W282" s="531"/>
      <c r="X282" s="531"/>
      <c r="Y282" s="531"/>
      <c r="Z282" s="531"/>
      <c r="AA282" s="531"/>
      <c r="AB282" s="531"/>
      <c r="AC282" s="532" t="e">
        <f>IF(NFI_Expiration=1,IF(#REF!&lt;VLOOKUP(L$5,NFI,5,0),1,0)*Table_NFI[[#This Row],[NFI Core Kit]],Table_NFI[NFI Core Kit])</f>
        <v>#REF!</v>
      </c>
      <c r="AD282" s="532" t="e">
        <f>IF(NFI_Expiration=1,IF(#REF!&lt;VLOOKUP(M$5,NFI,5,0),1,0)*Table_NFI[[#This Row],[Sanitary Kit]],Table_NFI[Sanitary Kit])</f>
        <v>#REF!</v>
      </c>
      <c r="AE282" s="532" t="e">
        <f>IF(NFI_Expiration=1,IF(#REF!&lt;VLOOKUP(N$5,NFI,5,0),1,0)*Table_NFI[[#This Row],[Mosquito net]],Table_NFI[Mosquito net])</f>
        <v>#REF!</v>
      </c>
      <c r="AF282" s="532" t="e">
        <f>IF(NFI_Expiration=1,IF(#REF!&lt;VLOOKUP(O$5,NFI,5,0),1,0)*Table_NFI[[#This Row],[Tarpaulin]],Table_NFI[[#This Row],[Tarpaulin]])</f>
        <v>#REF!</v>
      </c>
      <c r="AG282" s="532" t="e">
        <f>IF(NFI_Expiration=1,IF(#REF!&lt;VLOOKUP(P$5,NFI,5,0),1,0)*Table_NFI[[#This Row],[Blanket]],Table_NFI[[#This Row],[Blanket]])</f>
        <v>#REF!</v>
      </c>
      <c r="AH282" s="532" t="e">
        <f>IF(NFI_Expiration=1,IF(#REF!&lt;VLOOKUP(Q$5,NFI,5,0),1,0)*Table_NFI[[#This Row],[Kitchen Set]],Table_NFI[Kitchen Set])</f>
        <v>#REF!</v>
      </c>
      <c r="AI282" s="532" t="e">
        <f>IF(NFI_Expiration=1,IF(#REF!&lt;VLOOKUP(R$5,NFI,5,0),1,0)*Table_NFI[[#This Row],[Clothes Kit]],Table_NFI[Clothes Kit])</f>
        <v>#REF!</v>
      </c>
      <c r="AJ282" s="532" t="e">
        <f>IF(NFI_Expiration=1,IF(#REF!&lt;VLOOKUP(S$5,NFI,5,0),1,0)*Table_NFI[[#This Row],[Plastic Bucket]],Table_NFI[Plastic Bucket])</f>
        <v>#REF!</v>
      </c>
      <c r="AK282" s="532" t="e">
        <f>IF(NFI_Expiration=1,IF(#REF!&lt;VLOOKUP(T$5,NFI,5,0),1,0)*Table_NFI[[#This Row],[Plastic Mat]],Table_NFI[Plastic Mat])*IF(Table_NFI[[#This Row],[Distribution Date]]&gt;"2014-04-01",1,2.5)</f>
        <v>#REF!</v>
      </c>
      <c r="AL282" s="532" t="e">
        <f>IF(NFI_Expiration=1,IF(#REF!&lt;VLOOKUP(U$5,NFI,5,0),1,0)*Table_NFI[[#This Row],[Winter Clothes Adult]],Table_NFI[Winter Clothes Adult])</f>
        <v>#REF!</v>
      </c>
      <c r="AM282" s="532"/>
      <c r="AN282" s="532"/>
      <c r="AO282" s="532"/>
      <c r="AP282" s="532">
        <f>IF(Table_NFI[[#This Row],[Winter Clothes Adult]]+Table_NFI[[#This Row],[Winter Clothes Children]]+Table_NFI[[#This Row],[Winter Items Other]]+Table_NFI[[#This Row],[Winter Blanket]]&gt;0,1,0)</f>
        <v>0</v>
      </c>
      <c r="AQ282" s="532"/>
      <c r="AR282" s="532"/>
      <c r="AS282" s="532"/>
      <c r="AT282" s="532"/>
      <c r="AU282" s="532"/>
      <c r="AV282" s="532"/>
      <c r="AW282" s="532"/>
      <c r="AX282" s="203" t="str">
        <f>IFERROR(VLOOKUP(Table_NFI[[#This Row],[Location]],CL,2,0),"")</f>
        <v>MMR001CMP263</v>
      </c>
      <c r="AZ282" s="524"/>
      <c r="DS282" s="181"/>
      <c r="DT282" s="181"/>
    </row>
    <row r="283" spans="2:124" hidden="1" x14ac:dyDescent="0.3">
      <c r="B283" s="530">
        <v>43229</v>
      </c>
      <c r="C283" s="530" t="str">
        <f>MONTH(Table_NFI[[#This Row],[Distribution Date]]) &amp; "/" &amp; YEAR(Table_NFI[[#This Row],[Distribution Date]])</f>
        <v>5/2018</v>
      </c>
      <c r="D283" s="196" t="s">
        <v>778</v>
      </c>
      <c r="E283" s="196" t="s">
        <v>778</v>
      </c>
      <c r="F283" s="196" t="s">
        <v>378</v>
      </c>
      <c r="G283" s="195" t="s">
        <v>237</v>
      </c>
      <c r="H283" s="217" t="s">
        <v>1689</v>
      </c>
      <c r="I283" s="181"/>
      <c r="J283" s="531"/>
      <c r="K283" s="531"/>
      <c r="L283" s="531"/>
      <c r="M283" s="531"/>
      <c r="N283" s="531">
        <v>92</v>
      </c>
      <c r="O283" s="531"/>
      <c r="P283" s="531">
        <v>92</v>
      </c>
      <c r="Q283" s="531"/>
      <c r="R283" s="531"/>
      <c r="S283" s="531"/>
      <c r="T283" s="531">
        <v>92</v>
      </c>
      <c r="U283" s="531"/>
      <c r="V283" s="531"/>
      <c r="W283" s="531"/>
      <c r="X283" s="531"/>
      <c r="Y283" s="531"/>
      <c r="Z283" s="531"/>
      <c r="AA283" s="531"/>
      <c r="AB283" s="531"/>
      <c r="AC283" s="532" t="e">
        <f>IF(NFI_Expiration=1,IF(#REF!&lt;VLOOKUP(L$5,NFI,5,0),1,0)*Table_NFI[[#This Row],[NFI Core Kit]],Table_NFI[NFI Core Kit])</f>
        <v>#REF!</v>
      </c>
      <c r="AD283" s="532" t="e">
        <f>IF(NFI_Expiration=1,IF(#REF!&lt;VLOOKUP(M$5,NFI,5,0),1,0)*Table_NFI[[#This Row],[Sanitary Kit]],Table_NFI[Sanitary Kit])</f>
        <v>#REF!</v>
      </c>
      <c r="AE283" s="532" t="e">
        <f>IF(NFI_Expiration=1,IF(#REF!&lt;VLOOKUP(N$5,NFI,5,0),1,0)*Table_NFI[[#This Row],[Mosquito net]],Table_NFI[Mosquito net])</f>
        <v>#REF!</v>
      </c>
      <c r="AF283" s="532" t="e">
        <f>IF(NFI_Expiration=1,IF(#REF!&lt;VLOOKUP(O$5,NFI,5,0),1,0)*Table_NFI[[#This Row],[Tarpaulin]],Table_NFI[[#This Row],[Tarpaulin]])</f>
        <v>#REF!</v>
      </c>
      <c r="AG283" s="532" t="e">
        <f>IF(NFI_Expiration=1,IF(#REF!&lt;VLOOKUP(P$5,NFI,5,0),1,0)*Table_NFI[[#This Row],[Blanket]],Table_NFI[[#This Row],[Blanket]])</f>
        <v>#REF!</v>
      </c>
      <c r="AH283" s="532" t="e">
        <f>IF(NFI_Expiration=1,IF(#REF!&lt;VLOOKUP(Q$5,NFI,5,0),1,0)*Table_NFI[[#This Row],[Kitchen Set]],Table_NFI[Kitchen Set])</f>
        <v>#REF!</v>
      </c>
      <c r="AI283" s="532" t="e">
        <f>IF(NFI_Expiration=1,IF(#REF!&lt;VLOOKUP(R$5,NFI,5,0),1,0)*Table_NFI[[#This Row],[Clothes Kit]],Table_NFI[Clothes Kit])</f>
        <v>#REF!</v>
      </c>
      <c r="AJ283" s="532" t="e">
        <f>IF(NFI_Expiration=1,IF(#REF!&lt;VLOOKUP(S$5,NFI,5,0),1,0)*Table_NFI[[#This Row],[Plastic Bucket]],Table_NFI[Plastic Bucket])</f>
        <v>#REF!</v>
      </c>
      <c r="AK283" s="532" t="e">
        <f>IF(NFI_Expiration=1,IF(#REF!&lt;VLOOKUP(T$5,NFI,5,0),1,0)*Table_NFI[[#This Row],[Plastic Mat]],Table_NFI[Plastic Mat])*IF(Table_NFI[[#This Row],[Distribution Date]]&gt;"2014-04-01",1,2.5)</f>
        <v>#REF!</v>
      </c>
      <c r="AL283" s="532" t="e">
        <f>IF(NFI_Expiration=1,IF(#REF!&lt;VLOOKUP(U$5,NFI,5,0),1,0)*Table_NFI[[#This Row],[Winter Clothes Adult]],Table_NFI[Winter Clothes Adult])</f>
        <v>#REF!</v>
      </c>
      <c r="AM283" s="532"/>
      <c r="AN283" s="532"/>
      <c r="AO283" s="532"/>
      <c r="AP283" s="532">
        <f>IF(Table_NFI[[#This Row],[Winter Clothes Adult]]+Table_NFI[[#This Row],[Winter Clothes Children]]+Table_NFI[[#This Row],[Winter Items Other]]+Table_NFI[[#This Row],[Winter Blanket]]&gt;0,1,0)</f>
        <v>0</v>
      </c>
      <c r="AQ283" s="532"/>
      <c r="AR283" s="532"/>
      <c r="AS283" s="532"/>
      <c r="AT283" s="532"/>
      <c r="AU283" s="532"/>
      <c r="AV283" s="532"/>
      <c r="AW283" s="532"/>
      <c r="AX283" s="203" t="str">
        <f>IFERROR(VLOOKUP(Table_NFI[[#This Row],[Location]],CL,2,0),"")</f>
        <v/>
      </c>
      <c r="AZ283" s="524"/>
      <c r="DS283" s="181"/>
      <c r="DT283" s="181"/>
    </row>
    <row r="284" spans="2:124" hidden="1" x14ac:dyDescent="0.3">
      <c r="B284" s="530">
        <v>43229</v>
      </c>
      <c r="C284" s="530" t="str">
        <f>MONTH(Table_NFI[[#This Row],[Distribution Date]]) &amp; "/" &amp; YEAR(Table_NFI[[#This Row],[Distribution Date]])</f>
        <v>5/2018</v>
      </c>
      <c r="D284" s="196" t="s">
        <v>778</v>
      </c>
      <c r="E284" s="196" t="s">
        <v>778</v>
      </c>
      <c r="F284" s="196" t="s">
        <v>378</v>
      </c>
      <c r="G284" s="195" t="s">
        <v>173</v>
      </c>
      <c r="H284" s="217" t="s">
        <v>1687</v>
      </c>
      <c r="I284" s="181"/>
      <c r="J284" s="531"/>
      <c r="K284" s="531"/>
      <c r="L284" s="531"/>
      <c r="M284" s="531"/>
      <c r="N284" s="531"/>
      <c r="O284" s="531"/>
      <c r="P284" s="531"/>
      <c r="Q284" s="531"/>
      <c r="R284" s="531"/>
      <c r="S284" s="531"/>
      <c r="T284" s="531"/>
      <c r="U284" s="531"/>
      <c r="V284" s="531"/>
      <c r="W284" s="531"/>
      <c r="X284" s="531"/>
      <c r="Y284" s="531"/>
      <c r="Z284" s="531"/>
      <c r="AA284" s="531">
        <v>80</v>
      </c>
      <c r="AB284" s="531"/>
      <c r="AC284" s="532" t="e">
        <f>IF(NFI_Expiration=1,IF(#REF!&lt;VLOOKUP(L$5,NFI,5,0),1,0)*Table_NFI[[#This Row],[NFI Core Kit]],Table_NFI[NFI Core Kit])</f>
        <v>#REF!</v>
      </c>
      <c r="AD284" s="532" t="e">
        <f>IF(NFI_Expiration=1,IF(#REF!&lt;VLOOKUP(M$5,NFI,5,0),1,0)*Table_NFI[[#This Row],[Sanitary Kit]],Table_NFI[Sanitary Kit])</f>
        <v>#REF!</v>
      </c>
      <c r="AE284" s="532" t="e">
        <f>IF(NFI_Expiration=1,IF(#REF!&lt;VLOOKUP(N$5,NFI,5,0),1,0)*Table_NFI[[#This Row],[Mosquito net]],Table_NFI[Mosquito net])</f>
        <v>#REF!</v>
      </c>
      <c r="AF284" s="532" t="e">
        <f>IF(NFI_Expiration=1,IF(#REF!&lt;VLOOKUP(O$5,NFI,5,0),1,0)*Table_NFI[[#This Row],[Tarpaulin]],Table_NFI[[#This Row],[Tarpaulin]])</f>
        <v>#REF!</v>
      </c>
      <c r="AG284" s="532" t="e">
        <f>IF(NFI_Expiration=1,IF(#REF!&lt;VLOOKUP(P$5,NFI,5,0),1,0)*Table_NFI[[#This Row],[Blanket]],Table_NFI[[#This Row],[Blanket]])</f>
        <v>#REF!</v>
      </c>
      <c r="AH284" s="532" t="e">
        <f>IF(NFI_Expiration=1,IF(#REF!&lt;VLOOKUP(Q$5,NFI,5,0),1,0)*Table_NFI[[#This Row],[Kitchen Set]],Table_NFI[Kitchen Set])</f>
        <v>#REF!</v>
      </c>
      <c r="AI284" s="532" t="e">
        <f>IF(NFI_Expiration=1,IF(#REF!&lt;VLOOKUP(R$5,NFI,5,0),1,0)*Table_NFI[[#This Row],[Clothes Kit]],Table_NFI[Clothes Kit])</f>
        <v>#REF!</v>
      </c>
      <c r="AJ284" s="532" t="e">
        <f>IF(NFI_Expiration=1,IF(#REF!&lt;VLOOKUP(S$5,NFI,5,0),1,0)*Table_NFI[[#This Row],[Plastic Bucket]],Table_NFI[Plastic Bucket])</f>
        <v>#REF!</v>
      </c>
      <c r="AK284" s="532" t="e">
        <f>IF(NFI_Expiration=1,IF(#REF!&lt;VLOOKUP(T$5,NFI,5,0),1,0)*Table_NFI[[#This Row],[Plastic Mat]],Table_NFI[Plastic Mat])*IF(Table_NFI[[#This Row],[Distribution Date]]&gt;"2014-04-01",1,2.5)</f>
        <v>#REF!</v>
      </c>
      <c r="AL284" s="532" t="e">
        <f>IF(NFI_Expiration=1,IF(#REF!&lt;VLOOKUP(U$5,NFI,5,0),1,0)*Table_NFI[[#This Row],[Winter Clothes Adult]],Table_NFI[Winter Clothes Adult])</f>
        <v>#REF!</v>
      </c>
      <c r="AM284" s="532"/>
      <c r="AN284" s="532"/>
      <c r="AO284" s="532"/>
      <c r="AP284" s="532">
        <f>IF(Table_NFI[[#This Row],[Winter Clothes Adult]]+Table_NFI[[#This Row],[Winter Clothes Children]]+Table_NFI[[#This Row],[Winter Items Other]]+Table_NFI[[#This Row],[Winter Blanket]]&gt;0,1,0)</f>
        <v>0</v>
      </c>
      <c r="AQ284" s="532"/>
      <c r="AR284" s="532"/>
      <c r="AS284" s="532"/>
      <c r="AT284" s="532"/>
      <c r="AU284" s="532"/>
      <c r="AV284" s="532"/>
      <c r="AW284" s="532"/>
      <c r="AX284" s="203" t="str">
        <f>IFERROR(VLOOKUP(Table_NFI[[#This Row],[Location]],CL,2,0),"")</f>
        <v>MMR001CMP261</v>
      </c>
      <c r="AZ284" s="524"/>
      <c r="DS284" s="181"/>
      <c r="DT284" s="181"/>
    </row>
    <row r="285" spans="2:124" hidden="1" x14ac:dyDescent="0.3">
      <c r="B285" s="530">
        <v>43229</v>
      </c>
      <c r="C285" s="530" t="str">
        <f>MONTH(Table_NFI[[#This Row],[Distribution Date]]) &amp; "/" &amp; YEAR(Table_NFI[[#This Row],[Distribution Date]])</f>
        <v>5/2018</v>
      </c>
      <c r="D285" s="196" t="s">
        <v>778</v>
      </c>
      <c r="E285" s="196" t="s">
        <v>778</v>
      </c>
      <c r="F285" s="196" t="s">
        <v>378</v>
      </c>
      <c r="G285" s="195" t="s">
        <v>173</v>
      </c>
      <c r="H285" s="217" t="s">
        <v>1626</v>
      </c>
      <c r="I285" s="181"/>
      <c r="J285" s="531"/>
      <c r="K285" s="531"/>
      <c r="L285" s="531"/>
      <c r="M285" s="531"/>
      <c r="N285" s="531"/>
      <c r="O285" s="531"/>
      <c r="P285" s="531"/>
      <c r="Q285" s="531"/>
      <c r="R285" s="531"/>
      <c r="S285" s="531"/>
      <c r="T285" s="531"/>
      <c r="U285" s="531"/>
      <c r="V285" s="531"/>
      <c r="W285" s="531"/>
      <c r="X285" s="531"/>
      <c r="Y285" s="531"/>
      <c r="Z285" s="531"/>
      <c r="AA285" s="531">
        <v>52</v>
      </c>
      <c r="AB285" s="531"/>
      <c r="AC285" s="532" t="e">
        <f>IF(NFI_Expiration=1,IF(#REF!&lt;VLOOKUP(L$5,NFI,5,0),1,0)*Table_NFI[[#This Row],[NFI Core Kit]],Table_NFI[NFI Core Kit])</f>
        <v>#REF!</v>
      </c>
      <c r="AD285" s="532" t="e">
        <f>IF(NFI_Expiration=1,IF(#REF!&lt;VLOOKUP(M$5,NFI,5,0),1,0)*Table_NFI[[#This Row],[Sanitary Kit]],Table_NFI[Sanitary Kit])</f>
        <v>#REF!</v>
      </c>
      <c r="AE285" s="532" t="e">
        <f>IF(NFI_Expiration=1,IF(#REF!&lt;VLOOKUP(N$5,NFI,5,0),1,0)*Table_NFI[[#This Row],[Mosquito net]],Table_NFI[Mosquito net])</f>
        <v>#REF!</v>
      </c>
      <c r="AF285" s="532" t="e">
        <f>IF(NFI_Expiration=1,IF(#REF!&lt;VLOOKUP(O$5,NFI,5,0),1,0)*Table_NFI[[#This Row],[Tarpaulin]],Table_NFI[[#This Row],[Tarpaulin]])</f>
        <v>#REF!</v>
      </c>
      <c r="AG285" s="532" t="e">
        <f>IF(NFI_Expiration=1,IF(#REF!&lt;VLOOKUP(P$5,NFI,5,0),1,0)*Table_NFI[[#This Row],[Blanket]],Table_NFI[[#This Row],[Blanket]])</f>
        <v>#REF!</v>
      </c>
      <c r="AH285" s="532" t="e">
        <f>IF(NFI_Expiration=1,IF(#REF!&lt;VLOOKUP(Q$5,NFI,5,0),1,0)*Table_NFI[[#This Row],[Kitchen Set]],Table_NFI[Kitchen Set])</f>
        <v>#REF!</v>
      </c>
      <c r="AI285" s="532" t="e">
        <f>IF(NFI_Expiration=1,IF(#REF!&lt;VLOOKUP(R$5,NFI,5,0),1,0)*Table_NFI[[#This Row],[Clothes Kit]],Table_NFI[Clothes Kit])</f>
        <v>#REF!</v>
      </c>
      <c r="AJ285" s="532" t="e">
        <f>IF(NFI_Expiration=1,IF(#REF!&lt;VLOOKUP(S$5,NFI,5,0),1,0)*Table_NFI[[#This Row],[Plastic Bucket]],Table_NFI[Plastic Bucket])</f>
        <v>#REF!</v>
      </c>
      <c r="AK285" s="532" t="e">
        <f>IF(NFI_Expiration=1,IF(#REF!&lt;VLOOKUP(T$5,NFI,5,0),1,0)*Table_NFI[[#This Row],[Plastic Mat]],Table_NFI[Plastic Mat])*IF(Table_NFI[[#This Row],[Distribution Date]]&gt;"2014-04-01",1,2.5)</f>
        <v>#REF!</v>
      </c>
      <c r="AL285" s="532" t="e">
        <f>IF(NFI_Expiration=1,IF(#REF!&lt;VLOOKUP(U$5,NFI,5,0),1,0)*Table_NFI[[#This Row],[Winter Clothes Adult]],Table_NFI[Winter Clothes Adult])</f>
        <v>#REF!</v>
      </c>
      <c r="AM285" s="532"/>
      <c r="AN285" s="532"/>
      <c r="AO285" s="532"/>
      <c r="AP285" s="532">
        <f>IF(Table_NFI[[#This Row],[Winter Clothes Adult]]+Table_NFI[[#This Row],[Winter Clothes Children]]+Table_NFI[[#This Row],[Winter Items Other]]+Table_NFI[[#This Row],[Winter Blanket]]&gt;0,1,0)</f>
        <v>0</v>
      </c>
      <c r="AQ285" s="532"/>
      <c r="AR285" s="532"/>
      <c r="AS285" s="532"/>
      <c r="AT285" s="532"/>
      <c r="AU285" s="532"/>
      <c r="AV285" s="532"/>
      <c r="AW285" s="532"/>
      <c r="AX285" s="203" t="str">
        <f>IFERROR(VLOOKUP(Table_NFI[[#This Row],[Location]],CL,2,0),"")</f>
        <v>MMR001CMP259</v>
      </c>
      <c r="AZ285" s="524"/>
      <c r="DS285" s="181"/>
      <c r="DT285" s="181"/>
    </row>
    <row r="286" spans="2:124" hidden="1" x14ac:dyDescent="0.3">
      <c r="B286" s="530">
        <v>43229</v>
      </c>
      <c r="C286" s="530" t="str">
        <f>MONTH(Table_NFI[[#This Row],[Distribution Date]]) &amp; "/" &amp; YEAR(Table_NFI[[#This Row],[Distribution Date]])</f>
        <v>5/2018</v>
      </c>
      <c r="D286" s="196" t="s">
        <v>778</v>
      </c>
      <c r="E286" s="196" t="s">
        <v>778</v>
      </c>
      <c r="F286" s="196" t="s">
        <v>378</v>
      </c>
      <c r="G286" s="195" t="s">
        <v>173</v>
      </c>
      <c r="H286" s="217" t="s">
        <v>1627</v>
      </c>
      <c r="I286" s="181"/>
      <c r="J286" s="531"/>
      <c r="K286" s="531"/>
      <c r="L286" s="531"/>
      <c r="M286" s="531"/>
      <c r="N286" s="531"/>
      <c r="O286" s="531"/>
      <c r="P286" s="531"/>
      <c r="Q286" s="531"/>
      <c r="R286" s="531"/>
      <c r="S286" s="531"/>
      <c r="T286" s="531"/>
      <c r="U286" s="531"/>
      <c r="V286" s="531"/>
      <c r="W286" s="531"/>
      <c r="X286" s="531"/>
      <c r="Y286" s="531"/>
      <c r="Z286" s="531"/>
      <c r="AA286" s="531">
        <v>22</v>
      </c>
      <c r="AB286" s="531"/>
      <c r="AC286" s="532" t="e">
        <f>IF(NFI_Expiration=1,IF(#REF!&lt;VLOOKUP(L$5,NFI,5,0),1,0)*Table_NFI[[#This Row],[NFI Core Kit]],Table_NFI[NFI Core Kit])</f>
        <v>#REF!</v>
      </c>
      <c r="AD286" s="532" t="e">
        <f>IF(NFI_Expiration=1,IF(#REF!&lt;VLOOKUP(M$5,NFI,5,0),1,0)*Table_NFI[[#This Row],[Sanitary Kit]],Table_NFI[Sanitary Kit])</f>
        <v>#REF!</v>
      </c>
      <c r="AE286" s="532" t="e">
        <f>IF(NFI_Expiration=1,IF(#REF!&lt;VLOOKUP(N$5,NFI,5,0),1,0)*Table_NFI[[#This Row],[Mosquito net]],Table_NFI[Mosquito net])</f>
        <v>#REF!</v>
      </c>
      <c r="AF286" s="532" t="e">
        <f>IF(NFI_Expiration=1,IF(#REF!&lt;VLOOKUP(O$5,NFI,5,0),1,0)*Table_NFI[[#This Row],[Tarpaulin]],Table_NFI[[#This Row],[Tarpaulin]])</f>
        <v>#REF!</v>
      </c>
      <c r="AG286" s="532" t="e">
        <f>IF(NFI_Expiration=1,IF(#REF!&lt;VLOOKUP(P$5,NFI,5,0),1,0)*Table_NFI[[#This Row],[Blanket]],Table_NFI[[#This Row],[Blanket]])</f>
        <v>#REF!</v>
      </c>
      <c r="AH286" s="532" t="e">
        <f>IF(NFI_Expiration=1,IF(#REF!&lt;VLOOKUP(Q$5,NFI,5,0),1,0)*Table_NFI[[#This Row],[Kitchen Set]],Table_NFI[Kitchen Set])</f>
        <v>#REF!</v>
      </c>
      <c r="AI286" s="532" t="e">
        <f>IF(NFI_Expiration=1,IF(#REF!&lt;VLOOKUP(R$5,NFI,5,0),1,0)*Table_NFI[[#This Row],[Clothes Kit]],Table_NFI[Clothes Kit])</f>
        <v>#REF!</v>
      </c>
      <c r="AJ286" s="532" t="e">
        <f>IF(NFI_Expiration=1,IF(#REF!&lt;VLOOKUP(S$5,NFI,5,0),1,0)*Table_NFI[[#This Row],[Plastic Bucket]],Table_NFI[Plastic Bucket])</f>
        <v>#REF!</v>
      </c>
      <c r="AK286" s="532" t="e">
        <f>IF(NFI_Expiration=1,IF(#REF!&lt;VLOOKUP(T$5,NFI,5,0),1,0)*Table_NFI[[#This Row],[Plastic Mat]],Table_NFI[Plastic Mat])*IF(Table_NFI[[#This Row],[Distribution Date]]&gt;"2014-04-01",1,2.5)</f>
        <v>#REF!</v>
      </c>
      <c r="AL286" s="532" t="e">
        <f>IF(NFI_Expiration=1,IF(#REF!&lt;VLOOKUP(U$5,NFI,5,0),1,0)*Table_NFI[[#This Row],[Winter Clothes Adult]],Table_NFI[Winter Clothes Adult])</f>
        <v>#REF!</v>
      </c>
      <c r="AM286" s="532"/>
      <c r="AN286" s="532"/>
      <c r="AO286" s="532"/>
      <c r="AP286" s="532">
        <f>IF(Table_NFI[[#This Row],[Winter Clothes Adult]]+Table_NFI[[#This Row],[Winter Clothes Children]]+Table_NFI[[#This Row],[Winter Items Other]]+Table_NFI[[#This Row],[Winter Blanket]]&gt;0,1,0)</f>
        <v>0</v>
      </c>
      <c r="AQ286" s="532"/>
      <c r="AR286" s="532"/>
      <c r="AS286" s="532"/>
      <c r="AT286" s="532"/>
      <c r="AU286" s="532"/>
      <c r="AV286" s="532"/>
      <c r="AW286" s="532"/>
      <c r="AX286" s="203" t="str">
        <f>IFERROR(VLOOKUP(Table_NFI[[#This Row],[Location]],CL,2,0),"")</f>
        <v>MMR001CMP260</v>
      </c>
      <c r="AZ286" s="524"/>
      <c r="DS286" s="181"/>
      <c r="DT286" s="181"/>
    </row>
    <row r="287" spans="2:124" hidden="1" x14ac:dyDescent="0.3">
      <c r="B287" s="530">
        <v>43229</v>
      </c>
      <c r="C287" s="530" t="str">
        <f>MONTH(Table_NFI[[#This Row],[Distribution Date]]) &amp; "/" &amp; YEAR(Table_NFI[[#This Row],[Distribution Date]])</f>
        <v>5/2018</v>
      </c>
      <c r="D287" s="196" t="s">
        <v>778</v>
      </c>
      <c r="E287" s="196" t="s">
        <v>778</v>
      </c>
      <c r="F287" s="196" t="s">
        <v>378</v>
      </c>
      <c r="G287" s="195" t="s">
        <v>173</v>
      </c>
      <c r="H287" s="217" t="s">
        <v>1627</v>
      </c>
      <c r="I287" s="181"/>
      <c r="J287" s="531"/>
      <c r="K287" s="531"/>
      <c r="L287" s="531"/>
      <c r="M287" s="531"/>
      <c r="N287" s="531"/>
      <c r="O287" s="531"/>
      <c r="P287" s="531">
        <v>47</v>
      </c>
      <c r="Q287" s="531"/>
      <c r="R287" s="531"/>
      <c r="S287" s="531"/>
      <c r="T287" s="531">
        <v>59</v>
      </c>
      <c r="U287" s="531"/>
      <c r="V287" s="531"/>
      <c r="W287" s="531"/>
      <c r="X287" s="531"/>
      <c r="Y287" s="531"/>
      <c r="Z287" s="531"/>
      <c r="AA287" s="531"/>
      <c r="AB287" s="531"/>
      <c r="AC287" s="532" t="e">
        <f>IF(NFI_Expiration=1,IF(#REF!&lt;VLOOKUP(L$5,NFI,5,0),1,0)*Table_NFI[[#This Row],[NFI Core Kit]],Table_NFI[NFI Core Kit])</f>
        <v>#REF!</v>
      </c>
      <c r="AD287" s="532" t="e">
        <f>IF(NFI_Expiration=1,IF(#REF!&lt;VLOOKUP(M$5,NFI,5,0),1,0)*Table_NFI[[#This Row],[Sanitary Kit]],Table_NFI[Sanitary Kit])</f>
        <v>#REF!</v>
      </c>
      <c r="AE287" s="532" t="e">
        <f>IF(NFI_Expiration=1,IF(#REF!&lt;VLOOKUP(N$5,NFI,5,0),1,0)*Table_NFI[[#This Row],[Mosquito net]],Table_NFI[Mosquito net])</f>
        <v>#REF!</v>
      </c>
      <c r="AF287" s="532" t="e">
        <f>IF(NFI_Expiration=1,IF(#REF!&lt;VLOOKUP(O$5,NFI,5,0),1,0)*Table_NFI[[#This Row],[Tarpaulin]],Table_NFI[[#This Row],[Tarpaulin]])</f>
        <v>#REF!</v>
      </c>
      <c r="AG287" s="532" t="e">
        <f>IF(NFI_Expiration=1,IF(#REF!&lt;VLOOKUP(P$5,NFI,5,0),1,0)*Table_NFI[[#This Row],[Blanket]],Table_NFI[[#This Row],[Blanket]])</f>
        <v>#REF!</v>
      </c>
      <c r="AH287" s="532" t="e">
        <f>IF(NFI_Expiration=1,IF(#REF!&lt;VLOOKUP(Q$5,NFI,5,0),1,0)*Table_NFI[[#This Row],[Kitchen Set]],Table_NFI[Kitchen Set])</f>
        <v>#REF!</v>
      </c>
      <c r="AI287" s="532" t="e">
        <f>IF(NFI_Expiration=1,IF(#REF!&lt;VLOOKUP(R$5,NFI,5,0),1,0)*Table_NFI[[#This Row],[Clothes Kit]],Table_NFI[Clothes Kit])</f>
        <v>#REF!</v>
      </c>
      <c r="AJ287" s="532" t="e">
        <f>IF(NFI_Expiration=1,IF(#REF!&lt;VLOOKUP(S$5,NFI,5,0),1,0)*Table_NFI[[#This Row],[Plastic Bucket]],Table_NFI[Plastic Bucket])</f>
        <v>#REF!</v>
      </c>
      <c r="AK287" s="532" t="e">
        <f>IF(NFI_Expiration=1,IF(#REF!&lt;VLOOKUP(T$5,NFI,5,0),1,0)*Table_NFI[[#This Row],[Plastic Mat]],Table_NFI[Plastic Mat])*IF(Table_NFI[[#This Row],[Distribution Date]]&gt;"2014-04-01",1,2.5)</f>
        <v>#REF!</v>
      </c>
      <c r="AL287" s="532" t="e">
        <f>IF(NFI_Expiration=1,IF(#REF!&lt;VLOOKUP(U$5,NFI,5,0),1,0)*Table_NFI[[#This Row],[Winter Clothes Adult]],Table_NFI[Winter Clothes Adult])</f>
        <v>#REF!</v>
      </c>
      <c r="AM287" s="532"/>
      <c r="AN287" s="532"/>
      <c r="AO287" s="532"/>
      <c r="AP287" s="532">
        <f>IF(Table_NFI[[#This Row],[Winter Clothes Adult]]+Table_NFI[[#This Row],[Winter Clothes Children]]+Table_NFI[[#This Row],[Winter Items Other]]+Table_NFI[[#This Row],[Winter Blanket]]&gt;0,1,0)</f>
        <v>0</v>
      </c>
      <c r="AQ287" s="532"/>
      <c r="AR287" s="532"/>
      <c r="AS287" s="532"/>
      <c r="AT287" s="532"/>
      <c r="AU287" s="532"/>
      <c r="AV287" s="532"/>
      <c r="AW287" s="532"/>
      <c r="AX287" s="203" t="str">
        <f>IFERROR(VLOOKUP(Table_NFI[[#This Row],[Location]],CL,2,0),"")</f>
        <v>MMR001CMP260</v>
      </c>
      <c r="AZ287" s="524"/>
      <c r="DS287" s="181"/>
      <c r="DT287" s="181"/>
    </row>
    <row r="288" spans="2:124" hidden="1" x14ac:dyDescent="0.3">
      <c r="B288" s="530">
        <v>43235</v>
      </c>
      <c r="C288" s="530" t="str">
        <f>MONTH(Table_NFI[[#This Row],[Distribution Date]]) &amp; "/" &amp; YEAR(Table_NFI[[#This Row],[Distribution Date]])</f>
        <v>5/2018</v>
      </c>
      <c r="D288" s="196" t="s">
        <v>1608</v>
      </c>
      <c r="E288" s="196" t="s">
        <v>424</v>
      </c>
      <c r="F288" s="196" t="s">
        <v>378</v>
      </c>
      <c r="G288" s="195" t="s">
        <v>237</v>
      </c>
      <c r="H288" s="217" t="s">
        <v>1689</v>
      </c>
      <c r="I288" s="181"/>
      <c r="J288" s="531"/>
      <c r="K288" s="531"/>
      <c r="L288" s="531">
        <v>21</v>
      </c>
      <c r="M288" s="531"/>
      <c r="N288" s="531">
        <v>42</v>
      </c>
      <c r="O288" s="531">
        <v>42</v>
      </c>
      <c r="P288" s="531">
        <v>42</v>
      </c>
      <c r="Q288" s="531">
        <v>21</v>
      </c>
      <c r="R288" s="531"/>
      <c r="S288" s="531">
        <v>21</v>
      </c>
      <c r="T288" s="531"/>
      <c r="U288" s="531"/>
      <c r="V288" s="531"/>
      <c r="W288" s="531"/>
      <c r="X288" s="531"/>
      <c r="Y288" s="531"/>
      <c r="Z288" s="531"/>
      <c r="AA288" s="531"/>
      <c r="AB288" s="531"/>
      <c r="AC288" s="532" t="e">
        <f>IF(NFI_Expiration=1,IF(#REF!&lt;VLOOKUP(L$5,NFI,5,0),1,0)*Table_NFI[[#This Row],[NFI Core Kit]],Table_NFI[NFI Core Kit])</f>
        <v>#REF!</v>
      </c>
      <c r="AD288" s="532" t="e">
        <f>IF(NFI_Expiration=1,IF(#REF!&lt;VLOOKUP(M$5,NFI,5,0),1,0)*Table_NFI[[#This Row],[Sanitary Kit]],Table_NFI[Sanitary Kit])</f>
        <v>#REF!</v>
      </c>
      <c r="AE288" s="532" t="e">
        <f>IF(NFI_Expiration=1,IF(#REF!&lt;VLOOKUP(N$5,NFI,5,0),1,0)*Table_NFI[[#This Row],[Mosquito net]],Table_NFI[Mosquito net])</f>
        <v>#REF!</v>
      </c>
      <c r="AF288" s="532" t="e">
        <f>IF(NFI_Expiration=1,IF(#REF!&lt;VLOOKUP(O$5,NFI,5,0),1,0)*Table_NFI[[#This Row],[Tarpaulin]],Table_NFI[[#This Row],[Tarpaulin]])</f>
        <v>#REF!</v>
      </c>
      <c r="AG288" s="532" t="e">
        <f>IF(NFI_Expiration=1,IF(#REF!&lt;VLOOKUP(P$5,NFI,5,0),1,0)*Table_NFI[[#This Row],[Blanket]],Table_NFI[[#This Row],[Blanket]])</f>
        <v>#REF!</v>
      </c>
      <c r="AH288" s="532" t="e">
        <f>IF(NFI_Expiration=1,IF(#REF!&lt;VLOOKUP(Q$5,NFI,5,0),1,0)*Table_NFI[[#This Row],[Kitchen Set]],Table_NFI[Kitchen Set])</f>
        <v>#REF!</v>
      </c>
      <c r="AI288" s="532" t="e">
        <f>IF(NFI_Expiration=1,IF(#REF!&lt;VLOOKUP(R$5,NFI,5,0),1,0)*Table_NFI[[#This Row],[Clothes Kit]],Table_NFI[Clothes Kit])</f>
        <v>#REF!</v>
      </c>
      <c r="AJ288" s="532" t="e">
        <f>IF(NFI_Expiration=1,IF(#REF!&lt;VLOOKUP(S$5,NFI,5,0),1,0)*Table_NFI[[#This Row],[Plastic Bucket]],Table_NFI[Plastic Bucket])</f>
        <v>#REF!</v>
      </c>
      <c r="AK288" s="532" t="e">
        <f>IF(NFI_Expiration=1,IF(#REF!&lt;VLOOKUP(T$5,NFI,5,0),1,0)*Table_NFI[[#This Row],[Plastic Mat]],Table_NFI[Plastic Mat])*IF(Table_NFI[[#This Row],[Distribution Date]]&gt;"2014-04-01",1,2.5)</f>
        <v>#REF!</v>
      </c>
      <c r="AL288" s="532" t="e">
        <f>IF(NFI_Expiration=1,IF(#REF!&lt;VLOOKUP(U$5,NFI,5,0),1,0)*Table_NFI[[#This Row],[Winter Clothes Adult]],Table_NFI[Winter Clothes Adult])</f>
        <v>#REF!</v>
      </c>
      <c r="AM288" s="532"/>
      <c r="AN288" s="532"/>
      <c r="AO288" s="532"/>
      <c r="AP288" s="532">
        <f>IF(Table_NFI[[#This Row],[Winter Clothes Adult]]+Table_NFI[[#This Row],[Winter Clothes Children]]+Table_NFI[[#This Row],[Winter Items Other]]+Table_NFI[[#This Row],[Winter Blanket]]&gt;0,1,0)</f>
        <v>0</v>
      </c>
      <c r="AQ288" s="532"/>
      <c r="AR288" s="532"/>
      <c r="AS288" s="532"/>
      <c r="AT288" s="532"/>
      <c r="AU288" s="532"/>
      <c r="AV288" s="532"/>
      <c r="AW288" s="532"/>
      <c r="AX288" s="203" t="str">
        <f>IFERROR(VLOOKUP(Table_NFI[[#This Row],[Location]],CL,2,0),"")</f>
        <v/>
      </c>
      <c r="AZ288" s="524"/>
      <c r="DS288" s="181"/>
      <c r="DT288" s="181"/>
    </row>
    <row r="289" spans="2:124" hidden="1" x14ac:dyDescent="0.3">
      <c r="B289" s="530">
        <v>43239</v>
      </c>
      <c r="C289" s="530" t="str">
        <f>MONTH(Table_NFI[[#This Row],[Distribution Date]]) &amp; "/" &amp; YEAR(Table_NFI[[#This Row],[Distribution Date]])</f>
        <v>5/2018</v>
      </c>
      <c r="D289" s="196" t="s">
        <v>1608</v>
      </c>
      <c r="E289" s="196" t="s">
        <v>424</v>
      </c>
      <c r="F289" s="196" t="s">
        <v>378</v>
      </c>
      <c r="G289" s="195" t="s">
        <v>309</v>
      </c>
      <c r="H289" s="217" t="s">
        <v>1697</v>
      </c>
      <c r="I289" s="181"/>
      <c r="J289" s="531"/>
      <c r="K289" s="531"/>
      <c r="L289" s="531">
        <v>57</v>
      </c>
      <c r="M289" s="531"/>
      <c r="N289" s="531"/>
      <c r="O289" s="531"/>
      <c r="P289" s="531"/>
      <c r="Q289" s="531"/>
      <c r="R289" s="531"/>
      <c r="S289" s="531"/>
      <c r="T289" s="531"/>
      <c r="U289" s="531"/>
      <c r="V289" s="531"/>
      <c r="W289" s="531"/>
      <c r="X289" s="531"/>
      <c r="Y289" s="531"/>
      <c r="Z289" s="531"/>
      <c r="AA289" s="531"/>
      <c r="AB289" s="531"/>
      <c r="AC289" s="532" t="e">
        <f>IF(NFI_Expiration=1,IF(#REF!&lt;VLOOKUP(L$5,NFI,5,0),1,0)*Table_NFI[[#This Row],[NFI Core Kit]],Table_NFI[NFI Core Kit])</f>
        <v>#REF!</v>
      </c>
      <c r="AD289" s="532" t="e">
        <f>IF(NFI_Expiration=1,IF(#REF!&lt;VLOOKUP(M$5,NFI,5,0),1,0)*Table_NFI[[#This Row],[Sanitary Kit]],Table_NFI[Sanitary Kit])</f>
        <v>#REF!</v>
      </c>
      <c r="AE289" s="532" t="e">
        <f>IF(NFI_Expiration=1,IF(#REF!&lt;VLOOKUP(N$5,NFI,5,0),1,0)*Table_NFI[[#This Row],[Mosquito net]],Table_NFI[Mosquito net])</f>
        <v>#REF!</v>
      </c>
      <c r="AF289" s="532" t="e">
        <f>IF(NFI_Expiration=1,IF(#REF!&lt;VLOOKUP(O$5,NFI,5,0),1,0)*Table_NFI[[#This Row],[Tarpaulin]],Table_NFI[[#This Row],[Tarpaulin]])</f>
        <v>#REF!</v>
      </c>
      <c r="AG289" s="532" t="e">
        <f>IF(NFI_Expiration=1,IF(#REF!&lt;VLOOKUP(P$5,NFI,5,0),1,0)*Table_NFI[[#This Row],[Blanket]],Table_NFI[[#This Row],[Blanket]])</f>
        <v>#REF!</v>
      </c>
      <c r="AH289" s="532" t="e">
        <f>IF(NFI_Expiration=1,IF(#REF!&lt;VLOOKUP(Q$5,NFI,5,0),1,0)*Table_NFI[[#This Row],[Kitchen Set]],Table_NFI[Kitchen Set])</f>
        <v>#REF!</v>
      </c>
      <c r="AI289" s="532" t="e">
        <f>IF(NFI_Expiration=1,IF(#REF!&lt;VLOOKUP(R$5,NFI,5,0),1,0)*Table_NFI[[#This Row],[Clothes Kit]],Table_NFI[Clothes Kit])</f>
        <v>#REF!</v>
      </c>
      <c r="AJ289" s="532" t="e">
        <f>IF(NFI_Expiration=1,IF(#REF!&lt;VLOOKUP(S$5,NFI,5,0),1,0)*Table_NFI[[#This Row],[Plastic Bucket]],Table_NFI[Plastic Bucket])</f>
        <v>#REF!</v>
      </c>
      <c r="AK289" s="532" t="e">
        <f>IF(NFI_Expiration=1,IF(#REF!&lt;VLOOKUP(T$5,NFI,5,0),1,0)*Table_NFI[[#This Row],[Plastic Mat]],Table_NFI[Plastic Mat])*IF(Table_NFI[[#This Row],[Distribution Date]]&gt;"2014-04-01",1,2.5)</f>
        <v>#REF!</v>
      </c>
      <c r="AL289" s="532" t="e">
        <f>IF(NFI_Expiration=1,IF(#REF!&lt;VLOOKUP(U$5,NFI,5,0),1,0)*Table_NFI[[#This Row],[Winter Clothes Adult]],Table_NFI[Winter Clothes Adult])</f>
        <v>#REF!</v>
      </c>
      <c r="AM289" s="532"/>
      <c r="AN289" s="532"/>
      <c r="AO289" s="532"/>
      <c r="AP289" s="532">
        <f>IF(Table_NFI[[#This Row],[Winter Clothes Adult]]+Table_NFI[[#This Row],[Winter Clothes Children]]+Table_NFI[[#This Row],[Winter Items Other]]+Table_NFI[[#This Row],[Winter Blanket]]&gt;0,1,0)</f>
        <v>0</v>
      </c>
      <c r="AQ289" s="532"/>
      <c r="AR289" s="532"/>
      <c r="AS289" s="532"/>
      <c r="AT289" s="532"/>
      <c r="AU289" s="532"/>
      <c r="AV289" s="532"/>
      <c r="AW289" s="532"/>
      <c r="AX289" s="203" t="str">
        <f>IFERROR(VLOOKUP(Table_NFI[[#This Row],[Location]],CL,2,0),"")</f>
        <v>MMR001CMP269</v>
      </c>
      <c r="AZ289" s="524"/>
      <c r="DS289" s="181"/>
      <c r="DT289" s="181"/>
    </row>
    <row r="290" spans="2:124" hidden="1" x14ac:dyDescent="0.3">
      <c r="B290" s="530">
        <v>43231</v>
      </c>
      <c r="C290" s="530" t="str">
        <f>MONTH(Table_NFI[[#This Row],[Distribution Date]]) &amp; "/" &amp; YEAR(Table_NFI[[#This Row],[Distribution Date]])</f>
        <v>5/2018</v>
      </c>
      <c r="D290" s="196" t="s">
        <v>1608</v>
      </c>
      <c r="E290" s="196" t="s">
        <v>424</v>
      </c>
      <c r="F290" s="196" t="s">
        <v>378</v>
      </c>
      <c r="G290" s="195" t="s">
        <v>361</v>
      </c>
      <c r="H290" s="217" t="s">
        <v>1660</v>
      </c>
      <c r="I290" s="181"/>
      <c r="J290" s="531"/>
      <c r="K290" s="531"/>
      <c r="L290" s="531">
        <v>25</v>
      </c>
      <c r="M290" s="531"/>
      <c r="N290" s="531"/>
      <c r="O290" s="531"/>
      <c r="P290" s="531"/>
      <c r="Q290" s="531"/>
      <c r="R290" s="531"/>
      <c r="S290" s="531"/>
      <c r="T290" s="531"/>
      <c r="U290" s="531"/>
      <c r="V290" s="531"/>
      <c r="W290" s="531"/>
      <c r="X290" s="531"/>
      <c r="Y290" s="531"/>
      <c r="Z290" s="531"/>
      <c r="AA290" s="531"/>
      <c r="AB290" s="531"/>
      <c r="AC290" s="532" t="e">
        <f>IF(NFI_Expiration=1,IF(#REF!&lt;VLOOKUP(L$5,NFI,5,0),1,0)*Table_NFI[[#This Row],[NFI Core Kit]],Table_NFI[NFI Core Kit])</f>
        <v>#REF!</v>
      </c>
      <c r="AD290" s="532" t="e">
        <f>IF(NFI_Expiration=1,IF(#REF!&lt;VLOOKUP(M$5,NFI,5,0),1,0)*Table_NFI[[#This Row],[Sanitary Kit]],Table_NFI[Sanitary Kit])</f>
        <v>#REF!</v>
      </c>
      <c r="AE290" s="532" t="e">
        <f>IF(NFI_Expiration=1,IF(#REF!&lt;VLOOKUP(N$5,NFI,5,0),1,0)*Table_NFI[[#This Row],[Mosquito net]],Table_NFI[Mosquito net])</f>
        <v>#REF!</v>
      </c>
      <c r="AF290" s="532" t="e">
        <f>IF(NFI_Expiration=1,IF(#REF!&lt;VLOOKUP(O$5,NFI,5,0),1,0)*Table_NFI[[#This Row],[Tarpaulin]],Table_NFI[[#This Row],[Tarpaulin]])</f>
        <v>#REF!</v>
      </c>
      <c r="AG290" s="532" t="e">
        <f>IF(NFI_Expiration=1,IF(#REF!&lt;VLOOKUP(P$5,NFI,5,0),1,0)*Table_NFI[[#This Row],[Blanket]],Table_NFI[[#This Row],[Blanket]])</f>
        <v>#REF!</v>
      </c>
      <c r="AH290" s="532" t="e">
        <f>IF(NFI_Expiration=1,IF(#REF!&lt;VLOOKUP(Q$5,NFI,5,0),1,0)*Table_NFI[[#This Row],[Kitchen Set]],Table_NFI[Kitchen Set])</f>
        <v>#REF!</v>
      </c>
      <c r="AI290" s="532" t="e">
        <f>IF(NFI_Expiration=1,IF(#REF!&lt;VLOOKUP(R$5,NFI,5,0),1,0)*Table_NFI[[#This Row],[Clothes Kit]],Table_NFI[Clothes Kit])</f>
        <v>#REF!</v>
      </c>
      <c r="AJ290" s="532" t="e">
        <f>IF(NFI_Expiration=1,IF(#REF!&lt;VLOOKUP(S$5,NFI,5,0),1,0)*Table_NFI[[#This Row],[Plastic Bucket]],Table_NFI[Plastic Bucket])</f>
        <v>#REF!</v>
      </c>
      <c r="AK290" s="532" t="e">
        <f>IF(NFI_Expiration=1,IF(#REF!&lt;VLOOKUP(T$5,NFI,5,0),1,0)*Table_NFI[[#This Row],[Plastic Mat]],Table_NFI[Plastic Mat])*IF(Table_NFI[[#This Row],[Distribution Date]]&gt;"2014-04-01",1,2.5)</f>
        <v>#REF!</v>
      </c>
      <c r="AL290" s="532" t="e">
        <f>IF(NFI_Expiration=1,IF(#REF!&lt;VLOOKUP(U$5,NFI,5,0),1,0)*Table_NFI[[#This Row],[Winter Clothes Adult]],Table_NFI[Winter Clothes Adult])</f>
        <v>#REF!</v>
      </c>
      <c r="AM290" s="532"/>
      <c r="AN290" s="532"/>
      <c r="AO290" s="532"/>
      <c r="AP290" s="532">
        <f>IF(Table_NFI[[#This Row],[Winter Clothes Adult]]+Table_NFI[[#This Row],[Winter Clothes Children]]+Table_NFI[[#This Row],[Winter Items Other]]+Table_NFI[[#This Row],[Winter Blanket]]&gt;0,1,0)</f>
        <v>0</v>
      </c>
      <c r="AQ290" s="532"/>
      <c r="AR290" s="532"/>
      <c r="AS290" s="532"/>
      <c r="AT290" s="532"/>
      <c r="AU290" s="532"/>
      <c r="AV290" s="532"/>
      <c r="AW290" s="532"/>
      <c r="AX290" s="203" t="str">
        <f>IFERROR(VLOOKUP(Table_NFI[[#This Row],[Location]],CL,2,0),"")</f>
        <v>MMR001CMP267</v>
      </c>
      <c r="AZ290" s="524"/>
      <c r="DS290" s="181"/>
      <c r="DT290" s="181"/>
    </row>
    <row r="291" spans="2:124" hidden="1" x14ac:dyDescent="0.3">
      <c r="B291" s="530">
        <v>43232</v>
      </c>
      <c r="C291" s="530" t="str">
        <f>MONTH(Table_NFI[[#This Row],[Distribution Date]]) &amp; "/" &amp; YEAR(Table_NFI[[#This Row],[Distribution Date]])</f>
        <v>5/2018</v>
      </c>
      <c r="D291" s="196" t="s">
        <v>1608</v>
      </c>
      <c r="E291" s="196" t="s">
        <v>424</v>
      </c>
      <c r="F291" s="196" t="s">
        <v>378</v>
      </c>
      <c r="G291" s="195" t="s">
        <v>480</v>
      </c>
      <c r="H291" s="217" t="s">
        <v>88</v>
      </c>
      <c r="I291" s="181"/>
      <c r="J291" s="531"/>
      <c r="K291" s="531"/>
      <c r="L291" s="531">
        <v>31</v>
      </c>
      <c r="M291" s="531"/>
      <c r="N291" s="531"/>
      <c r="O291" s="531"/>
      <c r="P291" s="531"/>
      <c r="Q291" s="531"/>
      <c r="R291" s="531"/>
      <c r="S291" s="531"/>
      <c r="T291" s="531"/>
      <c r="U291" s="531"/>
      <c r="V291" s="531"/>
      <c r="W291" s="531"/>
      <c r="X291" s="531"/>
      <c r="Y291" s="531"/>
      <c r="Z291" s="531"/>
      <c r="AA291" s="531"/>
      <c r="AB291" s="531"/>
      <c r="AC291" s="532" t="e">
        <f>IF(NFI_Expiration=1,IF(#REF!&lt;VLOOKUP(L$5,NFI,5,0),1,0)*Table_NFI[[#This Row],[NFI Core Kit]],Table_NFI[NFI Core Kit])</f>
        <v>#REF!</v>
      </c>
      <c r="AD291" s="532" t="e">
        <f>IF(NFI_Expiration=1,IF(#REF!&lt;VLOOKUP(M$5,NFI,5,0),1,0)*Table_NFI[[#This Row],[Sanitary Kit]],Table_NFI[Sanitary Kit])</f>
        <v>#REF!</v>
      </c>
      <c r="AE291" s="532" t="e">
        <f>IF(NFI_Expiration=1,IF(#REF!&lt;VLOOKUP(N$5,NFI,5,0),1,0)*Table_NFI[[#This Row],[Mosquito net]],Table_NFI[Mosquito net])</f>
        <v>#REF!</v>
      </c>
      <c r="AF291" s="532" t="e">
        <f>IF(NFI_Expiration=1,IF(#REF!&lt;VLOOKUP(O$5,NFI,5,0),1,0)*Table_NFI[[#This Row],[Tarpaulin]],Table_NFI[[#This Row],[Tarpaulin]])</f>
        <v>#REF!</v>
      </c>
      <c r="AG291" s="532" t="e">
        <f>IF(NFI_Expiration=1,IF(#REF!&lt;VLOOKUP(P$5,NFI,5,0),1,0)*Table_NFI[[#This Row],[Blanket]],Table_NFI[[#This Row],[Blanket]])</f>
        <v>#REF!</v>
      </c>
      <c r="AH291" s="532" t="e">
        <f>IF(NFI_Expiration=1,IF(#REF!&lt;VLOOKUP(Q$5,NFI,5,0),1,0)*Table_NFI[[#This Row],[Kitchen Set]],Table_NFI[Kitchen Set])</f>
        <v>#REF!</v>
      </c>
      <c r="AI291" s="532" t="e">
        <f>IF(NFI_Expiration=1,IF(#REF!&lt;VLOOKUP(R$5,NFI,5,0),1,0)*Table_NFI[[#This Row],[Clothes Kit]],Table_NFI[Clothes Kit])</f>
        <v>#REF!</v>
      </c>
      <c r="AJ291" s="532" t="e">
        <f>IF(NFI_Expiration=1,IF(#REF!&lt;VLOOKUP(S$5,NFI,5,0),1,0)*Table_NFI[[#This Row],[Plastic Bucket]],Table_NFI[Plastic Bucket])</f>
        <v>#REF!</v>
      </c>
      <c r="AK291" s="532" t="e">
        <f>IF(NFI_Expiration=1,IF(#REF!&lt;VLOOKUP(T$5,NFI,5,0),1,0)*Table_NFI[[#This Row],[Plastic Mat]],Table_NFI[Plastic Mat])*IF(Table_NFI[[#This Row],[Distribution Date]]&gt;"2014-04-01",1,2.5)</f>
        <v>#REF!</v>
      </c>
      <c r="AL291" s="532" t="e">
        <f>IF(NFI_Expiration=1,IF(#REF!&lt;VLOOKUP(U$5,NFI,5,0),1,0)*Table_NFI[[#This Row],[Winter Clothes Adult]],Table_NFI[Winter Clothes Adult])</f>
        <v>#REF!</v>
      </c>
      <c r="AM291" s="532"/>
      <c r="AN291" s="532"/>
      <c r="AO291" s="532"/>
      <c r="AP291" s="532">
        <f>IF(Table_NFI[[#This Row],[Winter Clothes Adult]]+Table_NFI[[#This Row],[Winter Clothes Children]]+Table_NFI[[#This Row],[Winter Items Other]]+Table_NFI[[#This Row],[Winter Blanket]]&gt;0,1,0)</f>
        <v>0</v>
      </c>
      <c r="AQ291" s="532"/>
      <c r="AR291" s="532"/>
      <c r="AS291" s="532"/>
      <c r="AT291" s="532"/>
      <c r="AU291" s="532"/>
      <c r="AV291" s="532"/>
      <c r="AW291" s="532"/>
      <c r="AX291" s="203" t="str">
        <f>IFERROR(VLOOKUP(Table_NFI[[#This Row],[Location]],CL,2,0),"")</f>
        <v>MMR001CMP148</v>
      </c>
      <c r="AZ291" s="524"/>
      <c r="DS291" s="181"/>
      <c r="DT291" s="181"/>
    </row>
    <row r="292" spans="2:124" hidden="1" x14ac:dyDescent="0.3">
      <c r="B292" s="530">
        <v>43243</v>
      </c>
      <c r="C292" s="530" t="str">
        <f>MONTH(Table_NFI[[#This Row],[Distribution Date]]) &amp; "/" &amp; YEAR(Table_NFI[[#This Row],[Distribution Date]])</f>
        <v>5/2018</v>
      </c>
      <c r="D292" s="196" t="s">
        <v>1608</v>
      </c>
      <c r="E292" s="196" t="s">
        <v>424</v>
      </c>
      <c r="F292" s="196" t="s">
        <v>378</v>
      </c>
      <c r="G292" s="195" t="s">
        <v>237</v>
      </c>
      <c r="H292" s="217" t="s">
        <v>240</v>
      </c>
      <c r="I292" s="181"/>
      <c r="J292" s="531"/>
      <c r="K292" s="531"/>
      <c r="L292" s="531">
        <v>3</v>
      </c>
      <c r="M292" s="531"/>
      <c r="N292" s="531"/>
      <c r="O292" s="531"/>
      <c r="P292" s="531"/>
      <c r="Q292" s="531"/>
      <c r="R292" s="531"/>
      <c r="S292" s="531"/>
      <c r="T292" s="531"/>
      <c r="U292" s="531"/>
      <c r="V292" s="531"/>
      <c r="W292" s="531"/>
      <c r="X292" s="531"/>
      <c r="Y292" s="531"/>
      <c r="Z292" s="531"/>
      <c r="AA292" s="531"/>
      <c r="AB292" s="531"/>
      <c r="AC292" s="532" t="e">
        <f>IF(NFI_Expiration=1,IF(#REF!&lt;VLOOKUP(L$5,NFI,5,0),1,0)*Table_NFI[[#This Row],[NFI Core Kit]],Table_NFI[NFI Core Kit])</f>
        <v>#REF!</v>
      </c>
      <c r="AD292" s="532" t="e">
        <f>IF(NFI_Expiration=1,IF(#REF!&lt;VLOOKUP(M$5,NFI,5,0),1,0)*Table_NFI[[#This Row],[Sanitary Kit]],Table_NFI[Sanitary Kit])</f>
        <v>#REF!</v>
      </c>
      <c r="AE292" s="532" t="e">
        <f>IF(NFI_Expiration=1,IF(#REF!&lt;VLOOKUP(N$5,NFI,5,0),1,0)*Table_NFI[[#This Row],[Mosquito net]],Table_NFI[Mosquito net])</f>
        <v>#REF!</v>
      </c>
      <c r="AF292" s="532" t="e">
        <f>IF(NFI_Expiration=1,IF(#REF!&lt;VLOOKUP(O$5,NFI,5,0),1,0)*Table_NFI[[#This Row],[Tarpaulin]],Table_NFI[[#This Row],[Tarpaulin]])</f>
        <v>#REF!</v>
      </c>
      <c r="AG292" s="532" t="e">
        <f>IF(NFI_Expiration=1,IF(#REF!&lt;VLOOKUP(P$5,NFI,5,0),1,0)*Table_NFI[[#This Row],[Blanket]],Table_NFI[[#This Row],[Blanket]])</f>
        <v>#REF!</v>
      </c>
      <c r="AH292" s="532" t="e">
        <f>IF(NFI_Expiration=1,IF(#REF!&lt;VLOOKUP(Q$5,NFI,5,0),1,0)*Table_NFI[[#This Row],[Kitchen Set]],Table_NFI[Kitchen Set])</f>
        <v>#REF!</v>
      </c>
      <c r="AI292" s="532" t="e">
        <f>IF(NFI_Expiration=1,IF(#REF!&lt;VLOOKUP(R$5,NFI,5,0),1,0)*Table_NFI[[#This Row],[Clothes Kit]],Table_NFI[Clothes Kit])</f>
        <v>#REF!</v>
      </c>
      <c r="AJ292" s="532" t="e">
        <f>IF(NFI_Expiration=1,IF(#REF!&lt;VLOOKUP(S$5,NFI,5,0),1,0)*Table_NFI[[#This Row],[Plastic Bucket]],Table_NFI[Plastic Bucket])</f>
        <v>#REF!</v>
      </c>
      <c r="AK292" s="532" t="e">
        <f>IF(NFI_Expiration=1,IF(#REF!&lt;VLOOKUP(T$5,NFI,5,0),1,0)*Table_NFI[[#This Row],[Plastic Mat]],Table_NFI[Plastic Mat])*IF(Table_NFI[[#This Row],[Distribution Date]]&gt;"2014-04-01",1,2.5)</f>
        <v>#REF!</v>
      </c>
      <c r="AL292" s="532" t="e">
        <f>IF(NFI_Expiration=1,IF(#REF!&lt;VLOOKUP(U$5,NFI,5,0),1,0)*Table_NFI[[#This Row],[Winter Clothes Adult]],Table_NFI[Winter Clothes Adult])</f>
        <v>#REF!</v>
      </c>
      <c r="AM292" s="532"/>
      <c r="AN292" s="532"/>
      <c r="AO292" s="532"/>
      <c r="AP292" s="532">
        <f>IF(Table_NFI[[#This Row],[Winter Clothes Adult]]+Table_NFI[[#This Row],[Winter Clothes Children]]+Table_NFI[[#This Row],[Winter Items Other]]+Table_NFI[[#This Row],[Winter Blanket]]&gt;0,1,0)</f>
        <v>0</v>
      </c>
      <c r="AQ292" s="532"/>
      <c r="AR292" s="532"/>
      <c r="AS292" s="532"/>
      <c r="AT292" s="532"/>
      <c r="AU292" s="532"/>
      <c r="AV292" s="532"/>
      <c r="AW292" s="532"/>
      <c r="AX292" s="203" t="str">
        <f>IFERROR(VLOOKUP(Table_NFI[[#This Row],[Location]],CL,2,0),"")</f>
        <v>MMR001CMP015</v>
      </c>
      <c r="AZ292" s="524"/>
      <c r="DS292" s="181"/>
      <c r="DT292" s="181"/>
    </row>
    <row r="293" spans="2:124" hidden="1" x14ac:dyDescent="0.3">
      <c r="B293" s="530">
        <v>43244</v>
      </c>
      <c r="C293" s="530" t="str">
        <f>MONTH(Table_NFI[[#This Row],[Distribution Date]]) &amp; "/" &amp; YEAR(Table_NFI[[#This Row],[Distribution Date]])</f>
        <v>5/2018</v>
      </c>
      <c r="D293" s="196" t="s">
        <v>1608</v>
      </c>
      <c r="E293" s="196" t="s">
        <v>424</v>
      </c>
      <c r="F293" s="196" t="s">
        <v>378</v>
      </c>
      <c r="G293" s="195" t="s">
        <v>237</v>
      </c>
      <c r="H293" s="217" t="s">
        <v>256</v>
      </c>
      <c r="I293" s="181"/>
      <c r="J293" s="531"/>
      <c r="K293" s="531"/>
      <c r="L293" s="531">
        <v>1</v>
      </c>
      <c r="M293" s="531"/>
      <c r="N293" s="531"/>
      <c r="O293" s="531"/>
      <c r="P293" s="531"/>
      <c r="Q293" s="531"/>
      <c r="R293" s="531"/>
      <c r="S293" s="531"/>
      <c r="T293" s="531"/>
      <c r="U293" s="531"/>
      <c r="V293" s="531"/>
      <c r="W293" s="531"/>
      <c r="X293" s="531"/>
      <c r="Y293" s="531"/>
      <c r="Z293" s="531"/>
      <c r="AA293" s="531"/>
      <c r="AB293" s="531"/>
      <c r="AC293" s="532" t="e">
        <f>IF(NFI_Expiration=1,IF(#REF!&lt;VLOOKUP(L$5,NFI,5,0),1,0)*Table_NFI[[#This Row],[NFI Core Kit]],Table_NFI[NFI Core Kit])</f>
        <v>#REF!</v>
      </c>
      <c r="AD293" s="532" t="e">
        <f>IF(NFI_Expiration=1,IF(#REF!&lt;VLOOKUP(M$5,NFI,5,0),1,0)*Table_NFI[[#This Row],[Sanitary Kit]],Table_NFI[Sanitary Kit])</f>
        <v>#REF!</v>
      </c>
      <c r="AE293" s="532" t="e">
        <f>IF(NFI_Expiration=1,IF(#REF!&lt;VLOOKUP(N$5,NFI,5,0),1,0)*Table_NFI[[#This Row],[Mosquito net]],Table_NFI[Mosquito net])</f>
        <v>#REF!</v>
      </c>
      <c r="AF293" s="532" t="e">
        <f>IF(NFI_Expiration=1,IF(#REF!&lt;VLOOKUP(O$5,NFI,5,0),1,0)*Table_NFI[[#This Row],[Tarpaulin]],Table_NFI[[#This Row],[Tarpaulin]])</f>
        <v>#REF!</v>
      </c>
      <c r="AG293" s="532" t="e">
        <f>IF(NFI_Expiration=1,IF(#REF!&lt;VLOOKUP(P$5,NFI,5,0),1,0)*Table_NFI[[#This Row],[Blanket]],Table_NFI[[#This Row],[Blanket]])</f>
        <v>#REF!</v>
      </c>
      <c r="AH293" s="532" t="e">
        <f>IF(NFI_Expiration=1,IF(#REF!&lt;VLOOKUP(Q$5,NFI,5,0),1,0)*Table_NFI[[#This Row],[Kitchen Set]],Table_NFI[Kitchen Set])</f>
        <v>#REF!</v>
      </c>
      <c r="AI293" s="532" t="e">
        <f>IF(NFI_Expiration=1,IF(#REF!&lt;VLOOKUP(R$5,NFI,5,0),1,0)*Table_NFI[[#This Row],[Clothes Kit]],Table_NFI[Clothes Kit])</f>
        <v>#REF!</v>
      </c>
      <c r="AJ293" s="532" t="e">
        <f>IF(NFI_Expiration=1,IF(#REF!&lt;VLOOKUP(S$5,NFI,5,0),1,0)*Table_NFI[[#This Row],[Plastic Bucket]],Table_NFI[Plastic Bucket])</f>
        <v>#REF!</v>
      </c>
      <c r="AK293" s="532" t="e">
        <f>IF(NFI_Expiration=1,IF(#REF!&lt;VLOOKUP(T$5,NFI,5,0),1,0)*Table_NFI[[#This Row],[Plastic Mat]],Table_NFI[Plastic Mat])*IF(Table_NFI[[#This Row],[Distribution Date]]&gt;"2014-04-01",1,2.5)</f>
        <v>#REF!</v>
      </c>
      <c r="AL293" s="532" t="e">
        <f>IF(NFI_Expiration=1,IF(#REF!&lt;VLOOKUP(U$5,NFI,5,0),1,0)*Table_NFI[[#This Row],[Winter Clothes Adult]],Table_NFI[Winter Clothes Adult])</f>
        <v>#REF!</v>
      </c>
      <c r="AM293" s="532"/>
      <c r="AN293" s="532"/>
      <c r="AO293" s="532"/>
      <c r="AP293" s="532">
        <f>IF(Table_NFI[[#This Row],[Winter Clothes Adult]]+Table_NFI[[#This Row],[Winter Clothes Children]]+Table_NFI[[#This Row],[Winter Items Other]]+Table_NFI[[#This Row],[Winter Blanket]]&gt;0,1,0)</f>
        <v>0</v>
      </c>
      <c r="AQ293" s="532"/>
      <c r="AR293" s="532"/>
      <c r="AS293" s="532"/>
      <c r="AT293" s="532"/>
      <c r="AU293" s="532"/>
      <c r="AV293" s="532"/>
      <c r="AW293" s="532"/>
      <c r="AX293" s="203" t="str">
        <f>IFERROR(VLOOKUP(Table_NFI[[#This Row],[Location]],CL,2,0),"")</f>
        <v>MMR001CMP013</v>
      </c>
      <c r="AZ293" s="524"/>
      <c r="DS293" s="181"/>
      <c r="DT293" s="181"/>
    </row>
    <row r="294" spans="2:124" hidden="1" x14ac:dyDescent="0.3">
      <c r="B294" s="530">
        <v>43245</v>
      </c>
      <c r="C294" s="530" t="str">
        <f>MONTH(Table_NFI[[#This Row],[Distribution Date]]) &amp; "/" &amp; YEAR(Table_NFI[[#This Row],[Distribution Date]])</f>
        <v>5/2018</v>
      </c>
      <c r="D294" s="196" t="s">
        <v>1608</v>
      </c>
      <c r="E294" s="196" t="s">
        <v>424</v>
      </c>
      <c r="F294" s="196" t="s">
        <v>378</v>
      </c>
      <c r="G294" s="195" t="s">
        <v>309</v>
      </c>
      <c r="H294" s="217" t="s">
        <v>325</v>
      </c>
      <c r="I294" s="181"/>
      <c r="J294" s="531"/>
      <c r="K294" s="531"/>
      <c r="L294" s="531">
        <v>2</v>
      </c>
      <c r="M294" s="531"/>
      <c r="N294" s="531"/>
      <c r="O294" s="531"/>
      <c r="P294" s="531"/>
      <c r="Q294" s="531"/>
      <c r="R294" s="531"/>
      <c r="S294" s="531"/>
      <c r="T294" s="531"/>
      <c r="U294" s="531"/>
      <c r="V294" s="531"/>
      <c r="W294" s="531"/>
      <c r="X294" s="531"/>
      <c r="Y294" s="531"/>
      <c r="Z294" s="531"/>
      <c r="AA294" s="531"/>
      <c r="AB294" s="531"/>
      <c r="AC294" s="532" t="e">
        <f>IF(NFI_Expiration=1,IF(#REF!&lt;VLOOKUP(L$5,NFI,5,0),1,0)*Table_NFI[[#This Row],[NFI Core Kit]],Table_NFI[NFI Core Kit])</f>
        <v>#REF!</v>
      </c>
      <c r="AD294" s="532" t="e">
        <f>IF(NFI_Expiration=1,IF(#REF!&lt;VLOOKUP(M$5,NFI,5,0),1,0)*Table_NFI[[#This Row],[Sanitary Kit]],Table_NFI[Sanitary Kit])</f>
        <v>#REF!</v>
      </c>
      <c r="AE294" s="532" t="e">
        <f>IF(NFI_Expiration=1,IF(#REF!&lt;VLOOKUP(N$5,NFI,5,0),1,0)*Table_NFI[[#This Row],[Mosquito net]],Table_NFI[Mosquito net])</f>
        <v>#REF!</v>
      </c>
      <c r="AF294" s="532" t="e">
        <f>IF(NFI_Expiration=1,IF(#REF!&lt;VLOOKUP(O$5,NFI,5,0),1,0)*Table_NFI[[#This Row],[Tarpaulin]],Table_NFI[[#This Row],[Tarpaulin]])</f>
        <v>#REF!</v>
      </c>
      <c r="AG294" s="532" t="e">
        <f>IF(NFI_Expiration=1,IF(#REF!&lt;VLOOKUP(P$5,NFI,5,0),1,0)*Table_NFI[[#This Row],[Blanket]],Table_NFI[[#This Row],[Blanket]])</f>
        <v>#REF!</v>
      </c>
      <c r="AH294" s="532" t="e">
        <f>IF(NFI_Expiration=1,IF(#REF!&lt;VLOOKUP(Q$5,NFI,5,0),1,0)*Table_NFI[[#This Row],[Kitchen Set]],Table_NFI[Kitchen Set])</f>
        <v>#REF!</v>
      </c>
      <c r="AI294" s="532" t="e">
        <f>IF(NFI_Expiration=1,IF(#REF!&lt;VLOOKUP(R$5,NFI,5,0),1,0)*Table_NFI[[#This Row],[Clothes Kit]],Table_NFI[Clothes Kit])</f>
        <v>#REF!</v>
      </c>
      <c r="AJ294" s="532" t="e">
        <f>IF(NFI_Expiration=1,IF(#REF!&lt;VLOOKUP(S$5,NFI,5,0),1,0)*Table_NFI[[#This Row],[Plastic Bucket]],Table_NFI[Plastic Bucket])</f>
        <v>#REF!</v>
      </c>
      <c r="AK294" s="532" t="e">
        <f>IF(NFI_Expiration=1,IF(#REF!&lt;VLOOKUP(T$5,NFI,5,0),1,0)*Table_NFI[[#This Row],[Plastic Mat]],Table_NFI[Plastic Mat])*IF(Table_NFI[[#This Row],[Distribution Date]]&gt;"2014-04-01",1,2.5)</f>
        <v>#REF!</v>
      </c>
      <c r="AL294" s="532" t="e">
        <f>IF(NFI_Expiration=1,IF(#REF!&lt;VLOOKUP(U$5,NFI,5,0),1,0)*Table_NFI[[#This Row],[Winter Clothes Adult]],Table_NFI[Winter Clothes Adult])</f>
        <v>#REF!</v>
      </c>
      <c r="AM294" s="532"/>
      <c r="AN294" s="532"/>
      <c r="AO294" s="532"/>
      <c r="AP294" s="532">
        <f>IF(Table_NFI[[#This Row],[Winter Clothes Adult]]+Table_NFI[[#This Row],[Winter Clothes Children]]+Table_NFI[[#This Row],[Winter Items Other]]+Table_NFI[[#This Row],[Winter Blanket]]&gt;0,1,0)</f>
        <v>0</v>
      </c>
      <c r="AQ294" s="532"/>
      <c r="AR294" s="532"/>
      <c r="AS294" s="532"/>
      <c r="AT294" s="532"/>
      <c r="AU294" s="532"/>
      <c r="AV294" s="532"/>
      <c r="AW294" s="532"/>
      <c r="AX294" s="203" t="str">
        <f>IFERROR(VLOOKUP(Table_NFI[[#This Row],[Location]],CL,2,0),"")</f>
        <v>MMR001CMP039</v>
      </c>
      <c r="AZ294" s="524"/>
      <c r="DS294" s="181"/>
      <c r="DT294" s="181"/>
    </row>
    <row r="295" spans="2:124" hidden="1" x14ac:dyDescent="0.3">
      <c r="B295" s="530">
        <v>43246</v>
      </c>
      <c r="C295" s="530" t="str">
        <f>MONTH(Table_NFI[[#This Row],[Distribution Date]]) &amp; "/" &amp; YEAR(Table_NFI[[#This Row],[Distribution Date]])</f>
        <v>5/2018</v>
      </c>
      <c r="D295" s="196" t="s">
        <v>1608</v>
      </c>
      <c r="E295" s="196" t="s">
        <v>424</v>
      </c>
      <c r="F295" s="196" t="s">
        <v>378</v>
      </c>
      <c r="G295" s="195" t="s">
        <v>309</v>
      </c>
      <c r="H295" s="217" t="s">
        <v>340</v>
      </c>
      <c r="I295" s="181"/>
      <c r="J295" s="531"/>
      <c r="K295" s="531"/>
      <c r="L295" s="531">
        <v>3</v>
      </c>
      <c r="M295" s="531"/>
      <c r="N295" s="531"/>
      <c r="O295" s="531"/>
      <c r="P295" s="531"/>
      <c r="Q295" s="531"/>
      <c r="R295" s="531"/>
      <c r="S295" s="531"/>
      <c r="T295" s="531"/>
      <c r="U295" s="531"/>
      <c r="V295" s="531"/>
      <c r="W295" s="531"/>
      <c r="X295" s="531"/>
      <c r="Y295" s="531"/>
      <c r="Z295" s="531"/>
      <c r="AA295" s="531"/>
      <c r="AB295" s="531"/>
      <c r="AC295" s="532" t="e">
        <f>IF(NFI_Expiration=1,IF(#REF!&lt;VLOOKUP(L$5,NFI,5,0),1,0)*Table_NFI[[#This Row],[NFI Core Kit]],Table_NFI[NFI Core Kit])</f>
        <v>#REF!</v>
      </c>
      <c r="AD295" s="532" t="e">
        <f>IF(NFI_Expiration=1,IF(#REF!&lt;VLOOKUP(M$5,NFI,5,0),1,0)*Table_NFI[[#This Row],[Sanitary Kit]],Table_NFI[Sanitary Kit])</f>
        <v>#REF!</v>
      </c>
      <c r="AE295" s="532" t="e">
        <f>IF(NFI_Expiration=1,IF(#REF!&lt;VLOOKUP(N$5,NFI,5,0),1,0)*Table_NFI[[#This Row],[Mosquito net]],Table_NFI[Mosquito net])</f>
        <v>#REF!</v>
      </c>
      <c r="AF295" s="532" t="e">
        <f>IF(NFI_Expiration=1,IF(#REF!&lt;VLOOKUP(O$5,NFI,5,0),1,0)*Table_NFI[[#This Row],[Tarpaulin]],Table_NFI[[#This Row],[Tarpaulin]])</f>
        <v>#REF!</v>
      </c>
      <c r="AG295" s="532" t="e">
        <f>IF(NFI_Expiration=1,IF(#REF!&lt;VLOOKUP(P$5,NFI,5,0),1,0)*Table_NFI[[#This Row],[Blanket]],Table_NFI[[#This Row],[Blanket]])</f>
        <v>#REF!</v>
      </c>
      <c r="AH295" s="532" t="e">
        <f>IF(NFI_Expiration=1,IF(#REF!&lt;VLOOKUP(Q$5,NFI,5,0),1,0)*Table_NFI[[#This Row],[Kitchen Set]],Table_NFI[Kitchen Set])</f>
        <v>#REF!</v>
      </c>
      <c r="AI295" s="532" t="e">
        <f>IF(NFI_Expiration=1,IF(#REF!&lt;VLOOKUP(R$5,NFI,5,0),1,0)*Table_NFI[[#This Row],[Clothes Kit]],Table_NFI[Clothes Kit])</f>
        <v>#REF!</v>
      </c>
      <c r="AJ295" s="532" t="e">
        <f>IF(NFI_Expiration=1,IF(#REF!&lt;VLOOKUP(S$5,NFI,5,0),1,0)*Table_NFI[[#This Row],[Plastic Bucket]],Table_NFI[Plastic Bucket])</f>
        <v>#REF!</v>
      </c>
      <c r="AK295" s="532" t="e">
        <f>IF(NFI_Expiration=1,IF(#REF!&lt;VLOOKUP(T$5,NFI,5,0),1,0)*Table_NFI[[#This Row],[Plastic Mat]],Table_NFI[Plastic Mat])*IF(Table_NFI[[#This Row],[Distribution Date]]&gt;"2014-04-01",1,2.5)</f>
        <v>#REF!</v>
      </c>
      <c r="AL295" s="532" t="e">
        <f>IF(NFI_Expiration=1,IF(#REF!&lt;VLOOKUP(U$5,NFI,5,0),1,0)*Table_NFI[[#This Row],[Winter Clothes Adult]],Table_NFI[Winter Clothes Adult])</f>
        <v>#REF!</v>
      </c>
      <c r="AM295" s="532"/>
      <c r="AN295" s="532"/>
      <c r="AO295" s="532"/>
      <c r="AP295" s="532">
        <f>IF(Table_NFI[[#This Row],[Winter Clothes Adult]]+Table_NFI[[#This Row],[Winter Clothes Children]]+Table_NFI[[#This Row],[Winter Items Other]]+Table_NFI[[#This Row],[Winter Blanket]]&gt;0,1,0)</f>
        <v>0</v>
      </c>
      <c r="AQ295" s="532"/>
      <c r="AR295" s="532"/>
      <c r="AS295" s="532"/>
      <c r="AT295" s="532"/>
      <c r="AU295" s="532"/>
      <c r="AV295" s="532"/>
      <c r="AW295" s="532"/>
      <c r="AX295" s="203" t="str">
        <f>IFERROR(VLOOKUP(Table_NFI[[#This Row],[Location]],CL,2,0),"")</f>
        <v>MMR001CMP025</v>
      </c>
      <c r="AZ295" s="524"/>
      <c r="DS295" s="181"/>
      <c r="DT295" s="181"/>
    </row>
    <row r="296" spans="2:124" hidden="1" x14ac:dyDescent="0.3">
      <c r="B296" s="530">
        <v>43247</v>
      </c>
      <c r="C296" s="530" t="str">
        <f>MONTH(Table_NFI[[#This Row],[Distribution Date]]) &amp; "/" &amp; YEAR(Table_NFI[[#This Row],[Distribution Date]])</f>
        <v>5/2018</v>
      </c>
      <c r="D296" s="196" t="s">
        <v>1608</v>
      </c>
      <c r="E296" s="196" t="s">
        <v>424</v>
      </c>
      <c r="F296" s="196" t="s">
        <v>378</v>
      </c>
      <c r="G296" s="195" t="s">
        <v>237</v>
      </c>
      <c r="H296" s="217" t="s">
        <v>276</v>
      </c>
      <c r="I296" s="181"/>
      <c r="J296" s="531"/>
      <c r="K296" s="531"/>
      <c r="L296" s="531">
        <v>2</v>
      </c>
      <c r="M296" s="531"/>
      <c r="N296" s="531"/>
      <c r="O296" s="531"/>
      <c r="P296" s="531"/>
      <c r="Q296" s="531"/>
      <c r="R296" s="531"/>
      <c r="S296" s="531"/>
      <c r="T296" s="531"/>
      <c r="U296" s="531"/>
      <c r="V296" s="531"/>
      <c r="W296" s="531"/>
      <c r="X296" s="531"/>
      <c r="Y296" s="531"/>
      <c r="Z296" s="531"/>
      <c r="AA296" s="531"/>
      <c r="AB296" s="531"/>
      <c r="AC296" s="532" t="e">
        <f>IF(NFI_Expiration=1,IF(#REF!&lt;VLOOKUP(L$5,NFI,5,0),1,0)*Table_NFI[[#This Row],[NFI Core Kit]],Table_NFI[NFI Core Kit])</f>
        <v>#REF!</v>
      </c>
      <c r="AD296" s="532" t="e">
        <f>IF(NFI_Expiration=1,IF(#REF!&lt;VLOOKUP(M$5,NFI,5,0),1,0)*Table_NFI[[#This Row],[Sanitary Kit]],Table_NFI[Sanitary Kit])</f>
        <v>#REF!</v>
      </c>
      <c r="AE296" s="532" t="e">
        <f>IF(NFI_Expiration=1,IF(#REF!&lt;VLOOKUP(N$5,NFI,5,0),1,0)*Table_NFI[[#This Row],[Mosquito net]],Table_NFI[Mosquito net])</f>
        <v>#REF!</v>
      </c>
      <c r="AF296" s="532" t="e">
        <f>IF(NFI_Expiration=1,IF(#REF!&lt;VLOOKUP(O$5,NFI,5,0),1,0)*Table_NFI[[#This Row],[Tarpaulin]],Table_NFI[[#This Row],[Tarpaulin]])</f>
        <v>#REF!</v>
      </c>
      <c r="AG296" s="532" t="e">
        <f>IF(NFI_Expiration=1,IF(#REF!&lt;VLOOKUP(P$5,NFI,5,0),1,0)*Table_NFI[[#This Row],[Blanket]],Table_NFI[[#This Row],[Blanket]])</f>
        <v>#REF!</v>
      </c>
      <c r="AH296" s="532" t="e">
        <f>IF(NFI_Expiration=1,IF(#REF!&lt;VLOOKUP(Q$5,NFI,5,0),1,0)*Table_NFI[[#This Row],[Kitchen Set]],Table_NFI[Kitchen Set])</f>
        <v>#REF!</v>
      </c>
      <c r="AI296" s="532" t="e">
        <f>IF(NFI_Expiration=1,IF(#REF!&lt;VLOOKUP(R$5,NFI,5,0),1,0)*Table_NFI[[#This Row],[Clothes Kit]],Table_NFI[Clothes Kit])</f>
        <v>#REF!</v>
      </c>
      <c r="AJ296" s="532" t="e">
        <f>IF(NFI_Expiration=1,IF(#REF!&lt;VLOOKUP(S$5,NFI,5,0),1,0)*Table_NFI[[#This Row],[Plastic Bucket]],Table_NFI[Plastic Bucket])</f>
        <v>#REF!</v>
      </c>
      <c r="AK296" s="532" t="e">
        <f>IF(NFI_Expiration=1,IF(#REF!&lt;VLOOKUP(T$5,NFI,5,0),1,0)*Table_NFI[[#This Row],[Plastic Mat]],Table_NFI[Plastic Mat])*IF(Table_NFI[[#This Row],[Distribution Date]]&gt;"2014-04-01",1,2.5)</f>
        <v>#REF!</v>
      </c>
      <c r="AL296" s="532" t="e">
        <f>IF(NFI_Expiration=1,IF(#REF!&lt;VLOOKUP(U$5,NFI,5,0),1,0)*Table_NFI[[#This Row],[Winter Clothes Adult]],Table_NFI[Winter Clothes Adult])</f>
        <v>#REF!</v>
      </c>
      <c r="AM296" s="532"/>
      <c r="AN296" s="532"/>
      <c r="AO296" s="532"/>
      <c r="AP296" s="532">
        <f>IF(Table_NFI[[#This Row],[Winter Clothes Adult]]+Table_NFI[[#This Row],[Winter Clothes Children]]+Table_NFI[[#This Row],[Winter Items Other]]+Table_NFI[[#This Row],[Winter Blanket]]&gt;0,1,0)</f>
        <v>0</v>
      </c>
      <c r="AQ296" s="532"/>
      <c r="AR296" s="532"/>
      <c r="AS296" s="532"/>
      <c r="AT296" s="532"/>
      <c r="AU296" s="532"/>
      <c r="AV296" s="532"/>
      <c r="AW296" s="532"/>
      <c r="AX296" s="203" t="str">
        <f>IFERROR(VLOOKUP(Table_NFI[[#This Row],[Location]],CL,2,0),"")</f>
        <v>MMR001CMP006</v>
      </c>
      <c r="AZ296" s="524"/>
      <c r="DS296" s="181"/>
      <c r="DT296" s="181"/>
    </row>
    <row r="297" spans="2:124" hidden="1" x14ac:dyDescent="0.3">
      <c r="B297" s="530">
        <v>43248</v>
      </c>
      <c r="C297" s="530" t="str">
        <f>MONTH(Table_NFI[[#This Row],[Distribution Date]]) &amp; "/" &amp; YEAR(Table_NFI[[#This Row],[Distribution Date]])</f>
        <v>5/2018</v>
      </c>
      <c r="D297" s="196" t="s">
        <v>1608</v>
      </c>
      <c r="E297" s="196" t="s">
        <v>424</v>
      </c>
      <c r="F297" s="196" t="s">
        <v>378</v>
      </c>
      <c r="G297" s="195" t="s">
        <v>237</v>
      </c>
      <c r="H297" s="217" t="s">
        <v>268</v>
      </c>
      <c r="I297" s="181"/>
      <c r="J297" s="531"/>
      <c r="K297" s="531"/>
      <c r="L297" s="531">
        <v>1</v>
      </c>
      <c r="M297" s="531"/>
      <c r="N297" s="531"/>
      <c r="O297" s="531"/>
      <c r="P297" s="531"/>
      <c r="Q297" s="531"/>
      <c r="R297" s="531"/>
      <c r="S297" s="531"/>
      <c r="T297" s="531"/>
      <c r="U297" s="531"/>
      <c r="V297" s="531"/>
      <c r="W297" s="531"/>
      <c r="X297" s="531"/>
      <c r="Y297" s="531"/>
      <c r="Z297" s="531"/>
      <c r="AA297" s="531"/>
      <c r="AB297" s="531"/>
      <c r="AC297" s="532" t="e">
        <f>IF(NFI_Expiration=1,IF(#REF!&lt;VLOOKUP(L$5,NFI,5,0),1,0)*Table_NFI[[#This Row],[NFI Core Kit]],Table_NFI[NFI Core Kit])</f>
        <v>#REF!</v>
      </c>
      <c r="AD297" s="532" t="e">
        <f>IF(NFI_Expiration=1,IF(#REF!&lt;VLOOKUP(M$5,NFI,5,0),1,0)*Table_NFI[[#This Row],[Sanitary Kit]],Table_NFI[Sanitary Kit])</f>
        <v>#REF!</v>
      </c>
      <c r="AE297" s="532" t="e">
        <f>IF(NFI_Expiration=1,IF(#REF!&lt;VLOOKUP(N$5,NFI,5,0),1,0)*Table_NFI[[#This Row],[Mosquito net]],Table_NFI[Mosquito net])</f>
        <v>#REF!</v>
      </c>
      <c r="AF297" s="532" t="e">
        <f>IF(NFI_Expiration=1,IF(#REF!&lt;VLOOKUP(O$5,NFI,5,0),1,0)*Table_NFI[[#This Row],[Tarpaulin]],Table_NFI[[#This Row],[Tarpaulin]])</f>
        <v>#REF!</v>
      </c>
      <c r="AG297" s="532" t="e">
        <f>IF(NFI_Expiration=1,IF(#REF!&lt;VLOOKUP(P$5,NFI,5,0),1,0)*Table_NFI[[#This Row],[Blanket]],Table_NFI[[#This Row],[Blanket]])</f>
        <v>#REF!</v>
      </c>
      <c r="AH297" s="532" t="e">
        <f>IF(NFI_Expiration=1,IF(#REF!&lt;VLOOKUP(Q$5,NFI,5,0),1,0)*Table_NFI[[#This Row],[Kitchen Set]],Table_NFI[Kitchen Set])</f>
        <v>#REF!</v>
      </c>
      <c r="AI297" s="532" t="e">
        <f>IF(NFI_Expiration=1,IF(#REF!&lt;VLOOKUP(R$5,NFI,5,0),1,0)*Table_NFI[[#This Row],[Clothes Kit]],Table_NFI[Clothes Kit])</f>
        <v>#REF!</v>
      </c>
      <c r="AJ297" s="532" t="e">
        <f>IF(NFI_Expiration=1,IF(#REF!&lt;VLOOKUP(S$5,NFI,5,0),1,0)*Table_NFI[[#This Row],[Plastic Bucket]],Table_NFI[Plastic Bucket])</f>
        <v>#REF!</v>
      </c>
      <c r="AK297" s="532" t="e">
        <f>IF(NFI_Expiration=1,IF(#REF!&lt;VLOOKUP(T$5,NFI,5,0),1,0)*Table_NFI[[#This Row],[Plastic Mat]],Table_NFI[Plastic Mat])*IF(Table_NFI[[#This Row],[Distribution Date]]&gt;"2014-04-01",1,2.5)</f>
        <v>#REF!</v>
      </c>
      <c r="AL297" s="532" t="e">
        <f>IF(NFI_Expiration=1,IF(#REF!&lt;VLOOKUP(U$5,NFI,5,0),1,0)*Table_NFI[[#This Row],[Winter Clothes Adult]],Table_NFI[Winter Clothes Adult])</f>
        <v>#REF!</v>
      </c>
      <c r="AM297" s="532"/>
      <c r="AN297" s="532"/>
      <c r="AO297" s="532"/>
      <c r="AP297" s="532">
        <f>IF(Table_NFI[[#This Row],[Winter Clothes Adult]]+Table_NFI[[#This Row],[Winter Clothes Children]]+Table_NFI[[#This Row],[Winter Items Other]]+Table_NFI[[#This Row],[Winter Blanket]]&gt;0,1,0)</f>
        <v>0</v>
      </c>
      <c r="AQ297" s="532"/>
      <c r="AR297" s="532"/>
      <c r="AS297" s="532"/>
      <c r="AT297" s="532"/>
      <c r="AU297" s="532"/>
      <c r="AV297" s="532"/>
      <c r="AW297" s="532"/>
      <c r="AX297" s="203" t="str">
        <f>IFERROR(VLOOKUP(Table_NFI[[#This Row],[Location]],CL,2,0),"")</f>
        <v>MMR001CMP002</v>
      </c>
      <c r="AZ297" s="524"/>
      <c r="DS297" s="181"/>
      <c r="DT297" s="181"/>
    </row>
    <row r="298" spans="2:124" hidden="1" x14ac:dyDescent="0.3">
      <c r="B298" s="530">
        <v>43249</v>
      </c>
      <c r="C298" s="530" t="str">
        <f>MONTH(Table_NFI[[#This Row],[Distribution Date]]) &amp; "/" &amp; YEAR(Table_NFI[[#This Row],[Distribution Date]])</f>
        <v>5/2018</v>
      </c>
      <c r="D298" s="196" t="s">
        <v>1608</v>
      </c>
      <c r="E298" s="196" t="s">
        <v>424</v>
      </c>
      <c r="F298" s="196" t="s">
        <v>378</v>
      </c>
      <c r="G298" s="195" t="s">
        <v>480</v>
      </c>
      <c r="H298" s="217" t="s">
        <v>1156</v>
      </c>
      <c r="I298" s="181"/>
      <c r="J298" s="531"/>
      <c r="K298" s="531"/>
      <c r="L298" s="531">
        <v>2</v>
      </c>
      <c r="M298" s="531"/>
      <c r="N298" s="531"/>
      <c r="O298" s="531"/>
      <c r="P298" s="531"/>
      <c r="Q298" s="531"/>
      <c r="R298" s="531"/>
      <c r="S298" s="531"/>
      <c r="T298" s="531"/>
      <c r="U298" s="531"/>
      <c r="V298" s="531"/>
      <c r="W298" s="531"/>
      <c r="X298" s="531"/>
      <c r="Y298" s="531"/>
      <c r="Z298" s="531"/>
      <c r="AA298" s="531"/>
      <c r="AB298" s="531"/>
      <c r="AC298" s="532" t="e">
        <f>IF(NFI_Expiration=1,IF(#REF!&lt;VLOOKUP(L$5,NFI,5,0),1,0)*Table_NFI[[#This Row],[NFI Core Kit]],Table_NFI[NFI Core Kit])</f>
        <v>#REF!</v>
      </c>
      <c r="AD298" s="532" t="e">
        <f>IF(NFI_Expiration=1,IF(#REF!&lt;VLOOKUP(M$5,NFI,5,0),1,0)*Table_NFI[[#This Row],[Sanitary Kit]],Table_NFI[Sanitary Kit])</f>
        <v>#REF!</v>
      </c>
      <c r="AE298" s="532" t="e">
        <f>IF(NFI_Expiration=1,IF(#REF!&lt;VLOOKUP(N$5,NFI,5,0),1,0)*Table_NFI[[#This Row],[Mosquito net]],Table_NFI[Mosquito net])</f>
        <v>#REF!</v>
      </c>
      <c r="AF298" s="532" t="e">
        <f>IF(NFI_Expiration=1,IF(#REF!&lt;VLOOKUP(O$5,NFI,5,0),1,0)*Table_NFI[[#This Row],[Tarpaulin]],Table_NFI[[#This Row],[Tarpaulin]])</f>
        <v>#REF!</v>
      </c>
      <c r="AG298" s="532" t="e">
        <f>IF(NFI_Expiration=1,IF(#REF!&lt;VLOOKUP(P$5,NFI,5,0),1,0)*Table_NFI[[#This Row],[Blanket]],Table_NFI[[#This Row],[Blanket]])</f>
        <v>#REF!</v>
      </c>
      <c r="AH298" s="532" t="e">
        <f>IF(NFI_Expiration=1,IF(#REF!&lt;VLOOKUP(Q$5,NFI,5,0),1,0)*Table_NFI[[#This Row],[Kitchen Set]],Table_NFI[Kitchen Set])</f>
        <v>#REF!</v>
      </c>
      <c r="AI298" s="532" t="e">
        <f>IF(NFI_Expiration=1,IF(#REF!&lt;VLOOKUP(R$5,NFI,5,0),1,0)*Table_NFI[[#This Row],[Clothes Kit]],Table_NFI[Clothes Kit])</f>
        <v>#REF!</v>
      </c>
      <c r="AJ298" s="532" t="e">
        <f>IF(NFI_Expiration=1,IF(#REF!&lt;VLOOKUP(S$5,NFI,5,0),1,0)*Table_NFI[[#This Row],[Plastic Bucket]],Table_NFI[Plastic Bucket])</f>
        <v>#REF!</v>
      </c>
      <c r="AK298" s="532" t="e">
        <f>IF(NFI_Expiration=1,IF(#REF!&lt;VLOOKUP(T$5,NFI,5,0),1,0)*Table_NFI[[#This Row],[Plastic Mat]],Table_NFI[Plastic Mat])*IF(Table_NFI[[#This Row],[Distribution Date]]&gt;"2014-04-01",1,2.5)</f>
        <v>#REF!</v>
      </c>
      <c r="AL298" s="532" t="e">
        <f>IF(NFI_Expiration=1,IF(#REF!&lt;VLOOKUP(U$5,NFI,5,0),1,0)*Table_NFI[[#This Row],[Winter Clothes Adult]],Table_NFI[Winter Clothes Adult])</f>
        <v>#REF!</v>
      </c>
      <c r="AM298" s="532"/>
      <c r="AN298" s="532"/>
      <c r="AO298" s="532"/>
      <c r="AP298" s="532">
        <f>IF(Table_NFI[[#This Row],[Winter Clothes Adult]]+Table_NFI[[#This Row],[Winter Clothes Children]]+Table_NFI[[#This Row],[Winter Items Other]]+Table_NFI[[#This Row],[Winter Blanket]]&gt;0,1,0)</f>
        <v>0</v>
      </c>
      <c r="AQ298" s="532"/>
      <c r="AR298" s="532"/>
      <c r="AS298" s="532"/>
      <c r="AT298" s="532"/>
      <c r="AU298" s="532"/>
      <c r="AV298" s="532"/>
      <c r="AW298" s="532"/>
      <c r="AX298" s="203" t="str">
        <f>IFERROR(VLOOKUP(Table_NFI[[#This Row],[Location]],CL,2,0),"")</f>
        <v>MMR001CMP244</v>
      </c>
      <c r="AZ298" s="524"/>
      <c r="DS298" s="181"/>
      <c r="DT298" s="181"/>
    </row>
    <row r="299" spans="2:124" hidden="1" x14ac:dyDescent="0.3">
      <c r="B299" s="530">
        <v>43256</v>
      </c>
      <c r="C299" s="530" t="str">
        <f>MONTH(Table_NFI[[#This Row],[Distribution Date]]) &amp; "/" &amp; YEAR(Table_NFI[[#This Row],[Distribution Date]])</f>
        <v>6/2018</v>
      </c>
      <c r="D299" s="196" t="s">
        <v>420</v>
      </c>
      <c r="E299" s="196" t="s">
        <v>462</v>
      </c>
      <c r="F299" s="196" t="s">
        <v>378</v>
      </c>
      <c r="G299" s="195" t="s">
        <v>237</v>
      </c>
      <c r="H299" s="217" t="s">
        <v>264</v>
      </c>
      <c r="I299" s="181"/>
      <c r="J299" s="531"/>
      <c r="K299" s="531"/>
      <c r="L299" s="531">
        <v>5</v>
      </c>
      <c r="M299" s="531"/>
      <c r="N299" s="531">
        <v>15</v>
      </c>
      <c r="O299" s="531">
        <v>5</v>
      </c>
      <c r="P299" s="531">
        <v>15</v>
      </c>
      <c r="Q299" s="531">
        <v>5</v>
      </c>
      <c r="R299" s="531"/>
      <c r="S299" s="531">
        <v>4</v>
      </c>
      <c r="T299" s="531">
        <v>27</v>
      </c>
      <c r="U299" s="531"/>
      <c r="V299" s="531"/>
      <c r="W299" s="531"/>
      <c r="X299" s="531"/>
      <c r="Y299" s="531"/>
      <c r="Z299" s="531"/>
      <c r="AA299" s="531"/>
      <c r="AB299" s="531"/>
      <c r="AC299" s="532" t="e">
        <f>IF(NFI_Expiration=1,IF(#REF!&lt;VLOOKUP(L$5,NFI,5,0),1,0)*Table_NFI[[#This Row],[NFI Core Kit]],Table_NFI[NFI Core Kit])</f>
        <v>#REF!</v>
      </c>
      <c r="AD299" s="532" t="e">
        <f>IF(NFI_Expiration=1,IF(#REF!&lt;VLOOKUP(M$5,NFI,5,0),1,0)*Table_NFI[[#This Row],[Sanitary Kit]],Table_NFI[Sanitary Kit])</f>
        <v>#REF!</v>
      </c>
      <c r="AE299" s="532" t="e">
        <f>IF(NFI_Expiration=1,IF(#REF!&lt;VLOOKUP(N$5,NFI,5,0),1,0)*Table_NFI[[#This Row],[Mosquito net]],Table_NFI[Mosquito net])</f>
        <v>#REF!</v>
      </c>
      <c r="AF299" s="532" t="e">
        <f>IF(NFI_Expiration=1,IF(#REF!&lt;VLOOKUP(O$5,NFI,5,0),1,0)*Table_NFI[[#This Row],[Tarpaulin]],Table_NFI[[#This Row],[Tarpaulin]])</f>
        <v>#REF!</v>
      </c>
      <c r="AG299" s="532" t="e">
        <f>IF(NFI_Expiration=1,IF(#REF!&lt;VLOOKUP(P$5,NFI,5,0),1,0)*Table_NFI[[#This Row],[Blanket]],Table_NFI[[#This Row],[Blanket]])</f>
        <v>#REF!</v>
      </c>
      <c r="AH299" s="532" t="e">
        <f>IF(NFI_Expiration=1,IF(#REF!&lt;VLOOKUP(Q$5,NFI,5,0),1,0)*Table_NFI[[#This Row],[Kitchen Set]],Table_NFI[Kitchen Set])</f>
        <v>#REF!</v>
      </c>
      <c r="AI299" s="532" t="e">
        <f>IF(NFI_Expiration=1,IF(#REF!&lt;VLOOKUP(R$5,NFI,5,0),1,0)*Table_NFI[[#This Row],[Clothes Kit]],Table_NFI[Clothes Kit])</f>
        <v>#REF!</v>
      </c>
      <c r="AJ299" s="532" t="e">
        <f>IF(NFI_Expiration=1,IF(#REF!&lt;VLOOKUP(S$5,NFI,5,0),1,0)*Table_NFI[[#This Row],[Plastic Bucket]],Table_NFI[Plastic Bucket])</f>
        <v>#REF!</v>
      </c>
      <c r="AK299" s="532" t="e">
        <f>IF(NFI_Expiration=1,IF(#REF!&lt;VLOOKUP(T$5,NFI,5,0),1,0)*Table_NFI[[#This Row],[Plastic Mat]],Table_NFI[Plastic Mat])*IF(Table_NFI[[#This Row],[Distribution Date]]&gt;"2014-04-01",1,2.5)</f>
        <v>#REF!</v>
      </c>
      <c r="AL299" s="532" t="e">
        <f>IF(NFI_Expiration=1,IF(#REF!&lt;VLOOKUP(U$5,NFI,5,0),1,0)*Table_NFI[[#This Row],[Winter Clothes Adult]],Table_NFI[Winter Clothes Adult])</f>
        <v>#REF!</v>
      </c>
      <c r="AM299" s="532"/>
      <c r="AN299" s="532"/>
      <c r="AO299" s="532"/>
      <c r="AP299" s="532">
        <f>IF(Table_NFI[[#This Row],[Winter Clothes Adult]]+Table_NFI[[#This Row],[Winter Clothes Children]]+Table_NFI[[#This Row],[Winter Items Other]]+Table_NFI[[#This Row],[Winter Blanket]]&gt;0,1,0)</f>
        <v>0</v>
      </c>
      <c r="AQ299" s="532"/>
      <c r="AR299" s="532"/>
      <c r="AS299" s="532"/>
      <c r="AT299" s="532"/>
      <c r="AU299" s="532"/>
      <c r="AV299" s="532"/>
      <c r="AW299" s="532"/>
      <c r="AX299" s="203" t="str">
        <f>IFERROR(VLOOKUP(Table_NFI[[#This Row],[Location]],CL,2,0),"")</f>
        <v>MMR001CMP021</v>
      </c>
      <c r="AZ299" s="524"/>
      <c r="DS299" s="181"/>
      <c r="DT299" s="181"/>
    </row>
    <row r="300" spans="2:124" hidden="1" x14ac:dyDescent="0.3">
      <c r="B300" s="530">
        <v>43256</v>
      </c>
      <c r="C300" s="530" t="str">
        <f>MONTH(Table_NFI[[#This Row],[Distribution Date]]) &amp; "/" &amp; YEAR(Table_NFI[[#This Row],[Distribution Date]])</f>
        <v>6/2018</v>
      </c>
      <c r="D300" s="196" t="s">
        <v>420</v>
      </c>
      <c r="E300" s="196" t="s">
        <v>462</v>
      </c>
      <c r="F300" s="196" t="s">
        <v>378</v>
      </c>
      <c r="G300" s="195" t="s">
        <v>309</v>
      </c>
      <c r="H300" s="217" t="s">
        <v>317</v>
      </c>
      <c r="I300" s="181"/>
      <c r="J300" s="531"/>
      <c r="K300" s="531"/>
      <c r="L300" s="531">
        <v>4</v>
      </c>
      <c r="M300" s="531"/>
      <c r="N300" s="531">
        <v>13</v>
      </c>
      <c r="O300" s="531">
        <v>4</v>
      </c>
      <c r="P300" s="531">
        <v>13</v>
      </c>
      <c r="Q300" s="531">
        <v>4</v>
      </c>
      <c r="R300" s="531"/>
      <c r="S300" s="531">
        <v>6</v>
      </c>
      <c r="T300" s="531">
        <v>21</v>
      </c>
      <c r="U300" s="531"/>
      <c r="V300" s="531"/>
      <c r="W300" s="531"/>
      <c r="X300" s="531"/>
      <c r="Y300" s="531"/>
      <c r="Z300" s="531"/>
      <c r="AA300" s="531"/>
      <c r="AB300" s="531"/>
      <c r="AC300" s="532" t="e">
        <f>IF(NFI_Expiration=1,IF(#REF!&lt;VLOOKUP(L$5,NFI,5,0),1,0)*Table_NFI[[#This Row],[NFI Core Kit]],Table_NFI[NFI Core Kit])</f>
        <v>#REF!</v>
      </c>
      <c r="AD300" s="532" t="e">
        <f>IF(NFI_Expiration=1,IF(#REF!&lt;VLOOKUP(M$5,NFI,5,0),1,0)*Table_NFI[[#This Row],[Sanitary Kit]],Table_NFI[Sanitary Kit])</f>
        <v>#REF!</v>
      </c>
      <c r="AE300" s="532" t="e">
        <f>IF(NFI_Expiration=1,IF(#REF!&lt;VLOOKUP(N$5,NFI,5,0),1,0)*Table_NFI[[#This Row],[Mosquito net]],Table_NFI[Mosquito net])</f>
        <v>#REF!</v>
      </c>
      <c r="AF300" s="532" t="e">
        <f>IF(NFI_Expiration=1,IF(#REF!&lt;VLOOKUP(O$5,NFI,5,0),1,0)*Table_NFI[[#This Row],[Tarpaulin]],Table_NFI[[#This Row],[Tarpaulin]])</f>
        <v>#REF!</v>
      </c>
      <c r="AG300" s="532" t="e">
        <f>IF(NFI_Expiration=1,IF(#REF!&lt;VLOOKUP(P$5,NFI,5,0),1,0)*Table_NFI[[#This Row],[Blanket]],Table_NFI[[#This Row],[Blanket]])</f>
        <v>#REF!</v>
      </c>
      <c r="AH300" s="532" t="e">
        <f>IF(NFI_Expiration=1,IF(#REF!&lt;VLOOKUP(Q$5,NFI,5,0),1,0)*Table_NFI[[#This Row],[Kitchen Set]],Table_NFI[Kitchen Set])</f>
        <v>#REF!</v>
      </c>
      <c r="AI300" s="532" t="e">
        <f>IF(NFI_Expiration=1,IF(#REF!&lt;VLOOKUP(R$5,NFI,5,0),1,0)*Table_NFI[[#This Row],[Clothes Kit]],Table_NFI[Clothes Kit])</f>
        <v>#REF!</v>
      </c>
      <c r="AJ300" s="532" t="e">
        <f>IF(NFI_Expiration=1,IF(#REF!&lt;VLOOKUP(S$5,NFI,5,0),1,0)*Table_NFI[[#This Row],[Plastic Bucket]],Table_NFI[Plastic Bucket])</f>
        <v>#REF!</v>
      </c>
      <c r="AK300" s="532" t="e">
        <f>IF(NFI_Expiration=1,IF(#REF!&lt;VLOOKUP(T$5,NFI,5,0),1,0)*Table_NFI[[#This Row],[Plastic Mat]],Table_NFI[Plastic Mat])*IF(Table_NFI[[#This Row],[Distribution Date]]&gt;"2014-04-01",1,2.5)</f>
        <v>#REF!</v>
      </c>
      <c r="AL300" s="532" t="e">
        <f>IF(NFI_Expiration=1,IF(#REF!&lt;VLOOKUP(U$5,NFI,5,0),1,0)*Table_NFI[[#This Row],[Winter Clothes Adult]],Table_NFI[Winter Clothes Adult])</f>
        <v>#REF!</v>
      </c>
      <c r="AM300" s="532"/>
      <c r="AN300" s="532"/>
      <c r="AO300" s="532"/>
      <c r="AP300" s="532">
        <f>IF(Table_NFI[[#This Row],[Winter Clothes Adult]]+Table_NFI[[#This Row],[Winter Clothes Children]]+Table_NFI[[#This Row],[Winter Items Other]]+Table_NFI[[#This Row],[Winter Blanket]]&gt;0,1,0)</f>
        <v>0</v>
      </c>
      <c r="AQ300" s="532"/>
      <c r="AR300" s="532"/>
      <c r="AS300" s="532"/>
      <c r="AT300" s="532"/>
      <c r="AU300" s="532"/>
      <c r="AV300" s="532"/>
      <c r="AW300" s="532"/>
      <c r="AX300" s="203" t="str">
        <f>IFERROR(VLOOKUP(Table_NFI[[#This Row],[Location]],CL,2,0),"")</f>
        <v>MMR001CMP032</v>
      </c>
      <c r="AZ300" s="524"/>
      <c r="DS300" s="181"/>
      <c r="DT300" s="181"/>
    </row>
    <row r="301" spans="2:124" hidden="1" x14ac:dyDescent="0.3">
      <c r="B301" s="530">
        <v>43256</v>
      </c>
      <c r="C301" s="530" t="str">
        <f>MONTH(Table_NFI[[#This Row],[Distribution Date]]) &amp; "/" &amp; YEAR(Table_NFI[[#This Row],[Distribution Date]])</f>
        <v>6/2018</v>
      </c>
      <c r="D301" s="196" t="s">
        <v>420</v>
      </c>
      <c r="E301" s="196" t="s">
        <v>462</v>
      </c>
      <c r="F301" s="196" t="s">
        <v>378</v>
      </c>
      <c r="G301" s="195" t="s">
        <v>309</v>
      </c>
      <c r="H301" s="217" t="s">
        <v>327</v>
      </c>
      <c r="I301" s="181"/>
      <c r="J301" s="531"/>
      <c r="K301" s="531"/>
      <c r="L301" s="531">
        <v>5</v>
      </c>
      <c r="M301" s="531"/>
      <c r="N301" s="531">
        <v>15</v>
      </c>
      <c r="O301" s="531">
        <v>5</v>
      </c>
      <c r="P301" s="531">
        <v>15</v>
      </c>
      <c r="Q301" s="531">
        <v>5</v>
      </c>
      <c r="R301" s="531"/>
      <c r="S301" s="531">
        <v>5</v>
      </c>
      <c r="T301" s="531">
        <v>28</v>
      </c>
      <c r="U301" s="531"/>
      <c r="V301" s="531"/>
      <c r="W301" s="531"/>
      <c r="X301" s="531"/>
      <c r="Y301" s="531"/>
      <c r="Z301" s="531"/>
      <c r="AA301" s="531"/>
      <c r="AB301" s="531"/>
      <c r="AC301" s="532" t="e">
        <f>IF(NFI_Expiration=1,IF(#REF!&lt;VLOOKUP(L$5,NFI,5,0),1,0)*Table_NFI[[#This Row],[NFI Core Kit]],Table_NFI[NFI Core Kit])</f>
        <v>#REF!</v>
      </c>
      <c r="AD301" s="532" t="e">
        <f>IF(NFI_Expiration=1,IF(#REF!&lt;VLOOKUP(M$5,NFI,5,0),1,0)*Table_NFI[[#This Row],[Sanitary Kit]],Table_NFI[Sanitary Kit])</f>
        <v>#REF!</v>
      </c>
      <c r="AE301" s="532" t="e">
        <f>IF(NFI_Expiration=1,IF(#REF!&lt;VLOOKUP(N$5,NFI,5,0),1,0)*Table_NFI[[#This Row],[Mosquito net]],Table_NFI[Mosquito net])</f>
        <v>#REF!</v>
      </c>
      <c r="AF301" s="532" t="e">
        <f>IF(NFI_Expiration=1,IF(#REF!&lt;VLOOKUP(O$5,NFI,5,0),1,0)*Table_NFI[[#This Row],[Tarpaulin]],Table_NFI[[#This Row],[Tarpaulin]])</f>
        <v>#REF!</v>
      </c>
      <c r="AG301" s="532" t="e">
        <f>IF(NFI_Expiration=1,IF(#REF!&lt;VLOOKUP(P$5,NFI,5,0),1,0)*Table_NFI[[#This Row],[Blanket]],Table_NFI[[#This Row],[Blanket]])</f>
        <v>#REF!</v>
      </c>
      <c r="AH301" s="532" t="e">
        <f>IF(NFI_Expiration=1,IF(#REF!&lt;VLOOKUP(Q$5,NFI,5,0),1,0)*Table_NFI[[#This Row],[Kitchen Set]],Table_NFI[Kitchen Set])</f>
        <v>#REF!</v>
      </c>
      <c r="AI301" s="532" t="e">
        <f>IF(NFI_Expiration=1,IF(#REF!&lt;VLOOKUP(R$5,NFI,5,0),1,0)*Table_NFI[[#This Row],[Clothes Kit]],Table_NFI[Clothes Kit])</f>
        <v>#REF!</v>
      </c>
      <c r="AJ301" s="532" t="e">
        <f>IF(NFI_Expiration=1,IF(#REF!&lt;VLOOKUP(S$5,NFI,5,0),1,0)*Table_NFI[[#This Row],[Plastic Bucket]],Table_NFI[Plastic Bucket])</f>
        <v>#REF!</v>
      </c>
      <c r="AK301" s="532" t="e">
        <f>IF(NFI_Expiration=1,IF(#REF!&lt;VLOOKUP(T$5,NFI,5,0),1,0)*Table_NFI[[#This Row],[Plastic Mat]],Table_NFI[Plastic Mat])*IF(Table_NFI[[#This Row],[Distribution Date]]&gt;"2014-04-01",1,2.5)</f>
        <v>#REF!</v>
      </c>
      <c r="AL301" s="532" t="e">
        <f>IF(NFI_Expiration=1,IF(#REF!&lt;VLOOKUP(U$5,NFI,5,0),1,0)*Table_NFI[[#This Row],[Winter Clothes Adult]],Table_NFI[Winter Clothes Adult])</f>
        <v>#REF!</v>
      </c>
      <c r="AM301" s="532"/>
      <c r="AN301" s="532"/>
      <c r="AO301" s="532"/>
      <c r="AP301" s="532">
        <f>IF(Table_NFI[[#This Row],[Winter Clothes Adult]]+Table_NFI[[#This Row],[Winter Clothes Children]]+Table_NFI[[#This Row],[Winter Items Other]]+Table_NFI[[#This Row],[Winter Blanket]]&gt;0,1,0)</f>
        <v>0</v>
      </c>
      <c r="AQ301" s="532"/>
      <c r="AR301" s="532"/>
      <c r="AS301" s="532"/>
      <c r="AT301" s="532"/>
      <c r="AU301" s="532"/>
      <c r="AV301" s="532"/>
      <c r="AW301" s="532"/>
      <c r="AX301" s="203" t="str">
        <f>IFERROR(VLOOKUP(Table_NFI[[#This Row],[Location]],CL,2,0),"")</f>
        <v>MMR001CMP031</v>
      </c>
      <c r="AZ301" s="524"/>
      <c r="DS301" s="181"/>
      <c r="DT301" s="181"/>
    </row>
    <row r="302" spans="2:124" hidden="1" x14ac:dyDescent="0.3">
      <c r="B302" s="530">
        <v>43256</v>
      </c>
      <c r="C302" s="530" t="str">
        <f>MONTH(Table_NFI[[#This Row],[Distribution Date]]) &amp; "/" &amp; YEAR(Table_NFI[[#This Row],[Distribution Date]])</f>
        <v>6/2018</v>
      </c>
      <c r="D302" s="196" t="s">
        <v>420</v>
      </c>
      <c r="E302" s="196" t="s">
        <v>462</v>
      </c>
      <c r="F302" s="196" t="s">
        <v>378</v>
      </c>
      <c r="G302" s="195" t="s">
        <v>309</v>
      </c>
      <c r="H302" s="217" t="s">
        <v>315</v>
      </c>
      <c r="I302" s="181"/>
      <c r="J302" s="531"/>
      <c r="K302" s="531"/>
      <c r="L302" s="531">
        <v>1</v>
      </c>
      <c r="M302" s="531"/>
      <c r="N302" s="531">
        <v>4</v>
      </c>
      <c r="O302" s="531">
        <v>1</v>
      </c>
      <c r="P302" s="531">
        <v>4</v>
      </c>
      <c r="Q302" s="531">
        <v>1</v>
      </c>
      <c r="R302" s="531"/>
      <c r="S302" s="531">
        <v>1</v>
      </c>
      <c r="T302" s="531">
        <v>8</v>
      </c>
      <c r="U302" s="531"/>
      <c r="V302" s="531"/>
      <c r="W302" s="531"/>
      <c r="X302" s="531"/>
      <c r="Y302" s="531"/>
      <c r="Z302" s="531"/>
      <c r="AA302" s="531"/>
      <c r="AB302" s="531"/>
      <c r="AC302" s="532" t="e">
        <f>IF(NFI_Expiration=1,IF(#REF!&lt;VLOOKUP(L$5,NFI,5,0),1,0)*Table_NFI[[#This Row],[NFI Core Kit]],Table_NFI[NFI Core Kit])</f>
        <v>#REF!</v>
      </c>
      <c r="AD302" s="532" t="e">
        <f>IF(NFI_Expiration=1,IF(#REF!&lt;VLOOKUP(M$5,NFI,5,0),1,0)*Table_NFI[[#This Row],[Sanitary Kit]],Table_NFI[Sanitary Kit])</f>
        <v>#REF!</v>
      </c>
      <c r="AE302" s="532" t="e">
        <f>IF(NFI_Expiration=1,IF(#REF!&lt;VLOOKUP(N$5,NFI,5,0),1,0)*Table_NFI[[#This Row],[Mosquito net]],Table_NFI[Mosquito net])</f>
        <v>#REF!</v>
      </c>
      <c r="AF302" s="532" t="e">
        <f>IF(NFI_Expiration=1,IF(#REF!&lt;VLOOKUP(O$5,NFI,5,0),1,0)*Table_NFI[[#This Row],[Tarpaulin]],Table_NFI[[#This Row],[Tarpaulin]])</f>
        <v>#REF!</v>
      </c>
      <c r="AG302" s="532" t="e">
        <f>IF(NFI_Expiration=1,IF(#REF!&lt;VLOOKUP(P$5,NFI,5,0),1,0)*Table_NFI[[#This Row],[Blanket]],Table_NFI[[#This Row],[Blanket]])</f>
        <v>#REF!</v>
      </c>
      <c r="AH302" s="532" t="e">
        <f>IF(NFI_Expiration=1,IF(#REF!&lt;VLOOKUP(Q$5,NFI,5,0),1,0)*Table_NFI[[#This Row],[Kitchen Set]],Table_NFI[Kitchen Set])</f>
        <v>#REF!</v>
      </c>
      <c r="AI302" s="532" t="e">
        <f>IF(NFI_Expiration=1,IF(#REF!&lt;VLOOKUP(R$5,NFI,5,0),1,0)*Table_NFI[[#This Row],[Clothes Kit]],Table_NFI[Clothes Kit])</f>
        <v>#REF!</v>
      </c>
      <c r="AJ302" s="532" t="e">
        <f>IF(NFI_Expiration=1,IF(#REF!&lt;VLOOKUP(S$5,NFI,5,0),1,0)*Table_NFI[[#This Row],[Plastic Bucket]],Table_NFI[Plastic Bucket])</f>
        <v>#REF!</v>
      </c>
      <c r="AK302" s="532" t="e">
        <f>IF(NFI_Expiration=1,IF(#REF!&lt;VLOOKUP(T$5,NFI,5,0),1,0)*Table_NFI[[#This Row],[Plastic Mat]],Table_NFI[Plastic Mat])*IF(Table_NFI[[#This Row],[Distribution Date]]&gt;"2014-04-01",1,2.5)</f>
        <v>#REF!</v>
      </c>
      <c r="AL302" s="532" t="e">
        <f>IF(NFI_Expiration=1,IF(#REF!&lt;VLOOKUP(U$5,NFI,5,0),1,0)*Table_NFI[[#This Row],[Winter Clothes Adult]],Table_NFI[Winter Clothes Adult])</f>
        <v>#REF!</v>
      </c>
      <c r="AM302" s="532"/>
      <c r="AN302" s="532"/>
      <c r="AO302" s="532"/>
      <c r="AP302" s="532">
        <f>IF(Table_NFI[[#This Row],[Winter Clothes Adult]]+Table_NFI[[#This Row],[Winter Clothes Children]]+Table_NFI[[#This Row],[Winter Items Other]]+Table_NFI[[#This Row],[Winter Blanket]]&gt;0,1,0)</f>
        <v>0</v>
      </c>
      <c r="AQ302" s="532"/>
      <c r="AR302" s="532"/>
      <c r="AS302" s="532"/>
      <c r="AT302" s="532"/>
      <c r="AU302" s="532"/>
      <c r="AV302" s="532"/>
      <c r="AW302" s="532"/>
      <c r="AX302" s="203" t="str">
        <f>IFERROR(VLOOKUP(Table_NFI[[#This Row],[Location]],CL,2,0),"")</f>
        <v>MMR001CMP038</v>
      </c>
      <c r="AZ302" s="524"/>
      <c r="DS302" s="181"/>
      <c r="DT302" s="181"/>
    </row>
    <row r="303" spans="2:124" hidden="1" x14ac:dyDescent="0.3">
      <c r="B303" s="530">
        <v>43270</v>
      </c>
      <c r="C303" s="530" t="str">
        <f>MONTH(Table_NFI[[#This Row],[Distribution Date]]) &amp; "/" &amp; YEAR(Table_NFI[[#This Row],[Distribution Date]])</f>
        <v>6/2018</v>
      </c>
      <c r="D303" s="196" t="s">
        <v>420</v>
      </c>
      <c r="E303" s="196" t="s">
        <v>462</v>
      </c>
      <c r="F303" s="196" t="s">
        <v>378</v>
      </c>
      <c r="G303" s="195" t="s">
        <v>480</v>
      </c>
      <c r="H303" s="217" t="s">
        <v>41</v>
      </c>
      <c r="I303" s="181"/>
      <c r="J303" s="531"/>
      <c r="K303" s="531"/>
      <c r="L303" s="531"/>
      <c r="M303" s="531"/>
      <c r="N303" s="531"/>
      <c r="O303" s="531"/>
      <c r="P303" s="531"/>
      <c r="Q303" s="531"/>
      <c r="R303" s="531"/>
      <c r="S303" s="531"/>
      <c r="T303" s="531"/>
      <c r="U303" s="531"/>
      <c r="V303" s="531"/>
      <c r="W303" s="531"/>
      <c r="X303" s="531"/>
      <c r="Y303" s="531"/>
      <c r="Z303" s="531">
        <v>19</v>
      </c>
      <c r="AA303" s="531"/>
      <c r="AB303" s="531"/>
      <c r="AC303" s="532" t="e">
        <f>IF(NFI_Expiration=1,IF(#REF!&lt;VLOOKUP(L$5,NFI,5,0),1,0)*Table_NFI[[#This Row],[NFI Core Kit]],Table_NFI[NFI Core Kit])</f>
        <v>#REF!</v>
      </c>
      <c r="AD303" s="532" t="e">
        <f>IF(NFI_Expiration=1,IF(#REF!&lt;VLOOKUP(M$5,NFI,5,0),1,0)*Table_NFI[[#This Row],[Sanitary Kit]],Table_NFI[Sanitary Kit])</f>
        <v>#REF!</v>
      </c>
      <c r="AE303" s="532" t="e">
        <f>IF(NFI_Expiration=1,IF(#REF!&lt;VLOOKUP(N$5,NFI,5,0),1,0)*Table_NFI[[#This Row],[Mosquito net]],Table_NFI[Mosquito net])</f>
        <v>#REF!</v>
      </c>
      <c r="AF303" s="532" t="e">
        <f>IF(NFI_Expiration=1,IF(#REF!&lt;VLOOKUP(O$5,NFI,5,0),1,0)*Table_NFI[[#This Row],[Tarpaulin]],Table_NFI[[#This Row],[Tarpaulin]])</f>
        <v>#REF!</v>
      </c>
      <c r="AG303" s="532" t="e">
        <f>IF(NFI_Expiration=1,IF(#REF!&lt;VLOOKUP(P$5,NFI,5,0),1,0)*Table_NFI[[#This Row],[Blanket]],Table_NFI[[#This Row],[Blanket]])</f>
        <v>#REF!</v>
      </c>
      <c r="AH303" s="532" t="e">
        <f>IF(NFI_Expiration=1,IF(#REF!&lt;VLOOKUP(Q$5,NFI,5,0),1,0)*Table_NFI[[#This Row],[Kitchen Set]],Table_NFI[Kitchen Set])</f>
        <v>#REF!</v>
      </c>
      <c r="AI303" s="532" t="e">
        <f>IF(NFI_Expiration=1,IF(#REF!&lt;VLOOKUP(R$5,NFI,5,0),1,0)*Table_NFI[[#This Row],[Clothes Kit]],Table_NFI[Clothes Kit])</f>
        <v>#REF!</v>
      </c>
      <c r="AJ303" s="532" t="e">
        <f>IF(NFI_Expiration=1,IF(#REF!&lt;VLOOKUP(S$5,NFI,5,0),1,0)*Table_NFI[[#This Row],[Plastic Bucket]],Table_NFI[Plastic Bucket])</f>
        <v>#REF!</v>
      </c>
      <c r="AK303" s="532" t="e">
        <f>IF(NFI_Expiration=1,IF(#REF!&lt;VLOOKUP(T$5,NFI,5,0),1,0)*Table_NFI[[#This Row],[Plastic Mat]],Table_NFI[Plastic Mat])*IF(Table_NFI[[#This Row],[Distribution Date]]&gt;"2014-04-01",1,2.5)</f>
        <v>#REF!</v>
      </c>
      <c r="AL303" s="532" t="e">
        <f>IF(NFI_Expiration=1,IF(#REF!&lt;VLOOKUP(U$5,NFI,5,0),1,0)*Table_NFI[[#This Row],[Winter Clothes Adult]],Table_NFI[Winter Clothes Adult])</f>
        <v>#REF!</v>
      </c>
      <c r="AM303" s="532"/>
      <c r="AN303" s="532"/>
      <c r="AO303" s="532"/>
      <c r="AP303" s="532">
        <f>IF(Table_NFI[[#This Row],[Winter Clothes Adult]]+Table_NFI[[#This Row],[Winter Clothes Children]]+Table_NFI[[#This Row],[Winter Items Other]]+Table_NFI[[#This Row],[Winter Blanket]]&gt;0,1,0)</f>
        <v>0</v>
      </c>
      <c r="AQ303" s="532"/>
      <c r="AR303" s="532"/>
      <c r="AS303" s="532"/>
      <c r="AT303" s="532"/>
      <c r="AU303" s="532"/>
      <c r="AV303" s="532"/>
      <c r="AW303" s="532"/>
      <c r="AX303" s="203" t="str">
        <f>IFERROR(VLOOKUP(Table_NFI[[#This Row],[Location]],CL,2,0),"")</f>
        <v>MMR001CMP176</v>
      </c>
      <c r="AZ303" s="524"/>
      <c r="DS303" s="181"/>
      <c r="DT303" s="181"/>
    </row>
    <row r="304" spans="2:124" hidden="1" x14ac:dyDescent="0.3">
      <c r="B304" s="530">
        <v>43270</v>
      </c>
      <c r="C304" s="530" t="str">
        <f>MONTH(Table_NFI[[#This Row],[Distribution Date]]) &amp; "/" &amp; YEAR(Table_NFI[[#This Row],[Distribution Date]])</f>
        <v>6/2018</v>
      </c>
      <c r="D304" s="196" t="s">
        <v>420</v>
      </c>
      <c r="E304" s="196" t="s">
        <v>462</v>
      </c>
      <c r="F304" s="196" t="s">
        <v>378</v>
      </c>
      <c r="G304" s="195" t="s">
        <v>480</v>
      </c>
      <c r="H304" s="217" t="s">
        <v>92</v>
      </c>
      <c r="I304" s="181"/>
      <c r="J304" s="531"/>
      <c r="K304" s="531"/>
      <c r="L304" s="531"/>
      <c r="M304" s="531"/>
      <c r="N304" s="531"/>
      <c r="O304" s="531"/>
      <c r="P304" s="531"/>
      <c r="Q304" s="531"/>
      <c r="R304" s="531"/>
      <c r="S304" s="531"/>
      <c r="T304" s="531"/>
      <c r="U304" s="531"/>
      <c r="V304" s="531"/>
      <c r="W304" s="531"/>
      <c r="X304" s="531"/>
      <c r="Y304" s="531"/>
      <c r="Z304" s="531">
        <v>12</v>
      </c>
      <c r="AA304" s="531"/>
      <c r="AB304" s="531"/>
      <c r="AC304" s="532" t="e">
        <f>IF(NFI_Expiration=1,IF(#REF!&lt;VLOOKUP(L$5,NFI,5,0),1,0)*Table_NFI[[#This Row],[NFI Core Kit]],Table_NFI[NFI Core Kit])</f>
        <v>#REF!</v>
      </c>
      <c r="AD304" s="532" t="e">
        <f>IF(NFI_Expiration=1,IF(#REF!&lt;VLOOKUP(M$5,NFI,5,0),1,0)*Table_NFI[[#This Row],[Sanitary Kit]],Table_NFI[Sanitary Kit])</f>
        <v>#REF!</v>
      </c>
      <c r="AE304" s="532" t="e">
        <f>IF(NFI_Expiration=1,IF(#REF!&lt;VLOOKUP(N$5,NFI,5,0),1,0)*Table_NFI[[#This Row],[Mosquito net]],Table_NFI[Mosquito net])</f>
        <v>#REF!</v>
      </c>
      <c r="AF304" s="532" t="e">
        <f>IF(NFI_Expiration=1,IF(#REF!&lt;VLOOKUP(O$5,NFI,5,0),1,0)*Table_NFI[[#This Row],[Tarpaulin]],Table_NFI[[#This Row],[Tarpaulin]])</f>
        <v>#REF!</v>
      </c>
      <c r="AG304" s="532" t="e">
        <f>IF(NFI_Expiration=1,IF(#REF!&lt;VLOOKUP(P$5,NFI,5,0),1,0)*Table_NFI[[#This Row],[Blanket]],Table_NFI[[#This Row],[Blanket]])</f>
        <v>#REF!</v>
      </c>
      <c r="AH304" s="532" t="e">
        <f>IF(NFI_Expiration=1,IF(#REF!&lt;VLOOKUP(Q$5,NFI,5,0),1,0)*Table_NFI[[#This Row],[Kitchen Set]],Table_NFI[Kitchen Set])</f>
        <v>#REF!</v>
      </c>
      <c r="AI304" s="532" t="e">
        <f>IF(NFI_Expiration=1,IF(#REF!&lt;VLOOKUP(R$5,NFI,5,0),1,0)*Table_NFI[[#This Row],[Clothes Kit]],Table_NFI[Clothes Kit])</f>
        <v>#REF!</v>
      </c>
      <c r="AJ304" s="532" t="e">
        <f>IF(NFI_Expiration=1,IF(#REF!&lt;VLOOKUP(S$5,NFI,5,0),1,0)*Table_NFI[[#This Row],[Plastic Bucket]],Table_NFI[Plastic Bucket])</f>
        <v>#REF!</v>
      </c>
      <c r="AK304" s="532" t="e">
        <f>IF(NFI_Expiration=1,IF(#REF!&lt;VLOOKUP(T$5,NFI,5,0),1,0)*Table_NFI[[#This Row],[Plastic Mat]],Table_NFI[Plastic Mat])*IF(Table_NFI[[#This Row],[Distribution Date]]&gt;"2014-04-01",1,2.5)</f>
        <v>#REF!</v>
      </c>
      <c r="AL304" s="532" t="e">
        <f>IF(NFI_Expiration=1,IF(#REF!&lt;VLOOKUP(U$5,NFI,5,0),1,0)*Table_NFI[[#This Row],[Winter Clothes Adult]],Table_NFI[Winter Clothes Adult])</f>
        <v>#REF!</v>
      </c>
      <c r="AM304" s="532"/>
      <c r="AN304" s="532"/>
      <c r="AO304" s="532"/>
      <c r="AP304" s="532">
        <f>IF(Table_NFI[[#This Row],[Winter Clothes Adult]]+Table_NFI[[#This Row],[Winter Clothes Children]]+Table_NFI[[#This Row],[Winter Items Other]]+Table_NFI[[#This Row],[Winter Blanket]]&gt;0,1,0)</f>
        <v>0</v>
      </c>
      <c r="AQ304" s="532"/>
      <c r="AR304" s="532"/>
      <c r="AS304" s="532"/>
      <c r="AT304" s="532"/>
      <c r="AU304" s="532"/>
      <c r="AV304" s="532"/>
      <c r="AW304" s="532"/>
      <c r="AX304" s="203" t="str">
        <f>IFERROR(VLOOKUP(Table_NFI[[#This Row],[Location]],CL,2,0),"")</f>
        <v>MMR001CMP167</v>
      </c>
      <c r="AZ304" s="524"/>
      <c r="DS304" s="181"/>
      <c r="DT304" s="181"/>
    </row>
    <row r="305" spans="2:124" hidden="1" x14ac:dyDescent="0.3">
      <c r="B305" s="530">
        <v>43270</v>
      </c>
      <c r="C305" s="530" t="str">
        <f>MONTH(Table_NFI[[#This Row],[Distribution Date]]) &amp; "/" &amp; YEAR(Table_NFI[[#This Row],[Distribution Date]])</f>
        <v>6/2018</v>
      </c>
      <c r="D305" s="196" t="s">
        <v>420</v>
      </c>
      <c r="E305" s="196" t="s">
        <v>462</v>
      </c>
      <c r="F305" s="196" t="s">
        <v>378</v>
      </c>
      <c r="G305" s="195" t="s">
        <v>480</v>
      </c>
      <c r="H305" s="217" t="s">
        <v>551</v>
      </c>
      <c r="I305" s="181"/>
      <c r="J305" s="531"/>
      <c r="K305" s="531"/>
      <c r="L305" s="531"/>
      <c r="M305" s="531"/>
      <c r="N305" s="531"/>
      <c r="O305" s="531"/>
      <c r="P305" s="531"/>
      <c r="Q305" s="531"/>
      <c r="R305" s="531"/>
      <c r="S305" s="531"/>
      <c r="T305" s="531"/>
      <c r="U305" s="531"/>
      <c r="V305" s="531"/>
      <c r="W305" s="531"/>
      <c r="X305" s="531"/>
      <c r="Y305" s="531"/>
      <c r="Z305" s="531">
        <v>9</v>
      </c>
      <c r="AA305" s="531"/>
      <c r="AB305" s="531"/>
      <c r="AC305" s="532" t="e">
        <f>IF(NFI_Expiration=1,IF(#REF!&lt;VLOOKUP(L$5,NFI,5,0),1,0)*Table_NFI[[#This Row],[NFI Core Kit]],Table_NFI[NFI Core Kit])</f>
        <v>#REF!</v>
      </c>
      <c r="AD305" s="532" t="e">
        <f>IF(NFI_Expiration=1,IF(#REF!&lt;VLOOKUP(M$5,NFI,5,0),1,0)*Table_NFI[[#This Row],[Sanitary Kit]],Table_NFI[Sanitary Kit])</f>
        <v>#REF!</v>
      </c>
      <c r="AE305" s="532" t="e">
        <f>IF(NFI_Expiration=1,IF(#REF!&lt;VLOOKUP(N$5,NFI,5,0),1,0)*Table_NFI[[#This Row],[Mosquito net]],Table_NFI[Mosquito net])</f>
        <v>#REF!</v>
      </c>
      <c r="AF305" s="532" t="e">
        <f>IF(NFI_Expiration=1,IF(#REF!&lt;VLOOKUP(O$5,NFI,5,0),1,0)*Table_NFI[[#This Row],[Tarpaulin]],Table_NFI[[#This Row],[Tarpaulin]])</f>
        <v>#REF!</v>
      </c>
      <c r="AG305" s="532" t="e">
        <f>IF(NFI_Expiration=1,IF(#REF!&lt;VLOOKUP(P$5,NFI,5,0),1,0)*Table_NFI[[#This Row],[Blanket]],Table_NFI[[#This Row],[Blanket]])</f>
        <v>#REF!</v>
      </c>
      <c r="AH305" s="532" t="e">
        <f>IF(NFI_Expiration=1,IF(#REF!&lt;VLOOKUP(Q$5,NFI,5,0),1,0)*Table_NFI[[#This Row],[Kitchen Set]],Table_NFI[Kitchen Set])</f>
        <v>#REF!</v>
      </c>
      <c r="AI305" s="532" t="e">
        <f>IF(NFI_Expiration=1,IF(#REF!&lt;VLOOKUP(R$5,NFI,5,0),1,0)*Table_NFI[[#This Row],[Clothes Kit]],Table_NFI[Clothes Kit])</f>
        <v>#REF!</v>
      </c>
      <c r="AJ305" s="532" t="e">
        <f>IF(NFI_Expiration=1,IF(#REF!&lt;VLOOKUP(S$5,NFI,5,0),1,0)*Table_NFI[[#This Row],[Plastic Bucket]],Table_NFI[Plastic Bucket])</f>
        <v>#REF!</v>
      </c>
      <c r="AK305" s="532" t="e">
        <f>IF(NFI_Expiration=1,IF(#REF!&lt;VLOOKUP(T$5,NFI,5,0),1,0)*Table_NFI[[#This Row],[Plastic Mat]],Table_NFI[Plastic Mat])*IF(Table_NFI[[#This Row],[Distribution Date]]&gt;"2014-04-01",1,2.5)</f>
        <v>#REF!</v>
      </c>
      <c r="AL305" s="532" t="e">
        <f>IF(NFI_Expiration=1,IF(#REF!&lt;VLOOKUP(U$5,NFI,5,0),1,0)*Table_NFI[[#This Row],[Winter Clothes Adult]],Table_NFI[Winter Clothes Adult])</f>
        <v>#REF!</v>
      </c>
      <c r="AM305" s="532"/>
      <c r="AN305" s="532"/>
      <c r="AO305" s="532"/>
      <c r="AP305" s="532">
        <f>IF(Table_NFI[[#This Row],[Winter Clothes Adult]]+Table_NFI[[#This Row],[Winter Clothes Children]]+Table_NFI[[#This Row],[Winter Items Other]]+Table_NFI[[#This Row],[Winter Blanket]]&gt;0,1,0)</f>
        <v>0</v>
      </c>
      <c r="AQ305" s="532"/>
      <c r="AR305" s="532"/>
      <c r="AS305" s="532"/>
      <c r="AT305" s="532"/>
      <c r="AU305" s="532"/>
      <c r="AV305" s="532"/>
      <c r="AW305" s="532"/>
      <c r="AX305" s="203" t="str">
        <f>IFERROR(VLOOKUP(Table_NFI[[#This Row],[Location]],CL,2,0),"")</f>
        <v>MMR001CMP192</v>
      </c>
      <c r="AZ305" s="524"/>
      <c r="DS305" s="181"/>
      <c r="DT305" s="181"/>
    </row>
    <row r="306" spans="2:124" hidden="1" x14ac:dyDescent="0.3">
      <c r="B306" s="530">
        <v>43270</v>
      </c>
      <c r="C306" s="530" t="str">
        <f>MONTH(Table_NFI[[#This Row],[Distribution Date]]) &amp; "/" &amp; YEAR(Table_NFI[[#This Row],[Distribution Date]])</f>
        <v>6/2018</v>
      </c>
      <c r="D306" s="196" t="s">
        <v>420</v>
      </c>
      <c r="E306" s="196" t="s">
        <v>462</v>
      </c>
      <c r="F306" s="196" t="s">
        <v>378</v>
      </c>
      <c r="G306" s="195" t="s">
        <v>480</v>
      </c>
      <c r="H306" s="217" t="s">
        <v>43</v>
      </c>
      <c r="I306" s="181"/>
      <c r="J306" s="531"/>
      <c r="K306" s="531"/>
      <c r="L306" s="531"/>
      <c r="M306" s="531"/>
      <c r="N306" s="531"/>
      <c r="O306" s="531"/>
      <c r="P306" s="531"/>
      <c r="Q306" s="531"/>
      <c r="R306" s="531"/>
      <c r="S306" s="531"/>
      <c r="T306" s="531"/>
      <c r="U306" s="531"/>
      <c r="V306" s="531"/>
      <c r="W306" s="531"/>
      <c r="X306" s="531"/>
      <c r="Y306" s="531"/>
      <c r="Z306" s="531">
        <v>12</v>
      </c>
      <c r="AA306" s="531"/>
      <c r="AB306" s="531"/>
      <c r="AC306" s="532" t="e">
        <f>IF(NFI_Expiration=1,IF(#REF!&lt;VLOOKUP(L$5,NFI,5,0),1,0)*Table_NFI[[#This Row],[NFI Core Kit]],Table_NFI[NFI Core Kit])</f>
        <v>#REF!</v>
      </c>
      <c r="AD306" s="532" t="e">
        <f>IF(NFI_Expiration=1,IF(#REF!&lt;VLOOKUP(M$5,NFI,5,0),1,0)*Table_NFI[[#This Row],[Sanitary Kit]],Table_NFI[Sanitary Kit])</f>
        <v>#REF!</v>
      </c>
      <c r="AE306" s="532" t="e">
        <f>IF(NFI_Expiration=1,IF(#REF!&lt;VLOOKUP(N$5,NFI,5,0),1,0)*Table_NFI[[#This Row],[Mosquito net]],Table_NFI[Mosquito net])</f>
        <v>#REF!</v>
      </c>
      <c r="AF306" s="532" t="e">
        <f>IF(NFI_Expiration=1,IF(#REF!&lt;VLOOKUP(O$5,NFI,5,0),1,0)*Table_NFI[[#This Row],[Tarpaulin]],Table_NFI[[#This Row],[Tarpaulin]])</f>
        <v>#REF!</v>
      </c>
      <c r="AG306" s="532" t="e">
        <f>IF(NFI_Expiration=1,IF(#REF!&lt;VLOOKUP(P$5,NFI,5,0),1,0)*Table_NFI[[#This Row],[Blanket]],Table_NFI[[#This Row],[Blanket]])</f>
        <v>#REF!</v>
      </c>
      <c r="AH306" s="532" t="e">
        <f>IF(NFI_Expiration=1,IF(#REF!&lt;VLOOKUP(Q$5,NFI,5,0),1,0)*Table_NFI[[#This Row],[Kitchen Set]],Table_NFI[Kitchen Set])</f>
        <v>#REF!</v>
      </c>
      <c r="AI306" s="532" t="e">
        <f>IF(NFI_Expiration=1,IF(#REF!&lt;VLOOKUP(R$5,NFI,5,0),1,0)*Table_NFI[[#This Row],[Clothes Kit]],Table_NFI[Clothes Kit])</f>
        <v>#REF!</v>
      </c>
      <c r="AJ306" s="532" t="e">
        <f>IF(NFI_Expiration=1,IF(#REF!&lt;VLOOKUP(S$5,NFI,5,0),1,0)*Table_NFI[[#This Row],[Plastic Bucket]],Table_NFI[Plastic Bucket])</f>
        <v>#REF!</v>
      </c>
      <c r="AK306" s="532" t="e">
        <f>IF(NFI_Expiration=1,IF(#REF!&lt;VLOOKUP(T$5,NFI,5,0),1,0)*Table_NFI[[#This Row],[Plastic Mat]],Table_NFI[Plastic Mat])*IF(Table_NFI[[#This Row],[Distribution Date]]&gt;"2014-04-01",1,2.5)</f>
        <v>#REF!</v>
      </c>
      <c r="AL306" s="532" t="e">
        <f>IF(NFI_Expiration=1,IF(#REF!&lt;VLOOKUP(U$5,NFI,5,0),1,0)*Table_NFI[[#This Row],[Winter Clothes Adult]],Table_NFI[Winter Clothes Adult])</f>
        <v>#REF!</v>
      </c>
      <c r="AM306" s="532"/>
      <c r="AN306" s="532"/>
      <c r="AO306" s="532"/>
      <c r="AP306" s="532">
        <f>IF(Table_NFI[[#This Row],[Winter Clothes Adult]]+Table_NFI[[#This Row],[Winter Clothes Children]]+Table_NFI[[#This Row],[Winter Items Other]]+Table_NFI[[#This Row],[Winter Blanket]]&gt;0,1,0)</f>
        <v>0</v>
      </c>
      <c r="AQ306" s="532"/>
      <c r="AR306" s="532"/>
      <c r="AS306" s="532"/>
      <c r="AT306" s="532"/>
      <c r="AU306" s="532"/>
      <c r="AV306" s="532"/>
      <c r="AW306" s="532"/>
      <c r="AX306" s="203" t="str">
        <f>IFERROR(VLOOKUP(Table_NFI[[#This Row],[Location]],CL,2,0),"")</f>
        <v>MMR001CMP190</v>
      </c>
      <c r="AZ306" s="524"/>
      <c r="DS306" s="181"/>
      <c r="DT306" s="181"/>
    </row>
    <row r="307" spans="2:124" hidden="1" x14ac:dyDescent="0.3">
      <c r="B307" s="530">
        <v>43270</v>
      </c>
      <c r="C307" s="530" t="str">
        <f>MONTH(Table_NFI[[#This Row],[Distribution Date]]) &amp; "/" &amp; YEAR(Table_NFI[[#This Row],[Distribution Date]])</f>
        <v>6/2018</v>
      </c>
      <c r="D307" s="196" t="s">
        <v>420</v>
      </c>
      <c r="E307" s="196" t="s">
        <v>462</v>
      </c>
      <c r="F307" s="196" t="s">
        <v>378</v>
      </c>
      <c r="G307" s="195" t="s">
        <v>309</v>
      </c>
      <c r="H307" s="217" t="s">
        <v>317</v>
      </c>
      <c r="I307" s="181"/>
      <c r="J307" s="531"/>
      <c r="K307" s="531"/>
      <c r="L307" s="531"/>
      <c r="M307" s="531"/>
      <c r="N307" s="531"/>
      <c r="O307" s="531"/>
      <c r="P307" s="531"/>
      <c r="Q307" s="531"/>
      <c r="R307" s="531"/>
      <c r="S307" s="531"/>
      <c r="T307" s="531"/>
      <c r="U307" s="531"/>
      <c r="V307" s="531"/>
      <c r="W307" s="531"/>
      <c r="X307" s="531"/>
      <c r="Y307" s="531"/>
      <c r="Z307" s="531">
        <v>20</v>
      </c>
      <c r="AA307" s="531"/>
      <c r="AB307" s="531"/>
      <c r="AC307" s="532" t="e">
        <f>IF(NFI_Expiration=1,IF(#REF!&lt;VLOOKUP(L$5,NFI,5,0),1,0)*Table_NFI[[#This Row],[NFI Core Kit]],Table_NFI[NFI Core Kit])</f>
        <v>#REF!</v>
      </c>
      <c r="AD307" s="532" t="e">
        <f>IF(NFI_Expiration=1,IF(#REF!&lt;VLOOKUP(M$5,NFI,5,0),1,0)*Table_NFI[[#This Row],[Sanitary Kit]],Table_NFI[Sanitary Kit])</f>
        <v>#REF!</v>
      </c>
      <c r="AE307" s="532" t="e">
        <f>IF(NFI_Expiration=1,IF(#REF!&lt;VLOOKUP(N$5,NFI,5,0),1,0)*Table_NFI[[#This Row],[Mosquito net]],Table_NFI[Mosquito net])</f>
        <v>#REF!</v>
      </c>
      <c r="AF307" s="532" t="e">
        <f>IF(NFI_Expiration=1,IF(#REF!&lt;VLOOKUP(O$5,NFI,5,0),1,0)*Table_NFI[[#This Row],[Tarpaulin]],Table_NFI[[#This Row],[Tarpaulin]])</f>
        <v>#REF!</v>
      </c>
      <c r="AG307" s="532" t="e">
        <f>IF(NFI_Expiration=1,IF(#REF!&lt;VLOOKUP(P$5,NFI,5,0),1,0)*Table_NFI[[#This Row],[Blanket]],Table_NFI[[#This Row],[Blanket]])</f>
        <v>#REF!</v>
      </c>
      <c r="AH307" s="532" t="e">
        <f>IF(NFI_Expiration=1,IF(#REF!&lt;VLOOKUP(Q$5,NFI,5,0),1,0)*Table_NFI[[#This Row],[Kitchen Set]],Table_NFI[Kitchen Set])</f>
        <v>#REF!</v>
      </c>
      <c r="AI307" s="532" t="e">
        <f>IF(NFI_Expiration=1,IF(#REF!&lt;VLOOKUP(R$5,NFI,5,0),1,0)*Table_NFI[[#This Row],[Clothes Kit]],Table_NFI[Clothes Kit])</f>
        <v>#REF!</v>
      </c>
      <c r="AJ307" s="532" t="e">
        <f>IF(NFI_Expiration=1,IF(#REF!&lt;VLOOKUP(S$5,NFI,5,0),1,0)*Table_NFI[[#This Row],[Plastic Bucket]],Table_NFI[Plastic Bucket])</f>
        <v>#REF!</v>
      </c>
      <c r="AK307" s="532" t="e">
        <f>IF(NFI_Expiration=1,IF(#REF!&lt;VLOOKUP(T$5,NFI,5,0),1,0)*Table_NFI[[#This Row],[Plastic Mat]],Table_NFI[Plastic Mat])*IF(Table_NFI[[#This Row],[Distribution Date]]&gt;"2014-04-01",1,2.5)</f>
        <v>#REF!</v>
      </c>
      <c r="AL307" s="532" t="e">
        <f>IF(NFI_Expiration=1,IF(#REF!&lt;VLOOKUP(U$5,NFI,5,0),1,0)*Table_NFI[[#This Row],[Winter Clothes Adult]],Table_NFI[Winter Clothes Adult])</f>
        <v>#REF!</v>
      </c>
      <c r="AM307" s="532"/>
      <c r="AN307" s="532"/>
      <c r="AO307" s="532"/>
      <c r="AP307" s="532">
        <f>IF(Table_NFI[[#This Row],[Winter Clothes Adult]]+Table_NFI[[#This Row],[Winter Clothes Children]]+Table_NFI[[#This Row],[Winter Items Other]]+Table_NFI[[#This Row],[Winter Blanket]]&gt;0,1,0)</f>
        <v>0</v>
      </c>
      <c r="AQ307" s="532"/>
      <c r="AR307" s="532"/>
      <c r="AS307" s="532"/>
      <c r="AT307" s="532"/>
      <c r="AU307" s="532"/>
      <c r="AV307" s="532"/>
      <c r="AW307" s="532"/>
      <c r="AX307" s="203" t="str">
        <f>IFERROR(VLOOKUP(Table_NFI[[#This Row],[Location]],CL,2,0),"")</f>
        <v>MMR001CMP032</v>
      </c>
      <c r="AZ307" s="524"/>
      <c r="DS307" s="181"/>
      <c r="DT307" s="181"/>
    </row>
    <row r="308" spans="2:124" ht="28.8" hidden="1" x14ac:dyDescent="0.3">
      <c r="B308" s="530">
        <v>43270</v>
      </c>
      <c r="C308" s="530" t="str">
        <f>MONTH(Table_NFI[[#This Row],[Distribution Date]]) &amp; "/" &amp; YEAR(Table_NFI[[#This Row],[Distribution Date]])</f>
        <v>6/2018</v>
      </c>
      <c r="D308" s="196" t="s">
        <v>420</v>
      </c>
      <c r="E308" s="196" t="s">
        <v>462</v>
      </c>
      <c r="F308" s="196" t="s">
        <v>378</v>
      </c>
      <c r="G308" s="195" t="s">
        <v>480</v>
      </c>
      <c r="H308" s="217" t="s">
        <v>76</v>
      </c>
      <c r="I308" s="181"/>
      <c r="J308" s="531"/>
      <c r="K308" s="531"/>
      <c r="L308" s="531"/>
      <c r="M308" s="531"/>
      <c r="N308" s="531"/>
      <c r="O308" s="531"/>
      <c r="P308" s="531"/>
      <c r="Q308" s="531"/>
      <c r="R308" s="531"/>
      <c r="S308" s="531"/>
      <c r="T308" s="531"/>
      <c r="U308" s="531"/>
      <c r="V308" s="531"/>
      <c r="W308" s="531"/>
      <c r="X308" s="531"/>
      <c r="Y308" s="531"/>
      <c r="Z308" s="531">
        <v>43</v>
      </c>
      <c r="AA308" s="531"/>
      <c r="AB308" s="531"/>
      <c r="AC308" s="532" t="e">
        <f>IF(NFI_Expiration=1,IF(#REF!&lt;VLOOKUP(L$5,NFI,5,0),1,0)*Table_NFI[[#This Row],[NFI Core Kit]],Table_NFI[NFI Core Kit])</f>
        <v>#REF!</v>
      </c>
      <c r="AD308" s="532" t="e">
        <f>IF(NFI_Expiration=1,IF(#REF!&lt;VLOOKUP(M$5,NFI,5,0),1,0)*Table_NFI[[#This Row],[Sanitary Kit]],Table_NFI[Sanitary Kit])</f>
        <v>#REF!</v>
      </c>
      <c r="AE308" s="532" t="e">
        <f>IF(NFI_Expiration=1,IF(#REF!&lt;VLOOKUP(N$5,NFI,5,0),1,0)*Table_NFI[[#This Row],[Mosquito net]],Table_NFI[Mosquito net])</f>
        <v>#REF!</v>
      </c>
      <c r="AF308" s="532" t="e">
        <f>IF(NFI_Expiration=1,IF(#REF!&lt;VLOOKUP(O$5,NFI,5,0),1,0)*Table_NFI[[#This Row],[Tarpaulin]],Table_NFI[[#This Row],[Tarpaulin]])</f>
        <v>#REF!</v>
      </c>
      <c r="AG308" s="532" t="e">
        <f>IF(NFI_Expiration=1,IF(#REF!&lt;VLOOKUP(P$5,NFI,5,0),1,0)*Table_NFI[[#This Row],[Blanket]],Table_NFI[[#This Row],[Blanket]])</f>
        <v>#REF!</v>
      </c>
      <c r="AH308" s="532" t="e">
        <f>IF(NFI_Expiration=1,IF(#REF!&lt;VLOOKUP(Q$5,NFI,5,0),1,0)*Table_NFI[[#This Row],[Kitchen Set]],Table_NFI[Kitchen Set])</f>
        <v>#REF!</v>
      </c>
      <c r="AI308" s="532" t="e">
        <f>IF(NFI_Expiration=1,IF(#REF!&lt;VLOOKUP(R$5,NFI,5,0),1,0)*Table_NFI[[#This Row],[Clothes Kit]],Table_NFI[Clothes Kit])</f>
        <v>#REF!</v>
      </c>
      <c r="AJ308" s="532" t="e">
        <f>IF(NFI_Expiration=1,IF(#REF!&lt;VLOOKUP(S$5,NFI,5,0),1,0)*Table_NFI[[#This Row],[Plastic Bucket]],Table_NFI[Plastic Bucket])</f>
        <v>#REF!</v>
      </c>
      <c r="AK308" s="532" t="e">
        <f>IF(NFI_Expiration=1,IF(#REF!&lt;VLOOKUP(T$5,NFI,5,0),1,0)*Table_NFI[[#This Row],[Plastic Mat]],Table_NFI[Plastic Mat])*IF(Table_NFI[[#This Row],[Distribution Date]]&gt;"2014-04-01",1,2.5)</f>
        <v>#REF!</v>
      </c>
      <c r="AL308" s="532" t="e">
        <f>IF(NFI_Expiration=1,IF(#REF!&lt;VLOOKUP(U$5,NFI,5,0),1,0)*Table_NFI[[#This Row],[Winter Clothes Adult]],Table_NFI[Winter Clothes Adult])</f>
        <v>#REF!</v>
      </c>
      <c r="AM308" s="532"/>
      <c r="AN308" s="532"/>
      <c r="AO308" s="532"/>
      <c r="AP308" s="532">
        <f>IF(Table_NFI[[#This Row],[Winter Clothes Adult]]+Table_NFI[[#This Row],[Winter Clothes Children]]+Table_NFI[[#This Row],[Winter Items Other]]+Table_NFI[[#This Row],[Winter Blanket]]&gt;0,1,0)</f>
        <v>0</v>
      </c>
      <c r="AQ308" s="532"/>
      <c r="AR308" s="532"/>
      <c r="AS308" s="532"/>
      <c r="AT308" s="532"/>
      <c r="AU308" s="532"/>
      <c r="AV308" s="532"/>
      <c r="AW308" s="532"/>
      <c r="AX308" s="203" t="str">
        <f>IFERROR(VLOOKUP(Table_NFI[[#This Row],[Location]],CL,2,0),"")</f>
        <v>MMR001CMP174</v>
      </c>
      <c r="AZ308" s="524"/>
      <c r="DS308" s="181"/>
      <c r="DT308" s="181"/>
    </row>
    <row r="309" spans="2:124" hidden="1" x14ac:dyDescent="0.3">
      <c r="B309" s="530">
        <v>43270</v>
      </c>
      <c r="C309" s="530" t="str">
        <f>MONTH(Table_NFI[[#This Row],[Distribution Date]]) &amp; "/" &amp; YEAR(Table_NFI[[#This Row],[Distribution Date]])</f>
        <v>6/2018</v>
      </c>
      <c r="D309" s="196" t="s">
        <v>420</v>
      </c>
      <c r="E309" s="196" t="s">
        <v>462</v>
      </c>
      <c r="F309" s="196" t="s">
        <v>378</v>
      </c>
      <c r="G309" s="195" t="s">
        <v>5</v>
      </c>
      <c r="H309" s="217" t="s">
        <v>26</v>
      </c>
      <c r="I309" s="181"/>
      <c r="J309" s="531"/>
      <c r="K309" s="531"/>
      <c r="L309" s="531"/>
      <c r="M309" s="531"/>
      <c r="N309" s="531"/>
      <c r="O309" s="531"/>
      <c r="P309" s="531"/>
      <c r="Q309" s="531"/>
      <c r="R309" s="531"/>
      <c r="S309" s="531"/>
      <c r="T309" s="531"/>
      <c r="U309" s="531"/>
      <c r="V309" s="531"/>
      <c r="W309" s="531"/>
      <c r="X309" s="531"/>
      <c r="Y309" s="531"/>
      <c r="Z309" s="531">
        <v>13</v>
      </c>
      <c r="AA309" s="531"/>
      <c r="AB309" s="531"/>
      <c r="AC309" s="532" t="e">
        <f>IF(NFI_Expiration=1,IF(#REF!&lt;VLOOKUP(L$5,NFI,5,0),1,0)*Table_NFI[[#This Row],[NFI Core Kit]],Table_NFI[NFI Core Kit])</f>
        <v>#REF!</v>
      </c>
      <c r="AD309" s="532" t="e">
        <f>IF(NFI_Expiration=1,IF(#REF!&lt;VLOOKUP(M$5,NFI,5,0),1,0)*Table_NFI[[#This Row],[Sanitary Kit]],Table_NFI[Sanitary Kit])</f>
        <v>#REF!</v>
      </c>
      <c r="AE309" s="532" t="e">
        <f>IF(NFI_Expiration=1,IF(#REF!&lt;VLOOKUP(N$5,NFI,5,0),1,0)*Table_NFI[[#This Row],[Mosquito net]],Table_NFI[Mosquito net])</f>
        <v>#REF!</v>
      </c>
      <c r="AF309" s="532" t="e">
        <f>IF(NFI_Expiration=1,IF(#REF!&lt;VLOOKUP(O$5,NFI,5,0),1,0)*Table_NFI[[#This Row],[Tarpaulin]],Table_NFI[[#This Row],[Tarpaulin]])</f>
        <v>#REF!</v>
      </c>
      <c r="AG309" s="532" t="e">
        <f>IF(NFI_Expiration=1,IF(#REF!&lt;VLOOKUP(P$5,NFI,5,0),1,0)*Table_NFI[[#This Row],[Blanket]],Table_NFI[[#This Row],[Blanket]])</f>
        <v>#REF!</v>
      </c>
      <c r="AH309" s="532" t="e">
        <f>IF(NFI_Expiration=1,IF(#REF!&lt;VLOOKUP(Q$5,NFI,5,0),1,0)*Table_NFI[[#This Row],[Kitchen Set]],Table_NFI[Kitchen Set])</f>
        <v>#REF!</v>
      </c>
      <c r="AI309" s="532" t="e">
        <f>IF(NFI_Expiration=1,IF(#REF!&lt;VLOOKUP(R$5,NFI,5,0),1,0)*Table_NFI[[#This Row],[Clothes Kit]],Table_NFI[Clothes Kit])</f>
        <v>#REF!</v>
      </c>
      <c r="AJ309" s="532" t="e">
        <f>IF(NFI_Expiration=1,IF(#REF!&lt;VLOOKUP(S$5,NFI,5,0),1,0)*Table_NFI[[#This Row],[Plastic Bucket]],Table_NFI[Plastic Bucket])</f>
        <v>#REF!</v>
      </c>
      <c r="AK309" s="532" t="e">
        <f>IF(NFI_Expiration=1,IF(#REF!&lt;VLOOKUP(T$5,NFI,5,0),1,0)*Table_NFI[[#This Row],[Plastic Mat]],Table_NFI[Plastic Mat])*IF(Table_NFI[[#This Row],[Distribution Date]]&gt;"2014-04-01",1,2.5)</f>
        <v>#REF!</v>
      </c>
      <c r="AL309" s="532" t="e">
        <f>IF(NFI_Expiration=1,IF(#REF!&lt;VLOOKUP(U$5,NFI,5,0),1,0)*Table_NFI[[#This Row],[Winter Clothes Adult]],Table_NFI[Winter Clothes Adult])</f>
        <v>#REF!</v>
      </c>
      <c r="AM309" s="532"/>
      <c r="AN309" s="532"/>
      <c r="AO309" s="532"/>
      <c r="AP309" s="532">
        <f>IF(Table_NFI[[#This Row],[Winter Clothes Adult]]+Table_NFI[[#This Row],[Winter Clothes Children]]+Table_NFI[[#This Row],[Winter Items Other]]+Table_NFI[[#This Row],[Winter Blanket]]&gt;0,1,0)</f>
        <v>0</v>
      </c>
      <c r="AQ309" s="532"/>
      <c r="AR309" s="532"/>
      <c r="AS309" s="532"/>
      <c r="AT309" s="532"/>
      <c r="AU309" s="532"/>
      <c r="AV309" s="532"/>
      <c r="AW309" s="532"/>
      <c r="AX309" s="203" t="str">
        <f>IFERROR(VLOOKUP(Table_NFI[[#This Row],[Location]],CL,2,0),"")</f>
        <v>MMR001CMP053</v>
      </c>
      <c r="AZ309" s="524"/>
      <c r="DS309" s="181"/>
      <c r="DT309" s="181"/>
    </row>
    <row r="310" spans="2:124" hidden="1" x14ac:dyDescent="0.3">
      <c r="B310" s="530">
        <v>43252</v>
      </c>
      <c r="C310" s="530" t="str">
        <f>MONTH(Table_NFI[[#This Row],[Distribution Date]]) &amp; "/" &amp; YEAR(Table_NFI[[#This Row],[Distribution Date]])</f>
        <v>6/2018</v>
      </c>
      <c r="D310" s="196" t="s">
        <v>420</v>
      </c>
      <c r="E310" s="196" t="s">
        <v>462</v>
      </c>
      <c r="F310" s="196" t="s">
        <v>378</v>
      </c>
      <c r="G310" s="195" t="s">
        <v>5</v>
      </c>
      <c r="H310" s="217" t="s">
        <v>26</v>
      </c>
      <c r="I310" s="181"/>
      <c r="J310" s="531"/>
      <c r="K310" s="531"/>
      <c r="L310" s="531"/>
      <c r="M310" s="531"/>
      <c r="N310" s="531"/>
      <c r="O310" s="531">
        <v>9</v>
      </c>
      <c r="P310" s="531"/>
      <c r="Q310" s="531"/>
      <c r="R310" s="531"/>
      <c r="S310" s="531"/>
      <c r="T310" s="531"/>
      <c r="U310" s="531"/>
      <c r="V310" s="531"/>
      <c r="W310" s="531"/>
      <c r="X310" s="531"/>
      <c r="Y310" s="531"/>
      <c r="Z310" s="531"/>
      <c r="AA310" s="531"/>
      <c r="AB310" s="531"/>
      <c r="AC310" s="532" t="e">
        <f>IF(NFI_Expiration=1,IF(#REF!&lt;VLOOKUP(L$5,NFI,5,0),1,0)*Table_NFI[[#This Row],[NFI Core Kit]],Table_NFI[NFI Core Kit])</f>
        <v>#REF!</v>
      </c>
      <c r="AD310" s="532" t="e">
        <f>IF(NFI_Expiration=1,IF(#REF!&lt;VLOOKUP(M$5,NFI,5,0),1,0)*Table_NFI[[#This Row],[Sanitary Kit]],Table_NFI[Sanitary Kit])</f>
        <v>#REF!</v>
      </c>
      <c r="AE310" s="532" t="e">
        <f>IF(NFI_Expiration=1,IF(#REF!&lt;VLOOKUP(N$5,NFI,5,0),1,0)*Table_NFI[[#This Row],[Mosquito net]],Table_NFI[Mosquito net])</f>
        <v>#REF!</v>
      </c>
      <c r="AF310" s="532" t="e">
        <f>IF(NFI_Expiration=1,IF(#REF!&lt;VLOOKUP(O$5,NFI,5,0),1,0)*Table_NFI[[#This Row],[Tarpaulin]],Table_NFI[[#This Row],[Tarpaulin]])</f>
        <v>#REF!</v>
      </c>
      <c r="AG310" s="532" t="e">
        <f>IF(NFI_Expiration=1,IF(#REF!&lt;VLOOKUP(P$5,NFI,5,0),1,0)*Table_NFI[[#This Row],[Blanket]],Table_NFI[[#This Row],[Blanket]])</f>
        <v>#REF!</v>
      </c>
      <c r="AH310" s="532" t="e">
        <f>IF(NFI_Expiration=1,IF(#REF!&lt;VLOOKUP(Q$5,NFI,5,0),1,0)*Table_NFI[[#This Row],[Kitchen Set]],Table_NFI[Kitchen Set])</f>
        <v>#REF!</v>
      </c>
      <c r="AI310" s="532" t="e">
        <f>IF(NFI_Expiration=1,IF(#REF!&lt;VLOOKUP(R$5,NFI,5,0),1,0)*Table_NFI[[#This Row],[Clothes Kit]],Table_NFI[Clothes Kit])</f>
        <v>#REF!</v>
      </c>
      <c r="AJ310" s="532" t="e">
        <f>IF(NFI_Expiration=1,IF(#REF!&lt;VLOOKUP(S$5,NFI,5,0),1,0)*Table_NFI[[#This Row],[Plastic Bucket]],Table_NFI[Plastic Bucket])</f>
        <v>#REF!</v>
      </c>
      <c r="AK310" s="532" t="e">
        <f>IF(NFI_Expiration=1,IF(#REF!&lt;VLOOKUP(T$5,NFI,5,0),1,0)*Table_NFI[[#This Row],[Plastic Mat]],Table_NFI[Plastic Mat])*IF(Table_NFI[[#This Row],[Distribution Date]]&gt;"2014-04-01",1,2.5)</f>
        <v>#REF!</v>
      </c>
      <c r="AL310" s="532" t="e">
        <f>IF(NFI_Expiration=1,IF(#REF!&lt;VLOOKUP(U$5,NFI,5,0),1,0)*Table_NFI[[#This Row],[Winter Clothes Adult]],Table_NFI[Winter Clothes Adult])</f>
        <v>#REF!</v>
      </c>
      <c r="AM310" s="532"/>
      <c r="AN310" s="532"/>
      <c r="AO310" s="532"/>
      <c r="AP310" s="532">
        <f>IF(Table_NFI[[#This Row],[Winter Clothes Adult]]+Table_NFI[[#This Row],[Winter Clothes Children]]+Table_NFI[[#This Row],[Winter Items Other]]+Table_NFI[[#This Row],[Winter Blanket]]&gt;0,1,0)</f>
        <v>0</v>
      </c>
      <c r="AQ310" s="532"/>
      <c r="AR310" s="532"/>
      <c r="AS310" s="532"/>
      <c r="AT310" s="532"/>
      <c r="AU310" s="532"/>
      <c r="AV310" s="532"/>
      <c r="AW310" s="532"/>
      <c r="AX310" s="203" t="str">
        <f>IFERROR(VLOOKUP(Table_NFI[[#This Row],[Location]],CL,2,0),"")</f>
        <v>MMR001CMP053</v>
      </c>
      <c r="AZ310" s="524"/>
      <c r="DS310" s="181"/>
      <c r="DT310" s="181"/>
    </row>
    <row r="311" spans="2:124" hidden="1" x14ac:dyDescent="0.3">
      <c r="B311" s="530">
        <v>43266</v>
      </c>
      <c r="C311" s="530" t="str">
        <f>MONTH(Table_NFI[[#This Row],[Distribution Date]]) &amp; "/" &amp; YEAR(Table_NFI[[#This Row],[Distribution Date]])</f>
        <v>6/2018</v>
      </c>
      <c r="D311" s="196" t="s">
        <v>420</v>
      </c>
      <c r="E311" s="196" t="s">
        <v>424</v>
      </c>
      <c r="F311" s="196" t="s">
        <v>378</v>
      </c>
      <c r="G311" s="195" t="s">
        <v>480</v>
      </c>
      <c r="H311" s="217" t="s">
        <v>1155</v>
      </c>
      <c r="I311" s="181"/>
      <c r="J311" s="531"/>
      <c r="K311" s="531"/>
      <c r="L311" s="531"/>
      <c r="M311" s="531"/>
      <c r="N311" s="531"/>
      <c r="O311" s="531"/>
      <c r="P311" s="531"/>
      <c r="Q311" s="531"/>
      <c r="R311" s="531"/>
      <c r="S311" s="531"/>
      <c r="T311" s="531"/>
      <c r="U311" s="531"/>
      <c r="V311" s="531"/>
      <c r="W311" s="531"/>
      <c r="X311" s="531"/>
      <c r="Y311" s="531"/>
      <c r="Z311" s="531">
        <v>15</v>
      </c>
      <c r="AA311" s="531"/>
      <c r="AB311" s="531"/>
      <c r="AC311" s="532" t="e">
        <f>IF(NFI_Expiration=1,IF(#REF!&lt;VLOOKUP(L$5,NFI,5,0),1,0)*Table_NFI[[#This Row],[NFI Core Kit]],Table_NFI[NFI Core Kit])</f>
        <v>#REF!</v>
      </c>
      <c r="AD311" s="532" t="e">
        <f>IF(NFI_Expiration=1,IF(#REF!&lt;VLOOKUP(M$5,NFI,5,0),1,0)*Table_NFI[[#This Row],[Sanitary Kit]],Table_NFI[Sanitary Kit])</f>
        <v>#REF!</v>
      </c>
      <c r="AE311" s="532" t="e">
        <f>IF(NFI_Expiration=1,IF(#REF!&lt;VLOOKUP(N$5,NFI,5,0),1,0)*Table_NFI[[#This Row],[Mosquito net]],Table_NFI[Mosquito net])</f>
        <v>#REF!</v>
      </c>
      <c r="AF311" s="532" t="e">
        <f>IF(NFI_Expiration=1,IF(#REF!&lt;VLOOKUP(O$5,NFI,5,0),1,0)*Table_NFI[[#This Row],[Tarpaulin]],Table_NFI[[#This Row],[Tarpaulin]])</f>
        <v>#REF!</v>
      </c>
      <c r="AG311" s="532" t="e">
        <f>IF(NFI_Expiration=1,IF(#REF!&lt;VLOOKUP(P$5,NFI,5,0),1,0)*Table_NFI[[#This Row],[Blanket]],Table_NFI[[#This Row],[Blanket]])</f>
        <v>#REF!</v>
      </c>
      <c r="AH311" s="532" t="e">
        <f>IF(NFI_Expiration=1,IF(#REF!&lt;VLOOKUP(Q$5,NFI,5,0),1,0)*Table_NFI[[#This Row],[Kitchen Set]],Table_NFI[Kitchen Set])</f>
        <v>#REF!</v>
      </c>
      <c r="AI311" s="532" t="e">
        <f>IF(NFI_Expiration=1,IF(#REF!&lt;VLOOKUP(R$5,NFI,5,0),1,0)*Table_NFI[[#This Row],[Clothes Kit]],Table_NFI[Clothes Kit])</f>
        <v>#REF!</v>
      </c>
      <c r="AJ311" s="532" t="e">
        <f>IF(NFI_Expiration=1,IF(#REF!&lt;VLOOKUP(S$5,NFI,5,0),1,0)*Table_NFI[[#This Row],[Plastic Bucket]],Table_NFI[Plastic Bucket])</f>
        <v>#REF!</v>
      </c>
      <c r="AK311" s="532" t="e">
        <f>IF(NFI_Expiration=1,IF(#REF!&lt;VLOOKUP(T$5,NFI,5,0),1,0)*Table_NFI[[#This Row],[Plastic Mat]],Table_NFI[Plastic Mat])*IF(Table_NFI[[#This Row],[Distribution Date]]&gt;"2014-04-01",1,2.5)</f>
        <v>#REF!</v>
      </c>
      <c r="AL311" s="532" t="e">
        <f>IF(NFI_Expiration=1,IF(#REF!&lt;VLOOKUP(U$5,NFI,5,0),1,0)*Table_NFI[[#This Row],[Winter Clothes Adult]],Table_NFI[Winter Clothes Adult])</f>
        <v>#REF!</v>
      </c>
      <c r="AM311" s="532"/>
      <c r="AN311" s="532"/>
      <c r="AO311" s="532"/>
      <c r="AP311" s="532">
        <f>IF(Table_NFI[[#This Row],[Winter Clothes Adult]]+Table_NFI[[#This Row],[Winter Clothes Children]]+Table_NFI[[#This Row],[Winter Items Other]]+Table_NFI[[#This Row],[Winter Blanket]]&gt;0,1,0)</f>
        <v>0</v>
      </c>
      <c r="AQ311" s="532"/>
      <c r="AR311" s="532"/>
      <c r="AS311" s="532"/>
      <c r="AT311" s="532"/>
      <c r="AU311" s="532"/>
      <c r="AV311" s="532"/>
      <c r="AW311" s="532"/>
      <c r="AX311" s="203" t="str">
        <f>IFERROR(VLOOKUP(Table_NFI[[#This Row],[Location]],CL,2,0),"")</f>
        <v>MMR001CMP246</v>
      </c>
      <c r="AZ311" s="524"/>
      <c r="DS311" s="181"/>
      <c r="DT311" s="181"/>
    </row>
    <row r="312" spans="2:124" hidden="1" x14ac:dyDescent="0.3">
      <c r="B312" s="530">
        <v>43266</v>
      </c>
      <c r="C312" s="530" t="str">
        <f>MONTH(Table_NFI[[#This Row],[Distribution Date]]) &amp; "/" &amp; YEAR(Table_NFI[[#This Row],[Distribution Date]])</f>
        <v>6/2018</v>
      </c>
      <c r="D312" s="196" t="s">
        <v>420</v>
      </c>
      <c r="E312" s="196" t="s">
        <v>424</v>
      </c>
      <c r="F312" s="196" t="s">
        <v>378</v>
      </c>
      <c r="G312" s="195" t="s">
        <v>299</v>
      </c>
      <c r="H312" s="196" t="s">
        <v>1044</v>
      </c>
      <c r="I312" s="181"/>
      <c r="J312" s="531"/>
      <c r="K312" s="531"/>
      <c r="L312" s="531"/>
      <c r="M312" s="531"/>
      <c r="N312" s="531">
        <v>120</v>
      </c>
      <c r="O312" s="531"/>
      <c r="P312" s="531"/>
      <c r="Q312" s="531"/>
      <c r="R312" s="531"/>
      <c r="S312" s="531"/>
      <c r="T312" s="531"/>
      <c r="U312" s="531"/>
      <c r="V312" s="531"/>
      <c r="W312" s="531"/>
      <c r="X312" s="531"/>
      <c r="Y312" s="531"/>
      <c r="Z312" s="531">
        <v>60</v>
      </c>
      <c r="AA312" s="531"/>
      <c r="AB312" s="531"/>
      <c r="AC312" s="532" t="e">
        <f>IF(NFI_Expiration=1,IF(#REF!&lt;VLOOKUP(L$5,NFI,5,0),1,0)*Table_NFI[[#This Row],[NFI Core Kit]],Table_NFI[NFI Core Kit])</f>
        <v>#REF!</v>
      </c>
      <c r="AD312" s="532" t="e">
        <f>IF(NFI_Expiration=1,IF(#REF!&lt;VLOOKUP(M$5,NFI,5,0),1,0)*Table_NFI[[#This Row],[Sanitary Kit]],Table_NFI[Sanitary Kit])</f>
        <v>#REF!</v>
      </c>
      <c r="AE312" s="532" t="e">
        <f>IF(NFI_Expiration=1,IF(#REF!&lt;VLOOKUP(N$5,NFI,5,0),1,0)*Table_NFI[[#This Row],[Mosquito net]],Table_NFI[Mosquito net])</f>
        <v>#REF!</v>
      </c>
      <c r="AF312" s="532" t="e">
        <f>IF(NFI_Expiration=1,IF(#REF!&lt;VLOOKUP(O$5,NFI,5,0),1,0)*Table_NFI[[#This Row],[Tarpaulin]],Table_NFI[[#This Row],[Tarpaulin]])</f>
        <v>#REF!</v>
      </c>
      <c r="AG312" s="532" t="e">
        <f>IF(NFI_Expiration=1,IF(#REF!&lt;VLOOKUP(P$5,NFI,5,0),1,0)*Table_NFI[[#This Row],[Blanket]],Table_NFI[[#This Row],[Blanket]])</f>
        <v>#REF!</v>
      </c>
      <c r="AH312" s="532" t="e">
        <f>IF(NFI_Expiration=1,IF(#REF!&lt;VLOOKUP(Q$5,NFI,5,0),1,0)*Table_NFI[[#This Row],[Kitchen Set]],Table_NFI[Kitchen Set])</f>
        <v>#REF!</v>
      </c>
      <c r="AI312" s="532" t="e">
        <f>IF(NFI_Expiration=1,IF(#REF!&lt;VLOOKUP(R$5,NFI,5,0),1,0)*Table_NFI[[#This Row],[Clothes Kit]],Table_NFI[Clothes Kit])</f>
        <v>#REF!</v>
      </c>
      <c r="AJ312" s="532" t="e">
        <f>IF(NFI_Expiration=1,IF(#REF!&lt;VLOOKUP(S$5,NFI,5,0),1,0)*Table_NFI[[#This Row],[Plastic Bucket]],Table_NFI[Plastic Bucket])</f>
        <v>#REF!</v>
      </c>
      <c r="AK312" s="532" t="e">
        <f>IF(NFI_Expiration=1,IF(#REF!&lt;VLOOKUP(T$5,NFI,5,0),1,0)*Table_NFI[[#This Row],[Plastic Mat]],Table_NFI[Plastic Mat])*IF(Table_NFI[[#This Row],[Distribution Date]]&gt;"2014-04-01",1,2.5)</f>
        <v>#REF!</v>
      </c>
      <c r="AL312" s="532" t="e">
        <f>IF(NFI_Expiration=1,IF(#REF!&lt;VLOOKUP(U$5,NFI,5,0),1,0)*Table_NFI[[#This Row],[Winter Clothes Adult]],Table_NFI[Winter Clothes Adult])</f>
        <v>#REF!</v>
      </c>
      <c r="AM312" s="532"/>
      <c r="AN312" s="532"/>
      <c r="AO312" s="532"/>
      <c r="AP312" s="532">
        <f>IF(Table_NFI[[#This Row],[Winter Clothes Adult]]+Table_NFI[[#This Row],[Winter Clothes Children]]+Table_NFI[[#This Row],[Winter Items Other]]+Table_NFI[[#This Row],[Winter Blanket]]&gt;0,1,0)</f>
        <v>0</v>
      </c>
      <c r="AQ312" s="532"/>
      <c r="AR312" s="532"/>
      <c r="AS312" s="532"/>
      <c r="AT312" s="532"/>
      <c r="AU312" s="532"/>
      <c r="AV312" s="532"/>
      <c r="AW312" s="532"/>
      <c r="AX312" s="203" t="str">
        <f>IFERROR(VLOOKUP(Table_NFI[[#This Row],[Location]],CL,2,0),"")</f>
        <v>MMR001CMP234</v>
      </c>
      <c r="AZ312" s="524"/>
      <c r="DS312" s="181"/>
      <c r="DT312" s="181"/>
    </row>
    <row r="313" spans="2:124" hidden="1" x14ac:dyDescent="0.3">
      <c r="B313" s="530">
        <v>43266</v>
      </c>
      <c r="C313" s="530" t="str">
        <f>MONTH(Table_NFI[[#This Row],[Distribution Date]]) &amp; "/" &amp; YEAR(Table_NFI[[#This Row],[Distribution Date]])</f>
        <v>6/2018</v>
      </c>
      <c r="D313" s="196" t="s">
        <v>420</v>
      </c>
      <c r="E313" s="196" t="s">
        <v>424</v>
      </c>
      <c r="F313" s="196" t="s">
        <v>378</v>
      </c>
      <c r="G313" s="195" t="s">
        <v>480</v>
      </c>
      <c r="H313" s="196" t="s">
        <v>140</v>
      </c>
      <c r="I313" s="181"/>
      <c r="J313" s="531"/>
      <c r="K313" s="531"/>
      <c r="L313" s="531"/>
      <c r="M313" s="531"/>
      <c r="N313" s="531"/>
      <c r="O313" s="531"/>
      <c r="P313" s="531"/>
      <c r="Q313" s="531"/>
      <c r="R313" s="531"/>
      <c r="S313" s="531"/>
      <c r="T313" s="531"/>
      <c r="U313" s="531"/>
      <c r="V313" s="531"/>
      <c r="W313" s="531"/>
      <c r="X313" s="531"/>
      <c r="Y313" s="531"/>
      <c r="Z313" s="531">
        <v>4</v>
      </c>
      <c r="AA313" s="531"/>
      <c r="AB313" s="531"/>
      <c r="AC313" s="532" t="e">
        <f>IF(NFI_Expiration=1,IF(#REF!&lt;VLOOKUP(L$5,NFI,5,0),1,0)*Table_NFI[[#This Row],[NFI Core Kit]],Table_NFI[NFI Core Kit])</f>
        <v>#REF!</v>
      </c>
      <c r="AD313" s="532" t="e">
        <f>IF(NFI_Expiration=1,IF(#REF!&lt;VLOOKUP(M$5,NFI,5,0),1,0)*Table_NFI[[#This Row],[Sanitary Kit]],Table_NFI[Sanitary Kit])</f>
        <v>#REF!</v>
      </c>
      <c r="AE313" s="532" t="e">
        <f>IF(NFI_Expiration=1,IF(#REF!&lt;VLOOKUP(N$5,NFI,5,0),1,0)*Table_NFI[[#This Row],[Mosquito net]],Table_NFI[Mosquito net])</f>
        <v>#REF!</v>
      </c>
      <c r="AF313" s="532" t="e">
        <f>IF(NFI_Expiration=1,IF(#REF!&lt;VLOOKUP(O$5,NFI,5,0),1,0)*Table_NFI[[#This Row],[Tarpaulin]],Table_NFI[[#This Row],[Tarpaulin]])</f>
        <v>#REF!</v>
      </c>
      <c r="AG313" s="532" t="e">
        <f>IF(NFI_Expiration=1,IF(#REF!&lt;VLOOKUP(P$5,NFI,5,0),1,0)*Table_NFI[[#This Row],[Blanket]],Table_NFI[[#This Row],[Blanket]])</f>
        <v>#REF!</v>
      </c>
      <c r="AH313" s="532" t="e">
        <f>IF(NFI_Expiration=1,IF(#REF!&lt;VLOOKUP(Q$5,NFI,5,0),1,0)*Table_NFI[[#This Row],[Kitchen Set]],Table_NFI[Kitchen Set])</f>
        <v>#REF!</v>
      </c>
      <c r="AI313" s="532" t="e">
        <f>IF(NFI_Expiration=1,IF(#REF!&lt;VLOOKUP(R$5,NFI,5,0),1,0)*Table_NFI[[#This Row],[Clothes Kit]],Table_NFI[Clothes Kit])</f>
        <v>#REF!</v>
      </c>
      <c r="AJ313" s="532" t="e">
        <f>IF(NFI_Expiration=1,IF(#REF!&lt;VLOOKUP(S$5,NFI,5,0),1,0)*Table_NFI[[#This Row],[Plastic Bucket]],Table_NFI[Plastic Bucket])</f>
        <v>#REF!</v>
      </c>
      <c r="AK313" s="532" t="e">
        <f>IF(NFI_Expiration=1,IF(#REF!&lt;VLOOKUP(T$5,NFI,5,0),1,0)*Table_NFI[[#This Row],[Plastic Mat]],Table_NFI[Plastic Mat])*IF(Table_NFI[[#This Row],[Distribution Date]]&gt;"2014-04-01",1,2.5)</f>
        <v>#REF!</v>
      </c>
      <c r="AL313" s="532" t="e">
        <f>IF(NFI_Expiration=1,IF(#REF!&lt;VLOOKUP(U$5,NFI,5,0),1,0)*Table_NFI[[#This Row],[Winter Clothes Adult]],Table_NFI[Winter Clothes Adult])</f>
        <v>#REF!</v>
      </c>
      <c r="AM313" s="532"/>
      <c r="AN313" s="532"/>
      <c r="AO313" s="532"/>
      <c r="AP313" s="532">
        <f>IF(Table_NFI[[#This Row],[Winter Clothes Adult]]+Table_NFI[[#This Row],[Winter Clothes Children]]+Table_NFI[[#This Row],[Winter Items Other]]+Table_NFI[[#This Row],[Winter Blanket]]&gt;0,1,0)</f>
        <v>0</v>
      </c>
      <c r="AQ313" s="532"/>
      <c r="AR313" s="532"/>
      <c r="AS313" s="532"/>
      <c r="AT313" s="532"/>
      <c r="AU313" s="532"/>
      <c r="AV313" s="532"/>
      <c r="AW313" s="532"/>
      <c r="AX313" s="203" t="str">
        <f>IFERROR(VLOOKUP(Table_NFI[[#This Row],[Location]],CL,2,0),"")</f>
        <v>MMR001CMP105</v>
      </c>
      <c r="AZ313" s="524"/>
      <c r="DS313" s="181"/>
      <c r="DT313" s="181"/>
    </row>
    <row r="314" spans="2:124" hidden="1" x14ac:dyDescent="0.3">
      <c r="B314" s="530">
        <v>43266</v>
      </c>
      <c r="C314" s="530" t="str">
        <f>MONTH(Table_NFI[[#This Row],[Distribution Date]]) &amp; "/" &amp; YEAR(Table_NFI[[#This Row],[Distribution Date]])</f>
        <v>6/2018</v>
      </c>
      <c r="D314" s="196" t="s">
        <v>420</v>
      </c>
      <c r="E314" s="196" t="s">
        <v>424</v>
      </c>
      <c r="F314" s="196" t="s">
        <v>378</v>
      </c>
      <c r="G314" s="195" t="s">
        <v>480</v>
      </c>
      <c r="H314" s="196" t="s">
        <v>1274</v>
      </c>
      <c r="I314" s="181"/>
      <c r="J314" s="531"/>
      <c r="K314" s="531"/>
      <c r="L314" s="531"/>
      <c r="M314" s="531"/>
      <c r="N314" s="531"/>
      <c r="O314" s="531"/>
      <c r="P314" s="531"/>
      <c r="Q314" s="531"/>
      <c r="R314" s="531"/>
      <c r="S314" s="531"/>
      <c r="T314" s="531"/>
      <c r="U314" s="531"/>
      <c r="V314" s="531"/>
      <c r="W314" s="531"/>
      <c r="X314" s="531"/>
      <c r="Y314" s="531"/>
      <c r="Z314" s="531">
        <v>70</v>
      </c>
      <c r="AA314" s="531"/>
      <c r="AB314" s="531"/>
      <c r="AC314" s="532" t="e">
        <f>IF(NFI_Expiration=1,IF(#REF!&lt;VLOOKUP(L$5,NFI,5,0),1,0)*Table_NFI[[#This Row],[NFI Core Kit]],Table_NFI[NFI Core Kit])</f>
        <v>#REF!</v>
      </c>
      <c r="AD314" s="532" t="e">
        <f>IF(NFI_Expiration=1,IF(#REF!&lt;VLOOKUP(M$5,NFI,5,0),1,0)*Table_NFI[[#This Row],[Sanitary Kit]],Table_NFI[Sanitary Kit])</f>
        <v>#REF!</v>
      </c>
      <c r="AE314" s="532" t="e">
        <f>IF(NFI_Expiration=1,IF(#REF!&lt;VLOOKUP(N$5,NFI,5,0),1,0)*Table_NFI[[#This Row],[Mosquito net]],Table_NFI[Mosquito net])</f>
        <v>#REF!</v>
      </c>
      <c r="AF314" s="532" t="e">
        <f>IF(NFI_Expiration=1,IF(#REF!&lt;VLOOKUP(O$5,NFI,5,0),1,0)*Table_NFI[[#This Row],[Tarpaulin]],Table_NFI[[#This Row],[Tarpaulin]])</f>
        <v>#REF!</v>
      </c>
      <c r="AG314" s="532" t="e">
        <f>IF(NFI_Expiration=1,IF(#REF!&lt;VLOOKUP(P$5,NFI,5,0),1,0)*Table_NFI[[#This Row],[Blanket]],Table_NFI[[#This Row],[Blanket]])</f>
        <v>#REF!</v>
      </c>
      <c r="AH314" s="532" t="e">
        <f>IF(NFI_Expiration=1,IF(#REF!&lt;VLOOKUP(Q$5,NFI,5,0),1,0)*Table_NFI[[#This Row],[Kitchen Set]],Table_NFI[Kitchen Set])</f>
        <v>#REF!</v>
      </c>
      <c r="AI314" s="532" t="e">
        <f>IF(NFI_Expiration=1,IF(#REF!&lt;VLOOKUP(R$5,NFI,5,0),1,0)*Table_NFI[[#This Row],[Clothes Kit]],Table_NFI[Clothes Kit])</f>
        <v>#REF!</v>
      </c>
      <c r="AJ314" s="532" t="e">
        <f>IF(NFI_Expiration=1,IF(#REF!&lt;VLOOKUP(S$5,NFI,5,0),1,0)*Table_NFI[[#This Row],[Plastic Bucket]],Table_NFI[Plastic Bucket])</f>
        <v>#REF!</v>
      </c>
      <c r="AK314" s="532" t="e">
        <f>IF(NFI_Expiration=1,IF(#REF!&lt;VLOOKUP(T$5,NFI,5,0),1,0)*Table_NFI[[#This Row],[Plastic Mat]],Table_NFI[Plastic Mat])*IF(Table_NFI[[#This Row],[Distribution Date]]&gt;"2014-04-01",1,2.5)</f>
        <v>#REF!</v>
      </c>
      <c r="AL314" s="532" t="e">
        <f>IF(NFI_Expiration=1,IF(#REF!&lt;VLOOKUP(U$5,NFI,5,0),1,0)*Table_NFI[[#This Row],[Winter Clothes Adult]],Table_NFI[Winter Clothes Adult])</f>
        <v>#REF!</v>
      </c>
      <c r="AM314" s="532"/>
      <c r="AN314" s="532"/>
      <c r="AO314" s="532"/>
      <c r="AP314" s="532">
        <f>IF(Table_NFI[[#This Row],[Winter Clothes Adult]]+Table_NFI[[#This Row],[Winter Clothes Children]]+Table_NFI[[#This Row],[Winter Items Other]]+Table_NFI[[#This Row],[Winter Blanket]]&gt;0,1,0)</f>
        <v>0</v>
      </c>
      <c r="AQ314" s="532"/>
      <c r="AR314" s="532"/>
      <c r="AS314" s="532"/>
      <c r="AT314" s="532"/>
      <c r="AU314" s="532"/>
      <c r="AV314" s="532"/>
      <c r="AW314" s="532"/>
      <c r="AX314" s="203" t="str">
        <f>IFERROR(VLOOKUP(Table_NFI[[#This Row],[Location]],CL,2,0),"")</f>
        <v>MMR001CMP250</v>
      </c>
      <c r="AZ314" s="524"/>
      <c r="DS314" s="181"/>
      <c r="DT314" s="181"/>
    </row>
    <row r="315" spans="2:124" hidden="1" x14ac:dyDescent="0.3">
      <c r="B315" s="530">
        <v>43266</v>
      </c>
      <c r="C315" s="530" t="str">
        <f>MONTH(Table_NFI[[#This Row],[Distribution Date]]) &amp; "/" &amp; YEAR(Table_NFI[[#This Row],[Distribution Date]])</f>
        <v>6/2018</v>
      </c>
      <c r="D315" s="196" t="s">
        <v>420</v>
      </c>
      <c r="E315" s="196" t="s">
        <v>424</v>
      </c>
      <c r="F315" s="196" t="s">
        <v>378</v>
      </c>
      <c r="G315" s="195" t="s">
        <v>480</v>
      </c>
      <c r="H315" s="196" t="s">
        <v>52</v>
      </c>
      <c r="I315" s="181"/>
      <c r="J315" s="531"/>
      <c r="K315" s="531"/>
      <c r="L315" s="531"/>
      <c r="M315" s="531"/>
      <c r="N315" s="531"/>
      <c r="O315" s="531"/>
      <c r="P315" s="531"/>
      <c r="Q315" s="531"/>
      <c r="R315" s="531"/>
      <c r="S315" s="531"/>
      <c r="T315" s="531"/>
      <c r="U315" s="531"/>
      <c r="V315" s="531"/>
      <c r="W315" s="531"/>
      <c r="X315" s="531"/>
      <c r="Y315" s="531"/>
      <c r="Z315" s="531">
        <v>25</v>
      </c>
      <c r="AA315" s="531"/>
      <c r="AB315" s="531"/>
      <c r="AC315" s="532" t="e">
        <f>IF(NFI_Expiration=1,IF(#REF!&lt;VLOOKUP(L$5,NFI,5,0),1,0)*Table_NFI[[#This Row],[NFI Core Kit]],Table_NFI[NFI Core Kit])</f>
        <v>#REF!</v>
      </c>
      <c r="AD315" s="532" t="e">
        <f>IF(NFI_Expiration=1,IF(#REF!&lt;VLOOKUP(M$5,NFI,5,0),1,0)*Table_NFI[[#This Row],[Sanitary Kit]],Table_NFI[Sanitary Kit])</f>
        <v>#REF!</v>
      </c>
      <c r="AE315" s="532" t="e">
        <f>IF(NFI_Expiration=1,IF(#REF!&lt;VLOOKUP(N$5,NFI,5,0),1,0)*Table_NFI[[#This Row],[Mosquito net]],Table_NFI[Mosquito net])</f>
        <v>#REF!</v>
      </c>
      <c r="AF315" s="532" t="e">
        <f>IF(NFI_Expiration=1,IF(#REF!&lt;VLOOKUP(O$5,NFI,5,0),1,0)*Table_NFI[[#This Row],[Tarpaulin]],Table_NFI[[#This Row],[Tarpaulin]])</f>
        <v>#REF!</v>
      </c>
      <c r="AG315" s="532" t="e">
        <f>IF(NFI_Expiration=1,IF(#REF!&lt;VLOOKUP(P$5,NFI,5,0),1,0)*Table_NFI[[#This Row],[Blanket]],Table_NFI[[#This Row],[Blanket]])</f>
        <v>#REF!</v>
      </c>
      <c r="AH315" s="532" t="e">
        <f>IF(NFI_Expiration=1,IF(#REF!&lt;VLOOKUP(Q$5,NFI,5,0),1,0)*Table_NFI[[#This Row],[Kitchen Set]],Table_NFI[Kitchen Set])</f>
        <v>#REF!</v>
      </c>
      <c r="AI315" s="532" t="e">
        <f>IF(NFI_Expiration=1,IF(#REF!&lt;VLOOKUP(R$5,NFI,5,0),1,0)*Table_NFI[[#This Row],[Clothes Kit]],Table_NFI[Clothes Kit])</f>
        <v>#REF!</v>
      </c>
      <c r="AJ315" s="532" t="e">
        <f>IF(NFI_Expiration=1,IF(#REF!&lt;VLOOKUP(S$5,NFI,5,0),1,0)*Table_NFI[[#This Row],[Plastic Bucket]],Table_NFI[Plastic Bucket])</f>
        <v>#REF!</v>
      </c>
      <c r="AK315" s="532" t="e">
        <f>IF(NFI_Expiration=1,IF(#REF!&lt;VLOOKUP(T$5,NFI,5,0),1,0)*Table_NFI[[#This Row],[Plastic Mat]],Table_NFI[Plastic Mat])*IF(Table_NFI[[#This Row],[Distribution Date]]&gt;"2014-04-01",1,2.5)</f>
        <v>#REF!</v>
      </c>
      <c r="AL315" s="532" t="e">
        <f>IF(NFI_Expiration=1,IF(#REF!&lt;VLOOKUP(U$5,NFI,5,0),1,0)*Table_NFI[[#This Row],[Winter Clothes Adult]],Table_NFI[Winter Clothes Adult])</f>
        <v>#REF!</v>
      </c>
      <c r="AM315" s="532"/>
      <c r="AN315" s="532"/>
      <c r="AO315" s="532"/>
      <c r="AP315" s="532">
        <f>IF(Table_NFI[[#This Row],[Winter Clothes Adult]]+Table_NFI[[#This Row],[Winter Clothes Children]]+Table_NFI[[#This Row],[Winter Items Other]]+Table_NFI[[#This Row],[Winter Blanket]]&gt;0,1,0)</f>
        <v>0</v>
      </c>
      <c r="AQ315" s="532"/>
      <c r="AR315" s="532"/>
      <c r="AS315" s="532"/>
      <c r="AT315" s="532"/>
      <c r="AU315" s="532"/>
      <c r="AV315" s="532"/>
      <c r="AW315" s="532"/>
      <c r="AX315" s="203" t="str">
        <f>IFERROR(VLOOKUP(Table_NFI[[#This Row],[Location]],CL,2,0),"")</f>
        <v>MMR001CMP169</v>
      </c>
      <c r="AZ315" s="524"/>
      <c r="DS315" s="181"/>
      <c r="DT315" s="181"/>
    </row>
    <row r="316" spans="2:124" hidden="1" x14ac:dyDescent="0.3">
      <c r="B316" s="530">
        <v>43266</v>
      </c>
      <c r="C316" s="530" t="str">
        <f>MONTH(Table_NFI[[#This Row],[Distribution Date]]) &amp; "/" &amp; YEAR(Table_NFI[[#This Row],[Distribution Date]])</f>
        <v>6/2018</v>
      </c>
      <c r="D316" s="196" t="s">
        <v>420</v>
      </c>
      <c r="E316" s="196" t="s">
        <v>424</v>
      </c>
      <c r="F316" s="196" t="s">
        <v>378</v>
      </c>
      <c r="G316" s="195" t="s">
        <v>480</v>
      </c>
      <c r="H316" s="196" t="s">
        <v>913</v>
      </c>
      <c r="I316" s="181"/>
      <c r="J316" s="531"/>
      <c r="K316" s="531"/>
      <c r="L316" s="531"/>
      <c r="M316" s="531"/>
      <c r="N316" s="531"/>
      <c r="O316" s="531"/>
      <c r="P316" s="531"/>
      <c r="Q316" s="531"/>
      <c r="R316" s="531"/>
      <c r="S316" s="531"/>
      <c r="T316" s="531"/>
      <c r="U316" s="531"/>
      <c r="V316" s="531"/>
      <c r="W316" s="531"/>
      <c r="X316" s="531"/>
      <c r="Y316" s="531"/>
      <c r="Z316" s="531">
        <v>42</v>
      </c>
      <c r="AA316" s="531"/>
      <c r="AB316" s="531"/>
      <c r="AC316" s="532" t="e">
        <f>IF(NFI_Expiration=1,IF(#REF!&lt;VLOOKUP(L$5,NFI,5,0),1,0)*Table_NFI[[#This Row],[NFI Core Kit]],Table_NFI[NFI Core Kit])</f>
        <v>#REF!</v>
      </c>
      <c r="AD316" s="532" t="e">
        <f>IF(NFI_Expiration=1,IF(#REF!&lt;VLOOKUP(M$5,NFI,5,0),1,0)*Table_NFI[[#This Row],[Sanitary Kit]],Table_NFI[Sanitary Kit])</f>
        <v>#REF!</v>
      </c>
      <c r="AE316" s="532" t="e">
        <f>IF(NFI_Expiration=1,IF(#REF!&lt;VLOOKUP(N$5,NFI,5,0),1,0)*Table_NFI[[#This Row],[Mosquito net]],Table_NFI[Mosquito net])</f>
        <v>#REF!</v>
      </c>
      <c r="AF316" s="532" t="e">
        <f>IF(NFI_Expiration=1,IF(#REF!&lt;VLOOKUP(O$5,NFI,5,0),1,0)*Table_NFI[[#This Row],[Tarpaulin]],Table_NFI[[#This Row],[Tarpaulin]])</f>
        <v>#REF!</v>
      </c>
      <c r="AG316" s="532" t="e">
        <f>IF(NFI_Expiration=1,IF(#REF!&lt;VLOOKUP(P$5,NFI,5,0),1,0)*Table_NFI[[#This Row],[Blanket]],Table_NFI[[#This Row],[Blanket]])</f>
        <v>#REF!</v>
      </c>
      <c r="AH316" s="532" t="e">
        <f>IF(NFI_Expiration=1,IF(#REF!&lt;VLOOKUP(Q$5,NFI,5,0),1,0)*Table_NFI[[#This Row],[Kitchen Set]],Table_NFI[Kitchen Set])</f>
        <v>#REF!</v>
      </c>
      <c r="AI316" s="532" t="e">
        <f>IF(NFI_Expiration=1,IF(#REF!&lt;VLOOKUP(R$5,NFI,5,0),1,0)*Table_NFI[[#This Row],[Clothes Kit]],Table_NFI[Clothes Kit])</f>
        <v>#REF!</v>
      </c>
      <c r="AJ316" s="532" t="e">
        <f>IF(NFI_Expiration=1,IF(#REF!&lt;VLOOKUP(S$5,NFI,5,0),1,0)*Table_NFI[[#This Row],[Plastic Bucket]],Table_NFI[Plastic Bucket])</f>
        <v>#REF!</v>
      </c>
      <c r="AK316" s="532" t="e">
        <f>IF(NFI_Expiration=1,IF(#REF!&lt;VLOOKUP(T$5,NFI,5,0),1,0)*Table_NFI[[#This Row],[Plastic Mat]],Table_NFI[Plastic Mat])*IF(Table_NFI[[#This Row],[Distribution Date]]&gt;"2014-04-01",1,2.5)</f>
        <v>#REF!</v>
      </c>
      <c r="AL316" s="532" t="e">
        <f>IF(NFI_Expiration=1,IF(#REF!&lt;VLOOKUP(U$5,NFI,5,0),1,0)*Table_NFI[[#This Row],[Winter Clothes Adult]],Table_NFI[Winter Clothes Adult])</f>
        <v>#REF!</v>
      </c>
      <c r="AM316" s="532"/>
      <c r="AN316" s="532"/>
      <c r="AO316" s="532"/>
      <c r="AP316" s="532">
        <f>IF(Table_NFI[[#This Row],[Winter Clothes Adult]]+Table_NFI[[#This Row],[Winter Clothes Children]]+Table_NFI[[#This Row],[Winter Items Other]]+Table_NFI[[#This Row],[Winter Blanket]]&gt;0,1,0)</f>
        <v>0</v>
      </c>
      <c r="AQ316" s="532"/>
      <c r="AR316" s="532"/>
      <c r="AS316" s="532"/>
      <c r="AT316" s="532"/>
      <c r="AU316" s="532"/>
      <c r="AV316" s="532"/>
      <c r="AW316" s="532"/>
      <c r="AX316" s="203" t="str">
        <f>IFERROR(VLOOKUP(Table_NFI[[#This Row],[Location]],CL,2,0),"")</f>
        <v>MMR001CMP229</v>
      </c>
      <c r="AZ316" s="524"/>
      <c r="DS316" s="181"/>
      <c r="DT316" s="181"/>
    </row>
    <row r="317" spans="2:124" hidden="1" x14ac:dyDescent="0.3">
      <c r="B317" s="530">
        <v>43266</v>
      </c>
      <c r="C317" s="530" t="str">
        <f>MONTH(Table_NFI[[#This Row],[Distribution Date]]) &amp; "/" &amp; YEAR(Table_NFI[[#This Row],[Distribution Date]])</f>
        <v>6/2018</v>
      </c>
      <c r="D317" s="196" t="s">
        <v>420</v>
      </c>
      <c r="E317" s="196" t="s">
        <v>424</v>
      </c>
      <c r="F317" s="196" t="s">
        <v>378</v>
      </c>
      <c r="G317" s="195" t="s">
        <v>480</v>
      </c>
      <c r="H317" s="196" t="s">
        <v>126</v>
      </c>
      <c r="I317" s="181"/>
      <c r="J317" s="531"/>
      <c r="K317" s="531"/>
      <c r="L317" s="531"/>
      <c r="M317" s="531"/>
      <c r="N317" s="531"/>
      <c r="O317" s="531"/>
      <c r="P317" s="531"/>
      <c r="Q317" s="531"/>
      <c r="R317" s="531"/>
      <c r="S317" s="531"/>
      <c r="T317" s="531"/>
      <c r="U317" s="531"/>
      <c r="V317" s="531"/>
      <c r="W317" s="531"/>
      <c r="X317" s="531"/>
      <c r="Y317" s="531"/>
      <c r="Z317" s="531">
        <v>16</v>
      </c>
      <c r="AA317" s="531"/>
      <c r="AB317" s="531"/>
      <c r="AC317" s="532" t="e">
        <f>IF(NFI_Expiration=1,IF(#REF!&lt;VLOOKUP(L$5,NFI,5,0),1,0)*Table_NFI[[#This Row],[NFI Core Kit]],Table_NFI[NFI Core Kit])</f>
        <v>#REF!</v>
      </c>
      <c r="AD317" s="532" t="e">
        <f>IF(NFI_Expiration=1,IF(#REF!&lt;VLOOKUP(M$5,NFI,5,0),1,0)*Table_NFI[[#This Row],[Sanitary Kit]],Table_NFI[Sanitary Kit])</f>
        <v>#REF!</v>
      </c>
      <c r="AE317" s="532" t="e">
        <f>IF(NFI_Expiration=1,IF(#REF!&lt;VLOOKUP(N$5,NFI,5,0),1,0)*Table_NFI[[#This Row],[Mosquito net]],Table_NFI[Mosquito net])</f>
        <v>#REF!</v>
      </c>
      <c r="AF317" s="532" t="e">
        <f>IF(NFI_Expiration=1,IF(#REF!&lt;VLOOKUP(O$5,NFI,5,0),1,0)*Table_NFI[[#This Row],[Tarpaulin]],Table_NFI[[#This Row],[Tarpaulin]])</f>
        <v>#REF!</v>
      </c>
      <c r="AG317" s="532" t="e">
        <f>IF(NFI_Expiration=1,IF(#REF!&lt;VLOOKUP(P$5,NFI,5,0),1,0)*Table_NFI[[#This Row],[Blanket]],Table_NFI[[#This Row],[Blanket]])</f>
        <v>#REF!</v>
      </c>
      <c r="AH317" s="532" t="e">
        <f>IF(NFI_Expiration=1,IF(#REF!&lt;VLOOKUP(Q$5,NFI,5,0),1,0)*Table_NFI[[#This Row],[Kitchen Set]],Table_NFI[Kitchen Set])</f>
        <v>#REF!</v>
      </c>
      <c r="AI317" s="532" t="e">
        <f>IF(NFI_Expiration=1,IF(#REF!&lt;VLOOKUP(R$5,NFI,5,0),1,0)*Table_NFI[[#This Row],[Clothes Kit]],Table_NFI[Clothes Kit])</f>
        <v>#REF!</v>
      </c>
      <c r="AJ317" s="532" t="e">
        <f>IF(NFI_Expiration=1,IF(#REF!&lt;VLOOKUP(S$5,NFI,5,0),1,0)*Table_NFI[[#This Row],[Plastic Bucket]],Table_NFI[Plastic Bucket])</f>
        <v>#REF!</v>
      </c>
      <c r="AK317" s="532" t="e">
        <f>IF(NFI_Expiration=1,IF(#REF!&lt;VLOOKUP(T$5,NFI,5,0),1,0)*Table_NFI[[#This Row],[Plastic Mat]],Table_NFI[Plastic Mat])*IF(Table_NFI[[#This Row],[Distribution Date]]&gt;"2014-04-01",1,2.5)</f>
        <v>#REF!</v>
      </c>
      <c r="AL317" s="532" t="e">
        <f>IF(NFI_Expiration=1,IF(#REF!&lt;VLOOKUP(U$5,NFI,5,0),1,0)*Table_NFI[[#This Row],[Winter Clothes Adult]],Table_NFI[Winter Clothes Adult])</f>
        <v>#REF!</v>
      </c>
      <c r="AM317" s="532"/>
      <c r="AN317" s="532"/>
      <c r="AO317" s="532"/>
      <c r="AP317" s="532">
        <f>IF(Table_NFI[[#This Row],[Winter Clothes Adult]]+Table_NFI[[#This Row],[Winter Clothes Children]]+Table_NFI[[#This Row],[Winter Items Other]]+Table_NFI[[#This Row],[Winter Blanket]]&gt;0,1,0)</f>
        <v>0</v>
      </c>
      <c r="AQ317" s="532"/>
      <c r="AR317" s="532"/>
      <c r="AS317" s="532"/>
      <c r="AT317" s="532"/>
      <c r="AU317" s="532"/>
      <c r="AV317" s="532"/>
      <c r="AW317" s="532"/>
      <c r="AX317" s="203" t="str">
        <f>IFERROR(VLOOKUP(Table_NFI[[#This Row],[Location]],CL,2,0),"")</f>
        <v>MMR001CMP184</v>
      </c>
      <c r="AZ317" s="524"/>
      <c r="DS317" s="181"/>
      <c r="DT317" s="181"/>
    </row>
    <row r="318" spans="2:124" hidden="1" x14ac:dyDescent="0.3">
      <c r="B318" s="530">
        <v>43266</v>
      </c>
      <c r="C318" s="530" t="str">
        <f>MONTH(Table_NFI[[#This Row],[Distribution Date]]) &amp; "/" &amp; YEAR(Table_NFI[[#This Row],[Distribution Date]])</f>
        <v>6/2018</v>
      </c>
      <c r="D318" s="196" t="s">
        <v>420</v>
      </c>
      <c r="E318" s="196" t="s">
        <v>424</v>
      </c>
      <c r="F318" s="196" t="s">
        <v>378</v>
      </c>
      <c r="G318" s="195" t="s">
        <v>309</v>
      </c>
      <c r="H318" s="196" t="s">
        <v>345</v>
      </c>
      <c r="I318" s="181"/>
      <c r="J318" s="531"/>
      <c r="K318" s="531"/>
      <c r="L318" s="531"/>
      <c r="M318" s="531"/>
      <c r="N318" s="531"/>
      <c r="O318" s="531"/>
      <c r="P318" s="531"/>
      <c r="Q318" s="531"/>
      <c r="R318" s="531"/>
      <c r="S318" s="531"/>
      <c r="T318" s="531"/>
      <c r="U318" s="531"/>
      <c r="V318" s="531"/>
      <c r="W318" s="531"/>
      <c r="X318" s="531"/>
      <c r="Y318" s="531"/>
      <c r="Z318" s="531">
        <v>179</v>
      </c>
      <c r="AA318" s="531"/>
      <c r="AB318" s="531"/>
      <c r="AC318" s="532" t="e">
        <f>IF(NFI_Expiration=1,IF(#REF!&lt;VLOOKUP(L$5,NFI,5,0),1,0)*Table_NFI[[#This Row],[NFI Core Kit]],Table_NFI[NFI Core Kit])</f>
        <v>#REF!</v>
      </c>
      <c r="AD318" s="532" t="e">
        <f>IF(NFI_Expiration=1,IF(#REF!&lt;VLOOKUP(M$5,NFI,5,0),1,0)*Table_NFI[[#This Row],[Sanitary Kit]],Table_NFI[Sanitary Kit])</f>
        <v>#REF!</v>
      </c>
      <c r="AE318" s="532" t="e">
        <f>IF(NFI_Expiration=1,IF(#REF!&lt;VLOOKUP(N$5,NFI,5,0),1,0)*Table_NFI[[#This Row],[Mosquito net]],Table_NFI[Mosquito net])</f>
        <v>#REF!</v>
      </c>
      <c r="AF318" s="532" t="e">
        <f>IF(NFI_Expiration=1,IF(#REF!&lt;VLOOKUP(O$5,NFI,5,0),1,0)*Table_NFI[[#This Row],[Tarpaulin]],Table_NFI[[#This Row],[Tarpaulin]])</f>
        <v>#REF!</v>
      </c>
      <c r="AG318" s="532" t="e">
        <f>IF(NFI_Expiration=1,IF(#REF!&lt;VLOOKUP(P$5,NFI,5,0),1,0)*Table_NFI[[#This Row],[Blanket]],Table_NFI[[#This Row],[Blanket]])</f>
        <v>#REF!</v>
      </c>
      <c r="AH318" s="532" t="e">
        <f>IF(NFI_Expiration=1,IF(#REF!&lt;VLOOKUP(Q$5,NFI,5,0),1,0)*Table_NFI[[#This Row],[Kitchen Set]],Table_NFI[Kitchen Set])</f>
        <v>#REF!</v>
      </c>
      <c r="AI318" s="532" t="e">
        <f>IF(NFI_Expiration=1,IF(#REF!&lt;VLOOKUP(R$5,NFI,5,0),1,0)*Table_NFI[[#This Row],[Clothes Kit]],Table_NFI[Clothes Kit])</f>
        <v>#REF!</v>
      </c>
      <c r="AJ318" s="532" t="e">
        <f>IF(NFI_Expiration=1,IF(#REF!&lt;VLOOKUP(S$5,NFI,5,0),1,0)*Table_NFI[[#This Row],[Plastic Bucket]],Table_NFI[Plastic Bucket])</f>
        <v>#REF!</v>
      </c>
      <c r="AK318" s="532" t="e">
        <f>IF(NFI_Expiration=1,IF(#REF!&lt;VLOOKUP(T$5,NFI,5,0),1,0)*Table_NFI[[#This Row],[Plastic Mat]],Table_NFI[Plastic Mat])*IF(Table_NFI[[#This Row],[Distribution Date]]&gt;"2014-04-01",1,2.5)</f>
        <v>#REF!</v>
      </c>
      <c r="AL318" s="532" t="e">
        <f>IF(NFI_Expiration=1,IF(#REF!&lt;VLOOKUP(U$5,NFI,5,0),1,0)*Table_NFI[[#This Row],[Winter Clothes Adult]],Table_NFI[Winter Clothes Adult])</f>
        <v>#REF!</v>
      </c>
      <c r="AM318" s="532"/>
      <c r="AN318" s="532"/>
      <c r="AO318" s="532"/>
      <c r="AP318" s="532">
        <f>IF(Table_NFI[[#This Row],[Winter Clothes Adult]]+Table_NFI[[#This Row],[Winter Clothes Children]]+Table_NFI[[#This Row],[Winter Items Other]]+Table_NFI[[#This Row],[Winter Blanket]]&gt;0,1,0)</f>
        <v>0</v>
      </c>
      <c r="AQ318" s="532"/>
      <c r="AR318" s="532"/>
      <c r="AS318" s="532"/>
      <c r="AT318" s="532"/>
      <c r="AU318" s="532"/>
      <c r="AV318" s="532"/>
      <c r="AW318" s="532"/>
      <c r="AX318" s="203" t="str">
        <f>IFERROR(VLOOKUP(Table_NFI[[#This Row],[Location]],CL,2,0),"")</f>
        <v>MMR001CMP041</v>
      </c>
      <c r="AZ318" s="524"/>
      <c r="DS318" s="181"/>
      <c r="DT318" s="181"/>
    </row>
    <row r="319" spans="2:124" hidden="1" x14ac:dyDescent="0.3">
      <c r="B319" s="530">
        <v>43266</v>
      </c>
      <c r="C319" s="530" t="str">
        <f>MONTH(Table_NFI[[#This Row],[Distribution Date]]) &amp; "/" &amp; YEAR(Table_NFI[[#This Row],[Distribution Date]])</f>
        <v>6/2018</v>
      </c>
      <c r="D319" s="196" t="s">
        <v>420</v>
      </c>
      <c r="E319" s="196" t="s">
        <v>424</v>
      </c>
      <c r="F319" s="196" t="s">
        <v>378</v>
      </c>
      <c r="G319" s="195" t="s">
        <v>746</v>
      </c>
      <c r="H319" s="196" t="s">
        <v>1066</v>
      </c>
      <c r="I319" s="181"/>
      <c r="J319" s="531"/>
      <c r="K319" s="531"/>
      <c r="L319" s="531"/>
      <c r="M319" s="531"/>
      <c r="N319" s="531"/>
      <c r="O319" s="531"/>
      <c r="P319" s="531"/>
      <c r="Q319" s="531"/>
      <c r="R319" s="531"/>
      <c r="S319" s="531"/>
      <c r="T319" s="531"/>
      <c r="U319" s="531"/>
      <c r="V319" s="531"/>
      <c r="W319" s="531"/>
      <c r="X319" s="531"/>
      <c r="Y319" s="531"/>
      <c r="Z319" s="531">
        <v>67</v>
      </c>
      <c r="AA319" s="531"/>
      <c r="AB319" s="531"/>
      <c r="AC319" s="532" t="e">
        <f>IF(NFI_Expiration=1,IF(#REF!&lt;VLOOKUP(L$5,NFI,5,0),1,0)*Table_NFI[[#This Row],[NFI Core Kit]],Table_NFI[NFI Core Kit])</f>
        <v>#REF!</v>
      </c>
      <c r="AD319" s="532" t="e">
        <f>IF(NFI_Expiration=1,IF(#REF!&lt;VLOOKUP(M$5,NFI,5,0),1,0)*Table_NFI[[#This Row],[Sanitary Kit]],Table_NFI[Sanitary Kit])</f>
        <v>#REF!</v>
      </c>
      <c r="AE319" s="532" t="e">
        <f>IF(NFI_Expiration=1,IF(#REF!&lt;VLOOKUP(N$5,NFI,5,0),1,0)*Table_NFI[[#This Row],[Mosquito net]],Table_NFI[Mosquito net])</f>
        <v>#REF!</v>
      </c>
      <c r="AF319" s="532" t="e">
        <f>IF(NFI_Expiration=1,IF(#REF!&lt;VLOOKUP(O$5,NFI,5,0),1,0)*Table_NFI[[#This Row],[Tarpaulin]],Table_NFI[[#This Row],[Tarpaulin]])</f>
        <v>#REF!</v>
      </c>
      <c r="AG319" s="532" t="e">
        <f>IF(NFI_Expiration=1,IF(#REF!&lt;VLOOKUP(P$5,NFI,5,0),1,0)*Table_NFI[[#This Row],[Blanket]],Table_NFI[[#This Row],[Blanket]])</f>
        <v>#REF!</v>
      </c>
      <c r="AH319" s="532" t="e">
        <f>IF(NFI_Expiration=1,IF(#REF!&lt;VLOOKUP(Q$5,NFI,5,0),1,0)*Table_NFI[[#This Row],[Kitchen Set]],Table_NFI[Kitchen Set])</f>
        <v>#REF!</v>
      </c>
      <c r="AI319" s="532" t="e">
        <f>IF(NFI_Expiration=1,IF(#REF!&lt;VLOOKUP(R$5,NFI,5,0),1,0)*Table_NFI[[#This Row],[Clothes Kit]],Table_NFI[Clothes Kit])</f>
        <v>#REF!</v>
      </c>
      <c r="AJ319" s="532" t="e">
        <f>IF(NFI_Expiration=1,IF(#REF!&lt;VLOOKUP(S$5,NFI,5,0),1,0)*Table_NFI[[#This Row],[Plastic Bucket]],Table_NFI[Plastic Bucket])</f>
        <v>#REF!</v>
      </c>
      <c r="AK319" s="532" t="e">
        <f>IF(NFI_Expiration=1,IF(#REF!&lt;VLOOKUP(T$5,NFI,5,0),1,0)*Table_NFI[[#This Row],[Plastic Mat]],Table_NFI[Plastic Mat])*IF(Table_NFI[[#This Row],[Distribution Date]]&gt;"2014-04-01",1,2.5)</f>
        <v>#REF!</v>
      </c>
      <c r="AL319" s="532" t="e">
        <f>IF(NFI_Expiration=1,IF(#REF!&lt;VLOOKUP(U$5,NFI,5,0),1,0)*Table_NFI[[#This Row],[Winter Clothes Adult]],Table_NFI[Winter Clothes Adult])</f>
        <v>#REF!</v>
      </c>
      <c r="AM319" s="532"/>
      <c r="AN319" s="532"/>
      <c r="AO319" s="532"/>
      <c r="AP319" s="532">
        <f>IF(Table_NFI[[#This Row],[Winter Clothes Adult]]+Table_NFI[[#This Row],[Winter Clothes Children]]+Table_NFI[[#This Row],[Winter Items Other]]+Table_NFI[[#This Row],[Winter Blanket]]&gt;0,1,0)</f>
        <v>0</v>
      </c>
      <c r="AQ319" s="532"/>
      <c r="AR319" s="532"/>
      <c r="AS319" s="532"/>
      <c r="AT319" s="532"/>
      <c r="AU319" s="532"/>
      <c r="AV319" s="532"/>
      <c r="AW319" s="532"/>
      <c r="AX319" s="203" t="str">
        <f>IFERROR(VLOOKUP(Table_NFI[[#This Row],[Location]],CL,2,0),"")</f>
        <v>MMR001CMP239</v>
      </c>
      <c r="AZ319" s="524"/>
      <c r="DS319" s="181"/>
      <c r="DT319" s="181"/>
    </row>
    <row r="320" spans="2:124" hidden="1" x14ac:dyDescent="0.3">
      <c r="B320" s="530">
        <v>43266</v>
      </c>
      <c r="C320" s="530" t="str">
        <f>MONTH(Table_NFI[[#This Row],[Distribution Date]]) &amp; "/" &amp; YEAR(Table_NFI[[#This Row],[Distribution Date]])</f>
        <v>6/2018</v>
      </c>
      <c r="D320" s="196" t="s">
        <v>420</v>
      </c>
      <c r="E320" s="196" t="s">
        <v>424</v>
      </c>
      <c r="F320" s="196" t="s">
        <v>378</v>
      </c>
      <c r="G320" s="195" t="s">
        <v>746</v>
      </c>
      <c r="H320" s="196" t="s">
        <v>1064</v>
      </c>
      <c r="I320" s="181"/>
      <c r="J320" s="531"/>
      <c r="K320" s="531"/>
      <c r="L320" s="531"/>
      <c r="M320" s="531"/>
      <c r="N320" s="531"/>
      <c r="O320" s="531"/>
      <c r="P320" s="531"/>
      <c r="Q320" s="531"/>
      <c r="R320" s="531"/>
      <c r="S320" s="531"/>
      <c r="T320" s="531"/>
      <c r="U320" s="531"/>
      <c r="V320" s="531"/>
      <c r="W320" s="531"/>
      <c r="X320" s="531"/>
      <c r="Y320" s="531"/>
      <c r="Z320" s="531">
        <v>123</v>
      </c>
      <c r="AA320" s="531"/>
      <c r="AB320" s="531"/>
      <c r="AC320" s="532" t="e">
        <f>IF(NFI_Expiration=1,IF(#REF!&lt;VLOOKUP(L$5,NFI,5,0),1,0)*Table_NFI[[#This Row],[NFI Core Kit]],Table_NFI[NFI Core Kit])</f>
        <v>#REF!</v>
      </c>
      <c r="AD320" s="532" t="e">
        <f>IF(NFI_Expiration=1,IF(#REF!&lt;VLOOKUP(M$5,NFI,5,0),1,0)*Table_NFI[[#This Row],[Sanitary Kit]],Table_NFI[Sanitary Kit])</f>
        <v>#REF!</v>
      </c>
      <c r="AE320" s="532" t="e">
        <f>IF(NFI_Expiration=1,IF(#REF!&lt;VLOOKUP(N$5,NFI,5,0),1,0)*Table_NFI[[#This Row],[Mosquito net]],Table_NFI[Mosquito net])</f>
        <v>#REF!</v>
      </c>
      <c r="AF320" s="532" t="e">
        <f>IF(NFI_Expiration=1,IF(#REF!&lt;VLOOKUP(O$5,NFI,5,0),1,0)*Table_NFI[[#This Row],[Tarpaulin]],Table_NFI[[#This Row],[Tarpaulin]])</f>
        <v>#REF!</v>
      </c>
      <c r="AG320" s="532" t="e">
        <f>IF(NFI_Expiration=1,IF(#REF!&lt;VLOOKUP(P$5,NFI,5,0),1,0)*Table_NFI[[#This Row],[Blanket]],Table_NFI[[#This Row],[Blanket]])</f>
        <v>#REF!</v>
      </c>
      <c r="AH320" s="532" t="e">
        <f>IF(NFI_Expiration=1,IF(#REF!&lt;VLOOKUP(Q$5,NFI,5,0),1,0)*Table_NFI[[#This Row],[Kitchen Set]],Table_NFI[Kitchen Set])</f>
        <v>#REF!</v>
      </c>
      <c r="AI320" s="532" t="e">
        <f>IF(NFI_Expiration=1,IF(#REF!&lt;VLOOKUP(R$5,NFI,5,0),1,0)*Table_NFI[[#This Row],[Clothes Kit]],Table_NFI[Clothes Kit])</f>
        <v>#REF!</v>
      </c>
      <c r="AJ320" s="532" t="e">
        <f>IF(NFI_Expiration=1,IF(#REF!&lt;VLOOKUP(S$5,NFI,5,0),1,0)*Table_NFI[[#This Row],[Plastic Bucket]],Table_NFI[Plastic Bucket])</f>
        <v>#REF!</v>
      </c>
      <c r="AK320" s="532" t="e">
        <f>IF(NFI_Expiration=1,IF(#REF!&lt;VLOOKUP(T$5,NFI,5,0),1,0)*Table_NFI[[#This Row],[Plastic Mat]],Table_NFI[Plastic Mat])*IF(Table_NFI[[#This Row],[Distribution Date]]&gt;"2014-04-01",1,2.5)</f>
        <v>#REF!</v>
      </c>
      <c r="AL320" s="532" t="e">
        <f>IF(NFI_Expiration=1,IF(#REF!&lt;VLOOKUP(U$5,NFI,5,0),1,0)*Table_NFI[[#This Row],[Winter Clothes Adult]],Table_NFI[Winter Clothes Adult])</f>
        <v>#REF!</v>
      </c>
      <c r="AM320" s="532"/>
      <c r="AN320" s="532"/>
      <c r="AO320" s="532"/>
      <c r="AP320" s="532">
        <f>IF(Table_NFI[[#This Row],[Winter Clothes Adult]]+Table_NFI[[#This Row],[Winter Clothes Children]]+Table_NFI[[#This Row],[Winter Items Other]]+Table_NFI[[#This Row],[Winter Blanket]]&gt;0,1,0)</f>
        <v>0</v>
      </c>
      <c r="AQ320" s="532"/>
      <c r="AR320" s="532"/>
      <c r="AS320" s="532"/>
      <c r="AT320" s="532"/>
      <c r="AU320" s="532"/>
      <c r="AV320" s="532"/>
      <c r="AW320" s="532"/>
      <c r="AX320" s="203" t="str">
        <f>IFERROR(VLOOKUP(Table_NFI[[#This Row],[Location]],CL,2,0),"")</f>
        <v>MMR001CMP238</v>
      </c>
      <c r="AZ320" s="524"/>
      <c r="DS320" s="181"/>
      <c r="DT320" s="181"/>
    </row>
    <row r="321" spans="2:124" hidden="1" x14ac:dyDescent="0.3">
      <c r="B321" s="530">
        <v>43266</v>
      </c>
      <c r="C321" s="530" t="str">
        <f>MONTH(Table_NFI[[#This Row],[Distribution Date]]) &amp; "/" &amp; YEAR(Table_NFI[[#This Row],[Distribution Date]])</f>
        <v>6/2018</v>
      </c>
      <c r="D321" s="196" t="s">
        <v>420</v>
      </c>
      <c r="E321" s="196" t="s">
        <v>424</v>
      </c>
      <c r="F321" s="196" t="s">
        <v>506</v>
      </c>
      <c r="G321" s="195" t="s">
        <v>146</v>
      </c>
      <c r="H321" s="196" t="s">
        <v>1590</v>
      </c>
      <c r="I321" s="181"/>
      <c r="J321" s="531"/>
      <c r="K321" s="531"/>
      <c r="L321" s="531"/>
      <c r="M321" s="531"/>
      <c r="N321" s="531"/>
      <c r="O321" s="531"/>
      <c r="P321" s="531"/>
      <c r="Q321" s="531"/>
      <c r="R321" s="531"/>
      <c r="S321" s="531"/>
      <c r="T321" s="531"/>
      <c r="U321" s="531"/>
      <c r="V321" s="531"/>
      <c r="W321" s="531"/>
      <c r="X321" s="531"/>
      <c r="Y321" s="531"/>
      <c r="Z321" s="531">
        <v>108</v>
      </c>
      <c r="AA321" s="531"/>
      <c r="AB321" s="531"/>
      <c r="AC321" s="532" t="e">
        <f>IF(NFI_Expiration=1,IF(#REF!&lt;VLOOKUP(L$5,NFI,5,0),1,0)*Table_NFI[[#This Row],[NFI Core Kit]],Table_NFI[NFI Core Kit])</f>
        <v>#REF!</v>
      </c>
      <c r="AD321" s="532" t="e">
        <f>IF(NFI_Expiration=1,IF(#REF!&lt;VLOOKUP(M$5,NFI,5,0),1,0)*Table_NFI[[#This Row],[Sanitary Kit]],Table_NFI[Sanitary Kit])</f>
        <v>#REF!</v>
      </c>
      <c r="AE321" s="532" t="e">
        <f>IF(NFI_Expiration=1,IF(#REF!&lt;VLOOKUP(N$5,NFI,5,0),1,0)*Table_NFI[[#This Row],[Mosquito net]],Table_NFI[Mosquito net])</f>
        <v>#REF!</v>
      </c>
      <c r="AF321" s="532" t="e">
        <f>IF(NFI_Expiration=1,IF(#REF!&lt;VLOOKUP(O$5,NFI,5,0),1,0)*Table_NFI[[#This Row],[Tarpaulin]],Table_NFI[[#This Row],[Tarpaulin]])</f>
        <v>#REF!</v>
      </c>
      <c r="AG321" s="532" t="e">
        <f>IF(NFI_Expiration=1,IF(#REF!&lt;VLOOKUP(P$5,NFI,5,0),1,0)*Table_NFI[[#This Row],[Blanket]],Table_NFI[[#This Row],[Blanket]])</f>
        <v>#REF!</v>
      </c>
      <c r="AH321" s="532" t="e">
        <f>IF(NFI_Expiration=1,IF(#REF!&lt;VLOOKUP(Q$5,NFI,5,0),1,0)*Table_NFI[[#This Row],[Kitchen Set]],Table_NFI[Kitchen Set])</f>
        <v>#REF!</v>
      </c>
      <c r="AI321" s="532" t="e">
        <f>IF(NFI_Expiration=1,IF(#REF!&lt;VLOOKUP(R$5,NFI,5,0),1,0)*Table_NFI[[#This Row],[Clothes Kit]],Table_NFI[Clothes Kit])</f>
        <v>#REF!</v>
      </c>
      <c r="AJ321" s="532" t="e">
        <f>IF(NFI_Expiration=1,IF(#REF!&lt;VLOOKUP(S$5,NFI,5,0),1,0)*Table_NFI[[#This Row],[Plastic Bucket]],Table_NFI[Plastic Bucket])</f>
        <v>#REF!</v>
      </c>
      <c r="AK321" s="532" t="e">
        <f>IF(NFI_Expiration=1,IF(#REF!&lt;VLOOKUP(T$5,NFI,5,0),1,0)*Table_NFI[[#This Row],[Plastic Mat]],Table_NFI[Plastic Mat])*IF(Table_NFI[[#This Row],[Distribution Date]]&gt;"2014-04-01",1,2.5)</f>
        <v>#REF!</v>
      </c>
      <c r="AL321" s="532" t="e">
        <f>IF(NFI_Expiration=1,IF(#REF!&lt;VLOOKUP(U$5,NFI,5,0),1,0)*Table_NFI[[#This Row],[Winter Clothes Adult]],Table_NFI[Winter Clothes Adult])</f>
        <v>#REF!</v>
      </c>
      <c r="AM321" s="532"/>
      <c r="AN321" s="532"/>
      <c r="AO321" s="532"/>
      <c r="AP321" s="532">
        <f>IF(Table_NFI[[#This Row],[Winter Clothes Adult]]+Table_NFI[[#This Row],[Winter Clothes Children]]+Table_NFI[[#This Row],[Winter Items Other]]+Table_NFI[[#This Row],[Winter Blanket]]&gt;0,1,0)</f>
        <v>0</v>
      </c>
      <c r="AQ321" s="532"/>
      <c r="AR321" s="532"/>
      <c r="AS321" s="532"/>
      <c r="AT321" s="532"/>
      <c r="AU321" s="532"/>
      <c r="AV321" s="532"/>
      <c r="AW321" s="532"/>
      <c r="AX321" s="203" t="str">
        <f>IFERROR(VLOOKUP(Table_NFI[[#This Row],[Location]],CL,2,0),"")</f>
        <v>MMR015CMP220</v>
      </c>
      <c r="AZ321" s="524"/>
      <c r="DS321" s="181"/>
      <c r="DT321" s="181"/>
    </row>
    <row r="322" spans="2:124" hidden="1" x14ac:dyDescent="0.3">
      <c r="B322" s="530">
        <v>43266</v>
      </c>
      <c r="C322" s="530" t="str">
        <f>MONTH(Table_NFI[[#This Row],[Distribution Date]]) &amp; "/" &amp; YEAR(Table_NFI[[#This Row],[Distribution Date]])</f>
        <v>6/2018</v>
      </c>
      <c r="D322" s="196" t="s">
        <v>420</v>
      </c>
      <c r="E322" s="196" t="s">
        <v>424</v>
      </c>
      <c r="F322" s="196" t="s">
        <v>506</v>
      </c>
      <c r="G322" s="195" t="s">
        <v>146</v>
      </c>
      <c r="H322" s="196" t="s">
        <v>1589</v>
      </c>
      <c r="I322" s="181"/>
      <c r="J322" s="531"/>
      <c r="K322" s="531"/>
      <c r="L322" s="531"/>
      <c r="M322" s="531"/>
      <c r="N322" s="531"/>
      <c r="O322" s="531"/>
      <c r="P322" s="531"/>
      <c r="Q322" s="531"/>
      <c r="R322" s="531"/>
      <c r="S322" s="531"/>
      <c r="T322" s="531"/>
      <c r="U322" s="531"/>
      <c r="V322" s="531"/>
      <c r="W322" s="531"/>
      <c r="X322" s="531"/>
      <c r="Y322" s="531"/>
      <c r="Z322" s="531">
        <v>15</v>
      </c>
      <c r="AA322" s="531"/>
      <c r="AB322" s="531"/>
      <c r="AC322" s="532" t="e">
        <f>IF(NFI_Expiration=1,IF(#REF!&lt;VLOOKUP(L$5,NFI,5,0),1,0)*Table_NFI[[#This Row],[NFI Core Kit]],Table_NFI[NFI Core Kit])</f>
        <v>#REF!</v>
      </c>
      <c r="AD322" s="532" t="e">
        <f>IF(NFI_Expiration=1,IF(#REF!&lt;VLOOKUP(M$5,NFI,5,0),1,0)*Table_NFI[[#This Row],[Sanitary Kit]],Table_NFI[Sanitary Kit])</f>
        <v>#REF!</v>
      </c>
      <c r="AE322" s="532" t="e">
        <f>IF(NFI_Expiration=1,IF(#REF!&lt;VLOOKUP(N$5,NFI,5,0),1,0)*Table_NFI[[#This Row],[Mosquito net]],Table_NFI[Mosquito net])</f>
        <v>#REF!</v>
      </c>
      <c r="AF322" s="532" t="e">
        <f>IF(NFI_Expiration=1,IF(#REF!&lt;VLOOKUP(O$5,NFI,5,0),1,0)*Table_NFI[[#This Row],[Tarpaulin]],Table_NFI[[#This Row],[Tarpaulin]])</f>
        <v>#REF!</v>
      </c>
      <c r="AG322" s="532" t="e">
        <f>IF(NFI_Expiration=1,IF(#REF!&lt;VLOOKUP(P$5,NFI,5,0),1,0)*Table_NFI[[#This Row],[Blanket]],Table_NFI[[#This Row],[Blanket]])</f>
        <v>#REF!</v>
      </c>
      <c r="AH322" s="532" t="e">
        <f>IF(NFI_Expiration=1,IF(#REF!&lt;VLOOKUP(Q$5,NFI,5,0),1,0)*Table_NFI[[#This Row],[Kitchen Set]],Table_NFI[Kitchen Set])</f>
        <v>#REF!</v>
      </c>
      <c r="AI322" s="532" t="e">
        <f>IF(NFI_Expiration=1,IF(#REF!&lt;VLOOKUP(R$5,NFI,5,0),1,0)*Table_NFI[[#This Row],[Clothes Kit]],Table_NFI[Clothes Kit])</f>
        <v>#REF!</v>
      </c>
      <c r="AJ322" s="532" t="e">
        <f>IF(NFI_Expiration=1,IF(#REF!&lt;VLOOKUP(S$5,NFI,5,0),1,0)*Table_NFI[[#This Row],[Plastic Bucket]],Table_NFI[Plastic Bucket])</f>
        <v>#REF!</v>
      </c>
      <c r="AK322" s="532" t="e">
        <f>IF(NFI_Expiration=1,IF(#REF!&lt;VLOOKUP(T$5,NFI,5,0),1,0)*Table_NFI[[#This Row],[Plastic Mat]],Table_NFI[Plastic Mat])*IF(Table_NFI[[#This Row],[Distribution Date]]&gt;"2014-04-01",1,2.5)</f>
        <v>#REF!</v>
      </c>
      <c r="AL322" s="532" t="e">
        <f>IF(NFI_Expiration=1,IF(#REF!&lt;VLOOKUP(U$5,NFI,5,0),1,0)*Table_NFI[[#This Row],[Winter Clothes Adult]],Table_NFI[Winter Clothes Adult])</f>
        <v>#REF!</v>
      </c>
      <c r="AM322" s="532"/>
      <c r="AN322" s="532"/>
      <c r="AO322" s="532"/>
      <c r="AP322" s="532">
        <f>IF(Table_NFI[[#This Row],[Winter Clothes Adult]]+Table_NFI[[#This Row],[Winter Clothes Children]]+Table_NFI[[#This Row],[Winter Items Other]]+Table_NFI[[#This Row],[Winter Blanket]]&gt;0,1,0)</f>
        <v>0</v>
      </c>
      <c r="AQ322" s="532"/>
      <c r="AR322" s="532"/>
      <c r="AS322" s="532"/>
      <c r="AT322" s="532"/>
      <c r="AU322" s="532"/>
      <c r="AV322" s="532"/>
      <c r="AW322" s="532"/>
      <c r="AX322" s="203" t="str">
        <f>IFERROR(VLOOKUP(Table_NFI[[#This Row],[Location]],CL,2,0),"")</f>
        <v>MMR015CMP018</v>
      </c>
      <c r="AZ322" s="524"/>
      <c r="DS322" s="181"/>
      <c r="DT322" s="181"/>
    </row>
    <row r="323" spans="2:124" hidden="1" x14ac:dyDescent="0.3">
      <c r="B323" s="530">
        <v>43266</v>
      </c>
      <c r="C323" s="530" t="str">
        <f>MONTH(Table_NFI[[#This Row],[Distribution Date]]) &amp; "/" &amp; YEAR(Table_NFI[[#This Row],[Distribution Date]])</f>
        <v>6/2018</v>
      </c>
      <c r="D323" s="196" t="s">
        <v>420</v>
      </c>
      <c r="E323" s="196" t="s">
        <v>424</v>
      </c>
      <c r="F323" s="196" t="s">
        <v>378</v>
      </c>
      <c r="G323" s="195" t="s">
        <v>299</v>
      </c>
      <c r="H323" s="196" t="s">
        <v>300</v>
      </c>
      <c r="I323" s="181"/>
      <c r="J323" s="531"/>
      <c r="K323" s="531"/>
      <c r="L323" s="531"/>
      <c r="M323" s="531"/>
      <c r="N323" s="531">
        <v>28</v>
      </c>
      <c r="O323" s="531"/>
      <c r="P323" s="531"/>
      <c r="Q323" s="531"/>
      <c r="R323" s="531"/>
      <c r="S323" s="531"/>
      <c r="T323" s="531"/>
      <c r="U323" s="531"/>
      <c r="V323" s="531"/>
      <c r="W323" s="531"/>
      <c r="X323" s="531"/>
      <c r="Y323" s="531"/>
      <c r="Z323" s="531"/>
      <c r="AA323" s="531"/>
      <c r="AB323" s="531"/>
      <c r="AC323" s="532" t="e">
        <f>IF(NFI_Expiration=1,IF(#REF!&lt;VLOOKUP(L$5,NFI,5,0),1,0)*Table_NFI[[#This Row],[NFI Core Kit]],Table_NFI[NFI Core Kit])</f>
        <v>#REF!</v>
      </c>
      <c r="AD323" s="532" t="e">
        <f>IF(NFI_Expiration=1,IF(#REF!&lt;VLOOKUP(M$5,NFI,5,0),1,0)*Table_NFI[[#This Row],[Sanitary Kit]],Table_NFI[Sanitary Kit])</f>
        <v>#REF!</v>
      </c>
      <c r="AE323" s="532" t="e">
        <f>IF(NFI_Expiration=1,IF(#REF!&lt;VLOOKUP(N$5,NFI,5,0),1,0)*Table_NFI[[#This Row],[Mosquito net]],Table_NFI[Mosquito net])</f>
        <v>#REF!</v>
      </c>
      <c r="AF323" s="532" t="e">
        <f>IF(NFI_Expiration=1,IF(#REF!&lt;VLOOKUP(O$5,NFI,5,0),1,0)*Table_NFI[[#This Row],[Tarpaulin]],Table_NFI[[#This Row],[Tarpaulin]])</f>
        <v>#REF!</v>
      </c>
      <c r="AG323" s="532" t="e">
        <f>IF(NFI_Expiration=1,IF(#REF!&lt;VLOOKUP(P$5,NFI,5,0),1,0)*Table_NFI[[#This Row],[Blanket]],Table_NFI[[#This Row],[Blanket]])</f>
        <v>#REF!</v>
      </c>
      <c r="AH323" s="532" t="e">
        <f>IF(NFI_Expiration=1,IF(#REF!&lt;VLOOKUP(Q$5,NFI,5,0),1,0)*Table_NFI[[#This Row],[Kitchen Set]],Table_NFI[Kitchen Set])</f>
        <v>#REF!</v>
      </c>
      <c r="AI323" s="532" t="e">
        <f>IF(NFI_Expiration=1,IF(#REF!&lt;VLOOKUP(R$5,NFI,5,0),1,0)*Table_NFI[[#This Row],[Clothes Kit]],Table_NFI[Clothes Kit])</f>
        <v>#REF!</v>
      </c>
      <c r="AJ323" s="532" t="e">
        <f>IF(NFI_Expiration=1,IF(#REF!&lt;VLOOKUP(S$5,NFI,5,0),1,0)*Table_NFI[[#This Row],[Plastic Bucket]],Table_NFI[Plastic Bucket])</f>
        <v>#REF!</v>
      </c>
      <c r="AK323" s="532" t="e">
        <f>IF(NFI_Expiration=1,IF(#REF!&lt;VLOOKUP(T$5,NFI,5,0),1,0)*Table_NFI[[#This Row],[Plastic Mat]],Table_NFI[Plastic Mat])*IF(Table_NFI[[#This Row],[Distribution Date]]&gt;"2014-04-01",1,2.5)</f>
        <v>#REF!</v>
      </c>
      <c r="AL323" s="532" t="e">
        <f>IF(NFI_Expiration=1,IF(#REF!&lt;VLOOKUP(U$5,NFI,5,0),1,0)*Table_NFI[[#This Row],[Winter Clothes Adult]],Table_NFI[Winter Clothes Adult])</f>
        <v>#REF!</v>
      </c>
      <c r="AM323" s="532"/>
      <c r="AN323" s="532"/>
      <c r="AO323" s="532"/>
      <c r="AP323" s="532">
        <f>IF(Table_NFI[[#This Row],[Winter Clothes Adult]]+Table_NFI[[#This Row],[Winter Clothes Children]]+Table_NFI[[#This Row],[Winter Items Other]]+Table_NFI[[#This Row],[Winter Blanket]]&gt;0,1,0)</f>
        <v>0</v>
      </c>
      <c r="AQ323" s="532"/>
      <c r="AR323" s="532"/>
      <c r="AS323" s="532"/>
      <c r="AT323" s="532"/>
      <c r="AU323" s="532"/>
      <c r="AV323" s="532"/>
      <c r="AW323" s="532"/>
      <c r="AX323" s="203" t="str">
        <f>IFERROR(VLOOKUP(Table_NFI[[#This Row],[Location]],CL,2,0),"")</f>
        <v>MMR001CMP075</v>
      </c>
      <c r="AZ323" s="524"/>
      <c r="DS323" s="181"/>
      <c r="DT323" s="181"/>
    </row>
    <row r="324" spans="2:124" hidden="1" x14ac:dyDescent="0.3">
      <c r="B324" s="530">
        <v>43251</v>
      </c>
      <c r="C324" s="530" t="str">
        <f>MONTH(Table_NFI[[#This Row],[Distribution Date]]) &amp; "/" &amp; YEAR(Table_NFI[[#This Row],[Distribution Date]])</f>
        <v>5/2018</v>
      </c>
      <c r="D324" s="196" t="s">
        <v>1608</v>
      </c>
      <c r="E324" s="196" t="s">
        <v>1690</v>
      </c>
      <c r="F324" s="196" t="s">
        <v>378</v>
      </c>
      <c r="G324" s="195" t="s">
        <v>309</v>
      </c>
      <c r="H324" s="196" t="s">
        <v>1697</v>
      </c>
      <c r="I324" s="181"/>
      <c r="J324" s="531"/>
      <c r="K324" s="531"/>
      <c r="L324" s="531">
        <v>80</v>
      </c>
      <c r="M324" s="531"/>
      <c r="N324" s="531">
        <v>160</v>
      </c>
      <c r="O324" s="531">
        <v>160</v>
      </c>
      <c r="P324" s="531">
        <v>160</v>
      </c>
      <c r="Q324" s="531">
        <v>80</v>
      </c>
      <c r="R324" s="531"/>
      <c r="S324" s="531">
        <v>80</v>
      </c>
      <c r="T324" s="531"/>
      <c r="U324" s="531"/>
      <c r="V324" s="531"/>
      <c r="W324" s="531"/>
      <c r="X324" s="531"/>
      <c r="Y324" s="531"/>
      <c r="Z324" s="531"/>
      <c r="AA324" s="531"/>
      <c r="AB324" s="531"/>
      <c r="AC324" s="532" t="e">
        <f>IF(NFI_Expiration=1,IF(#REF!&lt;VLOOKUP(L$5,NFI,5,0),1,0)*Table_NFI[[#This Row],[NFI Core Kit]],Table_NFI[NFI Core Kit])</f>
        <v>#REF!</v>
      </c>
      <c r="AD324" s="532" t="e">
        <f>IF(NFI_Expiration=1,IF(#REF!&lt;VLOOKUP(M$5,NFI,5,0),1,0)*Table_NFI[[#This Row],[Sanitary Kit]],Table_NFI[Sanitary Kit])</f>
        <v>#REF!</v>
      </c>
      <c r="AE324" s="532" t="e">
        <f>IF(NFI_Expiration=1,IF(#REF!&lt;VLOOKUP(N$5,NFI,5,0),1,0)*Table_NFI[[#This Row],[Mosquito net]],Table_NFI[Mosquito net])</f>
        <v>#REF!</v>
      </c>
      <c r="AF324" s="532" t="e">
        <f>IF(NFI_Expiration=1,IF(#REF!&lt;VLOOKUP(O$5,NFI,5,0),1,0)*Table_NFI[[#This Row],[Tarpaulin]],Table_NFI[[#This Row],[Tarpaulin]])</f>
        <v>#REF!</v>
      </c>
      <c r="AG324" s="532" t="e">
        <f>IF(NFI_Expiration=1,IF(#REF!&lt;VLOOKUP(P$5,NFI,5,0),1,0)*Table_NFI[[#This Row],[Blanket]],Table_NFI[[#This Row],[Blanket]])</f>
        <v>#REF!</v>
      </c>
      <c r="AH324" s="532" t="e">
        <f>IF(NFI_Expiration=1,IF(#REF!&lt;VLOOKUP(Q$5,NFI,5,0),1,0)*Table_NFI[[#This Row],[Kitchen Set]],Table_NFI[Kitchen Set])</f>
        <v>#REF!</v>
      </c>
      <c r="AI324" s="532" t="e">
        <f>IF(NFI_Expiration=1,IF(#REF!&lt;VLOOKUP(R$5,NFI,5,0),1,0)*Table_NFI[[#This Row],[Clothes Kit]],Table_NFI[Clothes Kit])</f>
        <v>#REF!</v>
      </c>
      <c r="AJ324" s="532" t="e">
        <f>IF(NFI_Expiration=1,IF(#REF!&lt;VLOOKUP(S$5,NFI,5,0),1,0)*Table_NFI[[#This Row],[Plastic Bucket]],Table_NFI[Plastic Bucket])</f>
        <v>#REF!</v>
      </c>
      <c r="AK324" s="532" t="e">
        <f>IF(NFI_Expiration=1,IF(#REF!&lt;VLOOKUP(T$5,NFI,5,0),1,0)*Table_NFI[[#This Row],[Plastic Mat]],Table_NFI[Plastic Mat])*IF(Table_NFI[[#This Row],[Distribution Date]]&gt;"2014-04-01",1,2.5)</f>
        <v>#REF!</v>
      </c>
      <c r="AL324" s="532" t="e">
        <f>IF(NFI_Expiration=1,IF(#REF!&lt;VLOOKUP(U$5,NFI,5,0),1,0)*Table_NFI[[#This Row],[Winter Clothes Adult]],Table_NFI[Winter Clothes Adult])</f>
        <v>#REF!</v>
      </c>
      <c r="AM324" s="532"/>
      <c r="AN324" s="532"/>
      <c r="AO324" s="532"/>
      <c r="AP324" s="532">
        <f>IF(Table_NFI[[#This Row],[Winter Clothes Adult]]+Table_NFI[[#This Row],[Winter Clothes Children]]+Table_NFI[[#This Row],[Winter Items Other]]+Table_NFI[[#This Row],[Winter Blanket]]&gt;0,1,0)</f>
        <v>0</v>
      </c>
      <c r="AQ324" s="532"/>
      <c r="AR324" s="532"/>
      <c r="AS324" s="532"/>
      <c r="AT324" s="532"/>
      <c r="AU324" s="532"/>
      <c r="AV324" s="532"/>
      <c r="AW324" s="532"/>
      <c r="AX324" s="203" t="str">
        <f>IFERROR(VLOOKUP(Table_NFI[[#This Row],[Location]],CL,2,0),"")</f>
        <v>MMR001CMP269</v>
      </c>
      <c r="AZ324" s="524"/>
      <c r="DS324" s="181"/>
      <c r="DT324" s="181"/>
    </row>
    <row r="325" spans="2:124" hidden="1" x14ac:dyDescent="0.3">
      <c r="B325" s="530">
        <v>43281</v>
      </c>
      <c r="C325" s="530" t="str">
        <f>MONTH(Table_NFI[[#This Row],[Distribution Date]]) &amp; "/" &amp; YEAR(Table_NFI[[#This Row],[Distribution Date]])</f>
        <v>6/2018</v>
      </c>
      <c r="D325" s="196" t="s">
        <v>1608</v>
      </c>
      <c r="E325" s="196" t="s">
        <v>1690</v>
      </c>
      <c r="F325" s="196" t="s">
        <v>378</v>
      </c>
      <c r="G325" s="195" t="s">
        <v>237</v>
      </c>
      <c r="H325" s="196" t="s">
        <v>254</v>
      </c>
      <c r="I325" s="181"/>
      <c r="J325" s="531"/>
      <c r="K325" s="531"/>
      <c r="L325" s="531">
        <v>3</v>
      </c>
      <c r="M325" s="531"/>
      <c r="N325" s="531">
        <v>6</v>
      </c>
      <c r="O325" s="531">
        <v>6</v>
      </c>
      <c r="P325" s="531">
        <v>6</v>
      </c>
      <c r="Q325" s="531">
        <v>3</v>
      </c>
      <c r="R325" s="531"/>
      <c r="S325" s="531">
        <v>3</v>
      </c>
      <c r="T325" s="531"/>
      <c r="U325" s="531"/>
      <c r="V325" s="531"/>
      <c r="W325" s="531"/>
      <c r="X325" s="531"/>
      <c r="Y325" s="531"/>
      <c r="Z325" s="531"/>
      <c r="AA325" s="531"/>
      <c r="AB325" s="531"/>
      <c r="AC325" s="532" t="e">
        <f>IF(NFI_Expiration=1,IF(#REF!&lt;VLOOKUP(L$5,NFI,5,0),1,0)*Table_NFI[[#This Row],[NFI Core Kit]],Table_NFI[NFI Core Kit])</f>
        <v>#REF!</v>
      </c>
      <c r="AD325" s="532" t="e">
        <f>IF(NFI_Expiration=1,IF(#REF!&lt;VLOOKUP(M$5,NFI,5,0),1,0)*Table_NFI[[#This Row],[Sanitary Kit]],Table_NFI[Sanitary Kit])</f>
        <v>#REF!</v>
      </c>
      <c r="AE325" s="532" t="e">
        <f>IF(NFI_Expiration=1,IF(#REF!&lt;VLOOKUP(N$5,NFI,5,0),1,0)*Table_NFI[[#This Row],[Mosquito net]],Table_NFI[Mosquito net])</f>
        <v>#REF!</v>
      </c>
      <c r="AF325" s="532" t="e">
        <f>IF(NFI_Expiration=1,IF(#REF!&lt;VLOOKUP(O$5,NFI,5,0),1,0)*Table_NFI[[#This Row],[Tarpaulin]],Table_NFI[[#This Row],[Tarpaulin]])</f>
        <v>#REF!</v>
      </c>
      <c r="AG325" s="532" t="e">
        <f>IF(NFI_Expiration=1,IF(#REF!&lt;VLOOKUP(P$5,NFI,5,0),1,0)*Table_NFI[[#This Row],[Blanket]],Table_NFI[[#This Row],[Blanket]])</f>
        <v>#REF!</v>
      </c>
      <c r="AH325" s="532" t="e">
        <f>IF(NFI_Expiration=1,IF(#REF!&lt;VLOOKUP(Q$5,NFI,5,0),1,0)*Table_NFI[[#This Row],[Kitchen Set]],Table_NFI[Kitchen Set])</f>
        <v>#REF!</v>
      </c>
      <c r="AI325" s="532" t="e">
        <f>IF(NFI_Expiration=1,IF(#REF!&lt;VLOOKUP(R$5,NFI,5,0),1,0)*Table_NFI[[#This Row],[Clothes Kit]],Table_NFI[Clothes Kit])</f>
        <v>#REF!</v>
      </c>
      <c r="AJ325" s="532" t="e">
        <f>IF(NFI_Expiration=1,IF(#REF!&lt;VLOOKUP(S$5,NFI,5,0),1,0)*Table_NFI[[#This Row],[Plastic Bucket]],Table_NFI[Plastic Bucket])</f>
        <v>#REF!</v>
      </c>
      <c r="AK325" s="532" t="e">
        <f>IF(NFI_Expiration=1,IF(#REF!&lt;VLOOKUP(T$5,NFI,5,0),1,0)*Table_NFI[[#This Row],[Plastic Mat]],Table_NFI[Plastic Mat])*IF(Table_NFI[[#This Row],[Distribution Date]]&gt;"2014-04-01",1,2.5)</f>
        <v>#REF!</v>
      </c>
      <c r="AL325" s="532" t="e">
        <f>IF(NFI_Expiration=1,IF(#REF!&lt;VLOOKUP(U$5,NFI,5,0),1,0)*Table_NFI[[#This Row],[Winter Clothes Adult]],Table_NFI[Winter Clothes Adult])</f>
        <v>#REF!</v>
      </c>
      <c r="AM325" s="532"/>
      <c r="AN325" s="532"/>
      <c r="AO325" s="532"/>
      <c r="AP325" s="532">
        <f>IF(Table_NFI[[#This Row],[Winter Clothes Adult]]+Table_NFI[[#This Row],[Winter Clothes Children]]+Table_NFI[[#This Row],[Winter Items Other]]+Table_NFI[[#This Row],[Winter Blanket]]&gt;0,1,0)</f>
        <v>0</v>
      </c>
      <c r="AQ325" s="532"/>
      <c r="AR325" s="532"/>
      <c r="AS325" s="532"/>
      <c r="AT325" s="532"/>
      <c r="AU325" s="532"/>
      <c r="AV325" s="532"/>
      <c r="AW325" s="532"/>
      <c r="AX325" s="203" t="str">
        <f>IFERROR(VLOOKUP(Table_NFI[[#This Row],[Location]],CL,2,0),"")</f>
        <v>MMR001CMP019</v>
      </c>
      <c r="AZ325" s="524"/>
      <c r="DS325" s="181"/>
      <c r="DT325" s="181"/>
    </row>
    <row r="326" spans="2:124" hidden="1" x14ac:dyDescent="0.3">
      <c r="B326" s="530">
        <v>43281</v>
      </c>
      <c r="C326" s="530" t="str">
        <f>MONTH(Table_NFI[[#This Row],[Distribution Date]]) &amp; "/" &amp; YEAR(Table_NFI[[#This Row],[Distribution Date]])</f>
        <v>6/2018</v>
      </c>
      <c r="D326" s="196" t="s">
        <v>1608</v>
      </c>
      <c r="E326" s="196" t="s">
        <v>1690</v>
      </c>
      <c r="F326" s="196" t="s">
        <v>378</v>
      </c>
      <c r="G326" s="195" t="s">
        <v>237</v>
      </c>
      <c r="H326" s="196" t="s">
        <v>272</v>
      </c>
      <c r="I326" s="181"/>
      <c r="J326" s="531"/>
      <c r="K326" s="531"/>
      <c r="L326" s="531">
        <v>11</v>
      </c>
      <c r="M326" s="531"/>
      <c r="N326" s="531">
        <v>22</v>
      </c>
      <c r="O326" s="531">
        <v>22</v>
      </c>
      <c r="P326" s="531">
        <v>22</v>
      </c>
      <c r="Q326" s="531">
        <v>11</v>
      </c>
      <c r="R326" s="531"/>
      <c r="S326" s="531">
        <v>11</v>
      </c>
      <c r="T326" s="531"/>
      <c r="U326" s="531"/>
      <c r="V326" s="531"/>
      <c r="W326" s="531"/>
      <c r="X326" s="531"/>
      <c r="Y326" s="531"/>
      <c r="Z326" s="531"/>
      <c r="AA326" s="531"/>
      <c r="AB326" s="531"/>
      <c r="AC326" s="532" t="e">
        <f>IF(NFI_Expiration=1,IF(#REF!&lt;VLOOKUP(L$5,NFI,5,0),1,0)*Table_NFI[[#This Row],[NFI Core Kit]],Table_NFI[NFI Core Kit])</f>
        <v>#REF!</v>
      </c>
      <c r="AD326" s="532" t="e">
        <f>IF(NFI_Expiration=1,IF(#REF!&lt;VLOOKUP(M$5,NFI,5,0),1,0)*Table_NFI[[#This Row],[Sanitary Kit]],Table_NFI[Sanitary Kit])</f>
        <v>#REF!</v>
      </c>
      <c r="AE326" s="532" t="e">
        <f>IF(NFI_Expiration=1,IF(#REF!&lt;VLOOKUP(N$5,NFI,5,0),1,0)*Table_NFI[[#This Row],[Mosquito net]],Table_NFI[Mosquito net])</f>
        <v>#REF!</v>
      </c>
      <c r="AF326" s="532" t="e">
        <f>IF(NFI_Expiration=1,IF(#REF!&lt;VLOOKUP(O$5,NFI,5,0),1,0)*Table_NFI[[#This Row],[Tarpaulin]],Table_NFI[[#This Row],[Tarpaulin]])</f>
        <v>#REF!</v>
      </c>
      <c r="AG326" s="532" t="e">
        <f>IF(NFI_Expiration=1,IF(#REF!&lt;VLOOKUP(P$5,NFI,5,0),1,0)*Table_NFI[[#This Row],[Blanket]],Table_NFI[[#This Row],[Blanket]])</f>
        <v>#REF!</v>
      </c>
      <c r="AH326" s="532" t="e">
        <f>IF(NFI_Expiration=1,IF(#REF!&lt;VLOOKUP(Q$5,NFI,5,0),1,0)*Table_NFI[[#This Row],[Kitchen Set]],Table_NFI[Kitchen Set])</f>
        <v>#REF!</v>
      </c>
      <c r="AI326" s="532" t="e">
        <f>IF(NFI_Expiration=1,IF(#REF!&lt;VLOOKUP(R$5,NFI,5,0),1,0)*Table_NFI[[#This Row],[Clothes Kit]],Table_NFI[Clothes Kit])</f>
        <v>#REF!</v>
      </c>
      <c r="AJ326" s="532" t="e">
        <f>IF(NFI_Expiration=1,IF(#REF!&lt;VLOOKUP(S$5,NFI,5,0),1,0)*Table_NFI[[#This Row],[Plastic Bucket]],Table_NFI[Plastic Bucket])</f>
        <v>#REF!</v>
      </c>
      <c r="AK326" s="532" t="e">
        <f>IF(NFI_Expiration=1,IF(#REF!&lt;VLOOKUP(T$5,NFI,5,0),1,0)*Table_NFI[[#This Row],[Plastic Mat]],Table_NFI[Plastic Mat])*IF(Table_NFI[[#This Row],[Distribution Date]]&gt;"2014-04-01",1,2.5)</f>
        <v>#REF!</v>
      </c>
      <c r="AL326" s="532" t="e">
        <f>IF(NFI_Expiration=1,IF(#REF!&lt;VLOOKUP(U$5,NFI,5,0),1,0)*Table_NFI[[#This Row],[Winter Clothes Adult]],Table_NFI[Winter Clothes Adult])</f>
        <v>#REF!</v>
      </c>
      <c r="AM326" s="532"/>
      <c r="AN326" s="532"/>
      <c r="AO326" s="532"/>
      <c r="AP326" s="532">
        <f>IF(Table_NFI[[#This Row],[Winter Clothes Adult]]+Table_NFI[[#This Row],[Winter Clothes Children]]+Table_NFI[[#This Row],[Winter Items Other]]+Table_NFI[[#This Row],[Winter Blanket]]&gt;0,1,0)</f>
        <v>0</v>
      </c>
      <c r="AQ326" s="532"/>
      <c r="AR326" s="532"/>
      <c r="AS326" s="532"/>
      <c r="AT326" s="532"/>
      <c r="AU326" s="532"/>
      <c r="AV326" s="532"/>
      <c r="AW326" s="532"/>
      <c r="AX326" s="203" t="str">
        <f>IFERROR(VLOOKUP(Table_NFI[[#This Row],[Location]],CL,2,0),"")</f>
        <v>MMR001CMP162</v>
      </c>
      <c r="AZ326" s="524"/>
      <c r="DS326" s="181"/>
      <c r="DT326" s="181"/>
    </row>
    <row r="327" spans="2:124" hidden="1" x14ac:dyDescent="0.3">
      <c r="B327" s="530">
        <v>43281</v>
      </c>
      <c r="C327" s="530" t="str">
        <f>MONTH(Table_NFI[[#This Row],[Distribution Date]]) &amp; "/" &amp; YEAR(Table_NFI[[#This Row],[Distribution Date]])</f>
        <v>6/2018</v>
      </c>
      <c r="D327" s="196" t="s">
        <v>1608</v>
      </c>
      <c r="E327" s="196" t="s">
        <v>1690</v>
      </c>
      <c r="F327" s="196" t="s">
        <v>378</v>
      </c>
      <c r="G327" s="195" t="s">
        <v>173</v>
      </c>
      <c r="H327" s="196" t="s">
        <v>1480</v>
      </c>
      <c r="I327" s="181"/>
      <c r="J327" s="531"/>
      <c r="K327" s="531"/>
      <c r="L327" s="531">
        <v>6</v>
      </c>
      <c r="M327" s="531"/>
      <c r="N327" s="531">
        <v>12</v>
      </c>
      <c r="O327" s="531">
        <v>12</v>
      </c>
      <c r="P327" s="531">
        <v>12</v>
      </c>
      <c r="Q327" s="531">
        <v>6</v>
      </c>
      <c r="R327" s="531"/>
      <c r="S327" s="531">
        <v>6</v>
      </c>
      <c r="T327" s="531"/>
      <c r="U327" s="531"/>
      <c r="V327" s="531"/>
      <c r="W327" s="531"/>
      <c r="X327" s="531"/>
      <c r="Y327" s="531"/>
      <c r="Z327" s="531"/>
      <c r="AA327" s="531"/>
      <c r="AB327" s="531"/>
      <c r="AC327" s="532" t="e">
        <f>IF(NFI_Expiration=1,IF(#REF!&lt;VLOOKUP(L$5,NFI,5,0),1,0)*Table_NFI[[#This Row],[NFI Core Kit]],Table_NFI[NFI Core Kit])</f>
        <v>#REF!</v>
      </c>
      <c r="AD327" s="532" t="e">
        <f>IF(NFI_Expiration=1,IF(#REF!&lt;VLOOKUP(M$5,NFI,5,0),1,0)*Table_NFI[[#This Row],[Sanitary Kit]],Table_NFI[Sanitary Kit])</f>
        <v>#REF!</v>
      </c>
      <c r="AE327" s="532" t="e">
        <f>IF(NFI_Expiration=1,IF(#REF!&lt;VLOOKUP(N$5,NFI,5,0),1,0)*Table_NFI[[#This Row],[Mosquito net]],Table_NFI[Mosquito net])</f>
        <v>#REF!</v>
      </c>
      <c r="AF327" s="532" t="e">
        <f>IF(NFI_Expiration=1,IF(#REF!&lt;VLOOKUP(O$5,NFI,5,0),1,0)*Table_NFI[[#This Row],[Tarpaulin]],Table_NFI[[#This Row],[Tarpaulin]])</f>
        <v>#REF!</v>
      </c>
      <c r="AG327" s="532" t="e">
        <f>IF(NFI_Expiration=1,IF(#REF!&lt;VLOOKUP(P$5,NFI,5,0),1,0)*Table_NFI[[#This Row],[Blanket]],Table_NFI[[#This Row],[Blanket]])</f>
        <v>#REF!</v>
      </c>
      <c r="AH327" s="532" t="e">
        <f>IF(NFI_Expiration=1,IF(#REF!&lt;VLOOKUP(Q$5,NFI,5,0),1,0)*Table_NFI[[#This Row],[Kitchen Set]],Table_NFI[Kitchen Set])</f>
        <v>#REF!</v>
      </c>
      <c r="AI327" s="532" t="e">
        <f>IF(NFI_Expiration=1,IF(#REF!&lt;VLOOKUP(R$5,NFI,5,0),1,0)*Table_NFI[[#This Row],[Clothes Kit]],Table_NFI[Clothes Kit])</f>
        <v>#REF!</v>
      </c>
      <c r="AJ327" s="532" t="e">
        <f>IF(NFI_Expiration=1,IF(#REF!&lt;VLOOKUP(S$5,NFI,5,0),1,0)*Table_NFI[[#This Row],[Plastic Bucket]],Table_NFI[Plastic Bucket])</f>
        <v>#REF!</v>
      </c>
      <c r="AK327" s="532" t="e">
        <f>IF(NFI_Expiration=1,IF(#REF!&lt;VLOOKUP(T$5,NFI,5,0),1,0)*Table_NFI[[#This Row],[Plastic Mat]],Table_NFI[Plastic Mat])*IF(Table_NFI[[#This Row],[Distribution Date]]&gt;"2014-04-01",1,2.5)</f>
        <v>#REF!</v>
      </c>
      <c r="AL327" s="532" t="e">
        <f>IF(NFI_Expiration=1,IF(#REF!&lt;VLOOKUP(U$5,NFI,5,0),1,0)*Table_NFI[[#This Row],[Winter Clothes Adult]],Table_NFI[Winter Clothes Adult])</f>
        <v>#REF!</v>
      </c>
      <c r="AM327" s="532"/>
      <c r="AN327" s="532"/>
      <c r="AO327" s="532"/>
      <c r="AP327" s="532">
        <f>IF(Table_NFI[[#This Row],[Winter Clothes Adult]]+Table_NFI[[#This Row],[Winter Clothes Children]]+Table_NFI[[#This Row],[Winter Items Other]]+Table_NFI[[#This Row],[Winter Blanket]]&gt;0,1,0)</f>
        <v>0</v>
      </c>
      <c r="AQ327" s="532"/>
      <c r="AR327" s="532"/>
      <c r="AS327" s="532"/>
      <c r="AT327" s="532"/>
      <c r="AU327" s="532"/>
      <c r="AV327" s="532"/>
      <c r="AW327" s="532"/>
      <c r="AX327" s="203" t="str">
        <f>IFERROR(VLOOKUP(Table_NFI[[#This Row],[Location]],CL,2,0),"")</f>
        <v>MMR001CMP077</v>
      </c>
      <c r="AZ327" s="524"/>
      <c r="DS327" s="181"/>
      <c r="DT327" s="181"/>
    </row>
    <row r="328" spans="2:124" hidden="1" x14ac:dyDescent="0.3">
      <c r="B328" s="530">
        <v>43271</v>
      </c>
      <c r="C328" s="530" t="str">
        <f>MONTH(Table_NFI[[#This Row],[Distribution Date]]) &amp; "/" &amp; YEAR(Table_NFI[[#This Row],[Distribution Date]])</f>
        <v>6/2018</v>
      </c>
      <c r="D328" s="196" t="s">
        <v>1608</v>
      </c>
      <c r="E328" s="196" t="s">
        <v>1690</v>
      </c>
      <c r="F328" s="196" t="s">
        <v>378</v>
      </c>
      <c r="G328" s="195" t="s">
        <v>309</v>
      </c>
      <c r="H328" s="196" t="s">
        <v>349</v>
      </c>
      <c r="I328" s="181"/>
      <c r="J328" s="531"/>
      <c r="K328" s="531"/>
      <c r="L328" s="531">
        <v>35</v>
      </c>
      <c r="M328" s="531"/>
      <c r="N328" s="531">
        <v>70</v>
      </c>
      <c r="O328" s="531">
        <v>70</v>
      </c>
      <c r="P328" s="531">
        <v>70</v>
      </c>
      <c r="Q328" s="531">
        <v>35</v>
      </c>
      <c r="R328" s="531"/>
      <c r="S328" s="531">
        <v>35</v>
      </c>
      <c r="T328" s="531"/>
      <c r="U328" s="531"/>
      <c r="V328" s="531"/>
      <c r="W328" s="531"/>
      <c r="X328" s="531"/>
      <c r="Y328" s="531"/>
      <c r="Z328" s="531"/>
      <c r="AA328" s="531"/>
      <c r="AB328" s="531"/>
      <c r="AC328" s="532" t="e">
        <f>IF(NFI_Expiration=1,IF(#REF!&lt;VLOOKUP(L$5,NFI,5,0),1,0)*Table_NFI[[#This Row],[NFI Core Kit]],Table_NFI[NFI Core Kit])</f>
        <v>#REF!</v>
      </c>
      <c r="AD328" s="532" t="e">
        <f>IF(NFI_Expiration=1,IF(#REF!&lt;VLOOKUP(M$5,NFI,5,0),1,0)*Table_NFI[[#This Row],[Sanitary Kit]],Table_NFI[Sanitary Kit])</f>
        <v>#REF!</v>
      </c>
      <c r="AE328" s="532" t="e">
        <f>IF(NFI_Expiration=1,IF(#REF!&lt;VLOOKUP(N$5,NFI,5,0),1,0)*Table_NFI[[#This Row],[Mosquito net]],Table_NFI[Mosquito net])</f>
        <v>#REF!</v>
      </c>
      <c r="AF328" s="532" t="e">
        <f>IF(NFI_Expiration=1,IF(#REF!&lt;VLOOKUP(O$5,NFI,5,0),1,0)*Table_NFI[[#This Row],[Tarpaulin]],Table_NFI[[#This Row],[Tarpaulin]])</f>
        <v>#REF!</v>
      </c>
      <c r="AG328" s="532" t="e">
        <f>IF(NFI_Expiration=1,IF(#REF!&lt;VLOOKUP(P$5,NFI,5,0),1,0)*Table_NFI[[#This Row],[Blanket]],Table_NFI[[#This Row],[Blanket]])</f>
        <v>#REF!</v>
      </c>
      <c r="AH328" s="532" t="e">
        <f>IF(NFI_Expiration=1,IF(#REF!&lt;VLOOKUP(Q$5,NFI,5,0),1,0)*Table_NFI[[#This Row],[Kitchen Set]],Table_NFI[Kitchen Set])</f>
        <v>#REF!</v>
      </c>
      <c r="AI328" s="532" t="e">
        <f>IF(NFI_Expiration=1,IF(#REF!&lt;VLOOKUP(R$5,NFI,5,0),1,0)*Table_NFI[[#This Row],[Clothes Kit]],Table_NFI[Clothes Kit])</f>
        <v>#REF!</v>
      </c>
      <c r="AJ328" s="532" t="e">
        <f>IF(NFI_Expiration=1,IF(#REF!&lt;VLOOKUP(S$5,NFI,5,0),1,0)*Table_NFI[[#This Row],[Plastic Bucket]],Table_NFI[Plastic Bucket])</f>
        <v>#REF!</v>
      </c>
      <c r="AK328" s="532" t="e">
        <f>IF(NFI_Expiration=1,IF(#REF!&lt;VLOOKUP(T$5,NFI,5,0),1,0)*Table_NFI[[#This Row],[Plastic Mat]],Table_NFI[Plastic Mat])*IF(Table_NFI[[#This Row],[Distribution Date]]&gt;"2014-04-01",1,2.5)</f>
        <v>#REF!</v>
      </c>
      <c r="AL328" s="532" t="e">
        <f>IF(NFI_Expiration=1,IF(#REF!&lt;VLOOKUP(U$5,NFI,5,0),1,0)*Table_NFI[[#This Row],[Winter Clothes Adult]],Table_NFI[Winter Clothes Adult])</f>
        <v>#REF!</v>
      </c>
      <c r="AM328" s="532"/>
      <c r="AN328" s="532"/>
      <c r="AO328" s="532"/>
      <c r="AP328" s="532">
        <f>IF(Table_NFI[[#This Row],[Winter Clothes Adult]]+Table_NFI[[#This Row],[Winter Clothes Children]]+Table_NFI[[#This Row],[Winter Items Other]]+Table_NFI[[#This Row],[Winter Blanket]]&gt;0,1,0)</f>
        <v>0</v>
      </c>
      <c r="AQ328" s="532"/>
      <c r="AR328" s="532"/>
      <c r="AS328" s="532"/>
      <c r="AT328" s="532"/>
      <c r="AU328" s="532"/>
      <c r="AV328" s="532"/>
      <c r="AW328" s="532"/>
      <c r="AX328" s="203" t="str">
        <f>IFERROR(VLOOKUP(Table_NFI[[#This Row],[Location]],CL,2,0),"")</f>
        <v>MMR001CMP026</v>
      </c>
      <c r="AZ328" s="524"/>
      <c r="DS328" s="181"/>
      <c r="DT328" s="181"/>
    </row>
    <row r="329" spans="2:124" hidden="1" x14ac:dyDescent="0.3">
      <c r="B329" s="530">
        <v>43284</v>
      </c>
      <c r="C329" s="530" t="str">
        <f>MONTH(Table_NFI[[#This Row],[Distribution Date]]) &amp; "/" &amp; YEAR(Table_NFI[[#This Row],[Distribution Date]])</f>
        <v>7/2018</v>
      </c>
      <c r="D329" s="196" t="s">
        <v>420</v>
      </c>
      <c r="E329" s="196" t="s">
        <v>462</v>
      </c>
      <c r="F329" s="196" t="s">
        <v>378</v>
      </c>
      <c r="G329" s="195" t="s">
        <v>237</v>
      </c>
      <c r="H329" s="196" t="s">
        <v>248</v>
      </c>
      <c r="I329" s="181"/>
      <c r="J329" s="531"/>
      <c r="K329" s="531"/>
      <c r="L329" s="531">
        <v>9</v>
      </c>
      <c r="M329" s="531">
        <v>9</v>
      </c>
      <c r="N329" s="531">
        <v>29</v>
      </c>
      <c r="O329" s="531">
        <v>9</v>
      </c>
      <c r="P329" s="531">
        <v>29</v>
      </c>
      <c r="Q329" s="531">
        <v>10</v>
      </c>
      <c r="R329" s="531"/>
      <c r="S329" s="531">
        <v>9</v>
      </c>
      <c r="T329" s="531">
        <v>46</v>
      </c>
      <c r="U329" s="531"/>
      <c r="V329" s="531"/>
      <c r="W329" s="531"/>
      <c r="X329" s="531"/>
      <c r="Y329" s="531">
        <v>9</v>
      </c>
      <c r="Z329" s="531"/>
      <c r="AA329" s="531"/>
      <c r="AB329" s="531"/>
      <c r="AC329" s="532" t="e">
        <f>IF(NFI_Expiration=1,IF(#REF!&lt;VLOOKUP(L$5,NFI,5,0),1,0)*Table_NFI[[#This Row],[NFI Core Kit]],Table_NFI[NFI Core Kit])</f>
        <v>#REF!</v>
      </c>
      <c r="AD329" s="532" t="e">
        <f>IF(NFI_Expiration=1,IF(#REF!&lt;VLOOKUP(M$5,NFI,5,0),1,0)*Table_NFI[[#This Row],[Sanitary Kit]],Table_NFI[Sanitary Kit])</f>
        <v>#REF!</v>
      </c>
      <c r="AE329" s="532" t="e">
        <f>IF(NFI_Expiration=1,IF(#REF!&lt;VLOOKUP(N$5,NFI,5,0),1,0)*Table_NFI[[#This Row],[Mosquito net]],Table_NFI[Mosquito net])</f>
        <v>#REF!</v>
      </c>
      <c r="AF329" s="532" t="e">
        <f>IF(NFI_Expiration=1,IF(#REF!&lt;VLOOKUP(O$5,NFI,5,0),1,0)*Table_NFI[[#This Row],[Tarpaulin]],Table_NFI[[#This Row],[Tarpaulin]])</f>
        <v>#REF!</v>
      </c>
      <c r="AG329" s="532" t="e">
        <f>IF(NFI_Expiration=1,IF(#REF!&lt;VLOOKUP(P$5,NFI,5,0),1,0)*Table_NFI[[#This Row],[Blanket]],Table_NFI[[#This Row],[Blanket]])</f>
        <v>#REF!</v>
      </c>
      <c r="AH329" s="532" t="e">
        <f>IF(NFI_Expiration=1,IF(#REF!&lt;VLOOKUP(Q$5,NFI,5,0),1,0)*Table_NFI[[#This Row],[Kitchen Set]],Table_NFI[Kitchen Set])</f>
        <v>#REF!</v>
      </c>
      <c r="AI329" s="532" t="e">
        <f>IF(NFI_Expiration=1,IF(#REF!&lt;VLOOKUP(R$5,NFI,5,0),1,0)*Table_NFI[[#This Row],[Clothes Kit]],Table_NFI[Clothes Kit])</f>
        <v>#REF!</v>
      </c>
      <c r="AJ329" s="532" t="e">
        <f>IF(NFI_Expiration=1,IF(#REF!&lt;VLOOKUP(S$5,NFI,5,0),1,0)*Table_NFI[[#This Row],[Plastic Bucket]],Table_NFI[Plastic Bucket])</f>
        <v>#REF!</v>
      </c>
      <c r="AK329" s="532" t="e">
        <f>IF(NFI_Expiration=1,IF(#REF!&lt;VLOOKUP(T$5,NFI,5,0),1,0)*Table_NFI[[#This Row],[Plastic Mat]],Table_NFI[Plastic Mat])*IF(Table_NFI[[#This Row],[Distribution Date]]&gt;"2014-04-01",1,2.5)</f>
        <v>#REF!</v>
      </c>
      <c r="AL329" s="532" t="e">
        <f>IF(NFI_Expiration=1,IF(#REF!&lt;VLOOKUP(U$5,NFI,5,0),1,0)*Table_NFI[[#This Row],[Winter Clothes Adult]],Table_NFI[Winter Clothes Adult])</f>
        <v>#REF!</v>
      </c>
      <c r="AM329" s="532"/>
      <c r="AN329" s="532"/>
      <c r="AO329" s="532"/>
      <c r="AP329" s="532">
        <f>IF(Table_NFI[[#This Row],[Winter Clothes Adult]]+Table_NFI[[#This Row],[Winter Clothes Children]]+Table_NFI[[#This Row],[Winter Items Other]]+Table_NFI[[#This Row],[Winter Blanket]]&gt;0,1,0)</f>
        <v>0</v>
      </c>
      <c r="AQ329" s="532"/>
      <c r="AR329" s="532"/>
      <c r="AS329" s="532"/>
      <c r="AT329" s="532"/>
      <c r="AU329" s="532"/>
      <c r="AV329" s="532"/>
      <c r="AW329" s="532"/>
      <c r="AX329" s="203" t="str">
        <f>IFERROR(VLOOKUP(Table_NFI[[#This Row],[Location]],CL,2,0),"")</f>
        <v>MMR001CMP004</v>
      </c>
      <c r="AZ329" s="524"/>
      <c r="DS329" s="181"/>
      <c r="DT329" s="181"/>
    </row>
    <row r="330" spans="2:124" hidden="1" x14ac:dyDescent="0.3">
      <c r="B330" s="530">
        <v>43273</v>
      </c>
      <c r="C330" s="530" t="str">
        <f>MONTH(Table_NFI[[#This Row],[Distribution Date]]) &amp; "/" &amp; YEAR(Table_NFI[[#This Row],[Distribution Date]])</f>
        <v>6/2018</v>
      </c>
      <c r="D330" s="196" t="s">
        <v>420</v>
      </c>
      <c r="E330" s="196" t="s">
        <v>462</v>
      </c>
      <c r="F330" s="196" t="s">
        <v>378</v>
      </c>
      <c r="G330" s="195" t="s">
        <v>309</v>
      </c>
      <c r="H330" s="196" t="s">
        <v>337</v>
      </c>
      <c r="I330" s="181"/>
      <c r="J330" s="531"/>
      <c r="K330" s="531"/>
      <c r="L330" s="531"/>
      <c r="M330" s="531"/>
      <c r="N330" s="531"/>
      <c r="O330" s="531">
        <v>20</v>
      </c>
      <c r="P330" s="531"/>
      <c r="Q330" s="531"/>
      <c r="R330" s="531"/>
      <c r="S330" s="531"/>
      <c r="T330" s="531"/>
      <c r="U330" s="531"/>
      <c r="V330" s="531"/>
      <c r="W330" s="531"/>
      <c r="X330" s="531"/>
      <c r="Y330" s="531"/>
      <c r="Z330" s="531"/>
      <c r="AA330" s="531"/>
      <c r="AB330" s="531"/>
      <c r="AC330" s="532" t="e">
        <f>IF(NFI_Expiration=1,IF(#REF!&lt;VLOOKUP(L$5,NFI,5,0),1,0)*Table_NFI[[#This Row],[NFI Core Kit]],Table_NFI[NFI Core Kit])</f>
        <v>#REF!</v>
      </c>
      <c r="AD330" s="532" t="e">
        <f>IF(NFI_Expiration=1,IF(#REF!&lt;VLOOKUP(M$5,NFI,5,0),1,0)*Table_NFI[[#This Row],[Sanitary Kit]],Table_NFI[Sanitary Kit])</f>
        <v>#REF!</v>
      </c>
      <c r="AE330" s="532" t="e">
        <f>IF(NFI_Expiration=1,IF(#REF!&lt;VLOOKUP(N$5,NFI,5,0),1,0)*Table_NFI[[#This Row],[Mosquito net]],Table_NFI[Mosquito net])</f>
        <v>#REF!</v>
      </c>
      <c r="AF330" s="532" t="e">
        <f>IF(NFI_Expiration=1,IF(#REF!&lt;VLOOKUP(O$5,NFI,5,0),1,0)*Table_NFI[[#This Row],[Tarpaulin]],Table_NFI[[#This Row],[Tarpaulin]])</f>
        <v>#REF!</v>
      </c>
      <c r="AG330" s="532" t="e">
        <f>IF(NFI_Expiration=1,IF(#REF!&lt;VLOOKUP(P$5,NFI,5,0),1,0)*Table_NFI[[#This Row],[Blanket]],Table_NFI[[#This Row],[Blanket]])</f>
        <v>#REF!</v>
      </c>
      <c r="AH330" s="532" t="e">
        <f>IF(NFI_Expiration=1,IF(#REF!&lt;VLOOKUP(Q$5,NFI,5,0),1,0)*Table_NFI[[#This Row],[Kitchen Set]],Table_NFI[Kitchen Set])</f>
        <v>#REF!</v>
      </c>
      <c r="AI330" s="532" t="e">
        <f>IF(NFI_Expiration=1,IF(#REF!&lt;VLOOKUP(R$5,NFI,5,0),1,0)*Table_NFI[[#This Row],[Clothes Kit]],Table_NFI[Clothes Kit])</f>
        <v>#REF!</v>
      </c>
      <c r="AJ330" s="532" t="e">
        <f>IF(NFI_Expiration=1,IF(#REF!&lt;VLOOKUP(S$5,NFI,5,0),1,0)*Table_NFI[[#This Row],[Plastic Bucket]],Table_NFI[Plastic Bucket])</f>
        <v>#REF!</v>
      </c>
      <c r="AK330" s="532" t="e">
        <f>IF(NFI_Expiration=1,IF(#REF!&lt;VLOOKUP(T$5,NFI,5,0),1,0)*Table_NFI[[#This Row],[Plastic Mat]],Table_NFI[Plastic Mat])*IF(Table_NFI[[#This Row],[Distribution Date]]&gt;"2014-04-01",1,2.5)</f>
        <v>#REF!</v>
      </c>
      <c r="AL330" s="532" t="e">
        <f>IF(NFI_Expiration=1,IF(#REF!&lt;VLOOKUP(U$5,NFI,5,0),1,0)*Table_NFI[[#This Row],[Winter Clothes Adult]],Table_NFI[Winter Clothes Adult])</f>
        <v>#REF!</v>
      </c>
      <c r="AM330" s="532"/>
      <c r="AN330" s="532"/>
      <c r="AO330" s="532"/>
      <c r="AP330" s="532">
        <f>IF(Table_NFI[[#This Row],[Winter Clothes Adult]]+Table_NFI[[#This Row],[Winter Clothes Children]]+Table_NFI[[#This Row],[Winter Items Other]]+Table_NFI[[#This Row],[Winter Blanket]]&gt;0,1,0)</f>
        <v>0</v>
      </c>
      <c r="AQ330" s="532"/>
      <c r="AR330" s="532"/>
      <c r="AS330" s="532"/>
      <c r="AT330" s="532"/>
      <c r="AU330" s="532"/>
      <c r="AV330" s="532"/>
      <c r="AW330" s="532"/>
      <c r="AX330" s="203" t="str">
        <f>IFERROR(VLOOKUP(Table_NFI[[#This Row],[Location]],CL,2,0),"")</f>
        <v>MMR001CMP030</v>
      </c>
      <c r="AZ330" s="524"/>
      <c r="DS330" s="181"/>
      <c r="DT330" s="181"/>
    </row>
    <row r="331" spans="2:124" hidden="1" x14ac:dyDescent="0.3">
      <c r="B331" s="530">
        <v>43304</v>
      </c>
      <c r="C331" s="530" t="str">
        <f>MONTH(Table_NFI[[#This Row],[Distribution Date]]) &amp; "/" &amp; YEAR(Table_NFI[[#This Row],[Distribution Date]])</f>
        <v>7/2018</v>
      </c>
      <c r="D331" s="196" t="s">
        <v>420</v>
      </c>
      <c r="E331" s="196"/>
      <c r="F331" s="196" t="s">
        <v>378</v>
      </c>
      <c r="G331" s="195" t="s">
        <v>173</v>
      </c>
      <c r="H331" s="196" t="s">
        <v>1626</v>
      </c>
      <c r="I331" s="181"/>
      <c r="J331" s="531"/>
      <c r="K331" s="531"/>
      <c r="L331" s="531">
        <v>1</v>
      </c>
      <c r="M331" s="531"/>
      <c r="N331" s="531">
        <v>8</v>
      </c>
      <c r="O331" s="531">
        <v>1</v>
      </c>
      <c r="P331" s="531">
        <v>3</v>
      </c>
      <c r="Q331" s="531">
        <v>3</v>
      </c>
      <c r="R331" s="531"/>
      <c r="S331" s="531">
        <v>1</v>
      </c>
      <c r="T331" s="531">
        <v>3</v>
      </c>
      <c r="U331" s="531"/>
      <c r="V331" s="531"/>
      <c r="W331" s="531"/>
      <c r="X331" s="531"/>
      <c r="Y331" s="531"/>
      <c r="Z331" s="531"/>
      <c r="AA331" s="531"/>
      <c r="AB331" s="531"/>
      <c r="AC331" s="532" t="e">
        <f>IF(NFI_Expiration=1,IF(#REF!&lt;VLOOKUP(L$5,NFI,5,0),1,0)*Table_NFI[[#This Row],[NFI Core Kit]],Table_NFI[NFI Core Kit])</f>
        <v>#REF!</v>
      </c>
      <c r="AD331" s="532" t="e">
        <f>IF(NFI_Expiration=1,IF(#REF!&lt;VLOOKUP(M$5,NFI,5,0),1,0)*Table_NFI[[#This Row],[Sanitary Kit]],Table_NFI[Sanitary Kit])</f>
        <v>#REF!</v>
      </c>
      <c r="AE331" s="532" t="e">
        <f>IF(NFI_Expiration=1,IF(#REF!&lt;VLOOKUP(N$5,NFI,5,0),1,0)*Table_NFI[[#This Row],[Mosquito net]],Table_NFI[Mosquito net])</f>
        <v>#REF!</v>
      </c>
      <c r="AF331" s="532" t="e">
        <f>IF(NFI_Expiration=1,IF(#REF!&lt;VLOOKUP(O$5,NFI,5,0),1,0)*Table_NFI[[#This Row],[Tarpaulin]],Table_NFI[[#This Row],[Tarpaulin]])</f>
        <v>#REF!</v>
      </c>
      <c r="AG331" s="532" t="e">
        <f>IF(NFI_Expiration=1,IF(#REF!&lt;VLOOKUP(P$5,NFI,5,0),1,0)*Table_NFI[[#This Row],[Blanket]],Table_NFI[[#This Row],[Blanket]])</f>
        <v>#REF!</v>
      </c>
      <c r="AH331" s="532" t="e">
        <f>IF(NFI_Expiration=1,IF(#REF!&lt;VLOOKUP(Q$5,NFI,5,0),1,0)*Table_NFI[[#This Row],[Kitchen Set]],Table_NFI[Kitchen Set])</f>
        <v>#REF!</v>
      </c>
      <c r="AI331" s="532" t="e">
        <f>IF(NFI_Expiration=1,IF(#REF!&lt;VLOOKUP(R$5,NFI,5,0),1,0)*Table_NFI[[#This Row],[Clothes Kit]],Table_NFI[Clothes Kit])</f>
        <v>#REF!</v>
      </c>
      <c r="AJ331" s="532" t="e">
        <f>IF(NFI_Expiration=1,IF(#REF!&lt;VLOOKUP(S$5,NFI,5,0),1,0)*Table_NFI[[#This Row],[Plastic Bucket]],Table_NFI[Plastic Bucket])</f>
        <v>#REF!</v>
      </c>
      <c r="AK331" s="532" t="e">
        <f>IF(NFI_Expiration=1,IF(#REF!&lt;VLOOKUP(T$5,NFI,5,0),1,0)*Table_NFI[[#This Row],[Plastic Mat]],Table_NFI[Plastic Mat])*IF(Table_NFI[[#This Row],[Distribution Date]]&gt;"2014-04-01",1,2.5)</f>
        <v>#REF!</v>
      </c>
      <c r="AL331" s="532" t="e">
        <f>IF(NFI_Expiration=1,IF(#REF!&lt;VLOOKUP(U$5,NFI,5,0),1,0)*Table_NFI[[#This Row],[Winter Clothes Adult]],Table_NFI[Winter Clothes Adult])</f>
        <v>#REF!</v>
      </c>
      <c r="AM331" s="532"/>
      <c r="AN331" s="532"/>
      <c r="AO331" s="532"/>
      <c r="AP331" s="532">
        <f>IF(Table_NFI[[#This Row],[Winter Clothes Adult]]+Table_NFI[[#This Row],[Winter Clothes Children]]+Table_NFI[[#This Row],[Winter Items Other]]+Table_NFI[[#This Row],[Winter Blanket]]&gt;0,1,0)</f>
        <v>0</v>
      </c>
      <c r="AQ331" s="532"/>
      <c r="AR331" s="532"/>
      <c r="AS331" s="532"/>
      <c r="AT331" s="532"/>
      <c r="AU331" s="532"/>
      <c r="AV331" s="532"/>
      <c r="AW331" s="532"/>
      <c r="AX331" s="203" t="str">
        <f>IFERROR(VLOOKUP(Table_NFI[[#This Row],[Location]],CL,2,0),"")</f>
        <v>MMR001CMP259</v>
      </c>
      <c r="AZ331" s="524"/>
      <c r="DS331" s="181"/>
      <c r="DT331" s="181"/>
    </row>
    <row r="332" spans="2:124" hidden="1" x14ac:dyDescent="0.3">
      <c r="B332" s="530">
        <v>43311</v>
      </c>
      <c r="C332" s="530" t="str">
        <f>MONTH(Table_NFI[[#This Row],[Distribution Date]]) &amp; "/" &amp; YEAR(Table_NFI[[#This Row],[Distribution Date]])</f>
        <v>7/2018</v>
      </c>
      <c r="D332" s="196" t="s">
        <v>420</v>
      </c>
      <c r="E332" s="196"/>
      <c r="F332" s="196" t="s">
        <v>378</v>
      </c>
      <c r="G332" s="195" t="s">
        <v>173</v>
      </c>
      <c r="H332" s="175" t="s">
        <v>1627</v>
      </c>
      <c r="I332" s="181"/>
      <c r="J332" s="531"/>
      <c r="K332" s="531"/>
      <c r="L332" s="531"/>
      <c r="M332" s="531"/>
      <c r="N332" s="531"/>
      <c r="O332" s="531"/>
      <c r="P332" s="531"/>
      <c r="Q332" s="531">
        <v>1</v>
      </c>
      <c r="R332" s="531"/>
      <c r="S332" s="531"/>
      <c r="T332" s="531">
        <v>5</v>
      </c>
      <c r="U332" s="531"/>
      <c r="V332" s="531"/>
      <c r="W332" s="531"/>
      <c r="X332" s="531"/>
      <c r="Y332" s="531"/>
      <c r="Z332" s="531"/>
      <c r="AA332" s="531"/>
      <c r="AB332" s="531"/>
      <c r="AC332" s="532" t="e">
        <f>IF(NFI_Expiration=1,IF(#REF!&lt;VLOOKUP(L$5,NFI,5,0),1,0)*Table_NFI[[#This Row],[NFI Core Kit]],Table_NFI[NFI Core Kit])</f>
        <v>#REF!</v>
      </c>
      <c r="AD332" s="532" t="e">
        <f>IF(NFI_Expiration=1,IF(#REF!&lt;VLOOKUP(M$5,NFI,5,0),1,0)*Table_NFI[[#This Row],[Sanitary Kit]],Table_NFI[Sanitary Kit])</f>
        <v>#REF!</v>
      </c>
      <c r="AE332" s="532" t="e">
        <f>IF(NFI_Expiration=1,IF(#REF!&lt;VLOOKUP(N$5,NFI,5,0),1,0)*Table_NFI[[#This Row],[Mosquito net]],Table_NFI[Mosquito net])</f>
        <v>#REF!</v>
      </c>
      <c r="AF332" s="532" t="e">
        <f>IF(NFI_Expiration=1,IF(#REF!&lt;VLOOKUP(O$5,NFI,5,0),1,0)*Table_NFI[[#This Row],[Tarpaulin]],Table_NFI[[#This Row],[Tarpaulin]])</f>
        <v>#REF!</v>
      </c>
      <c r="AG332" s="532" t="e">
        <f>IF(NFI_Expiration=1,IF(#REF!&lt;VLOOKUP(P$5,NFI,5,0),1,0)*Table_NFI[[#This Row],[Blanket]],Table_NFI[[#This Row],[Blanket]])</f>
        <v>#REF!</v>
      </c>
      <c r="AH332" s="532" t="e">
        <f>IF(NFI_Expiration=1,IF(#REF!&lt;VLOOKUP(Q$5,NFI,5,0),1,0)*Table_NFI[[#This Row],[Kitchen Set]],Table_NFI[Kitchen Set])</f>
        <v>#REF!</v>
      </c>
      <c r="AI332" s="532" t="e">
        <f>IF(NFI_Expiration=1,IF(#REF!&lt;VLOOKUP(R$5,NFI,5,0),1,0)*Table_NFI[[#This Row],[Clothes Kit]],Table_NFI[Clothes Kit])</f>
        <v>#REF!</v>
      </c>
      <c r="AJ332" s="532" t="e">
        <f>IF(NFI_Expiration=1,IF(#REF!&lt;VLOOKUP(S$5,NFI,5,0),1,0)*Table_NFI[[#This Row],[Plastic Bucket]],Table_NFI[Plastic Bucket])</f>
        <v>#REF!</v>
      </c>
      <c r="AK332" s="532" t="e">
        <f>IF(NFI_Expiration=1,IF(#REF!&lt;VLOOKUP(T$5,NFI,5,0),1,0)*Table_NFI[[#This Row],[Plastic Mat]],Table_NFI[Plastic Mat])*IF(Table_NFI[[#This Row],[Distribution Date]]&gt;"2014-04-01",1,2.5)</f>
        <v>#REF!</v>
      </c>
      <c r="AL332" s="532" t="e">
        <f>IF(NFI_Expiration=1,IF(#REF!&lt;VLOOKUP(U$5,NFI,5,0),1,0)*Table_NFI[[#This Row],[Winter Clothes Adult]],Table_NFI[Winter Clothes Adult])</f>
        <v>#REF!</v>
      </c>
      <c r="AM332" s="532"/>
      <c r="AN332" s="532"/>
      <c r="AO332" s="532"/>
      <c r="AP332" s="532">
        <f>IF(Table_NFI[[#This Row],[Winter Clothes Adult]]+Table_NFI[[#This Row],[Winter Clothes Children]]+Table_NFI[[#This Row],[Winter Items Other]]+Table_NFI[[#This Row],[Winter Blanket]]&gt;0,1,0)</f>
        <v>0</v>
      </c>
      <c r="AQ332" s="532"/>
      <c r="AR332" s="532"/>
      <c r="AS332" s="532"/>
      <c r="AT332" s="532"/>
      <c r="AU332" s="532"/>
      <c r="AV332" s="532"/>
      <c r="AW332" s="532"/>
      <c r="AX332" s="203" t="str">
        <f>IFERROR(VLOOKUP(Table_NFI[[#This Row],[Location]],CL,2,0),"")</f>
        <v>MMR001CMP260</v>
      </c>
      <c r="AZ332" s="524"/>
      <c r="DS332" s="181"/>
      <c r="DT332" s="181"/>
    </row>
    <row r="333" spans="2:124" hidden="1" x14ac:dyDescent="0.3">
      <c r="B333" s="530">
        <v>43311</v>
      </c>
      <c r="C333" s="530" t="str">
        <f>MONTH(Table_NFI[[#This Row],[Distribution Date]]) &amp; "/" &amp; YEAR(Table_NFI[[#This Row],[Distribution Date]])</f>
        <v>7/2018</v>
      </c>
      <c r="D333" s="196" t="s">
        <v>420</v>
      </c>
      <c r="E333" s="196"/>
      <c r="F333" s="196" t="s">
        <v>378</v>
      </c>
      <c r="G333" s="195" t="s">
        <v>173</v>
      </c>
      <c r="H333" s="175" t="s">
        <v>1629</v>
      </c>
      <c r="I333" s="181"/>
      <c r="J333" s="531"/>
      <c r="K333" s="531"/>
      <c r="L333" s="531"/>
      <c r="M333" s="531"/>
      <c r="N333" s="531"/>
      <c r="O333" s="531"/>
      <c r="P333" s="531">
        <v>1</v>
      </c>
      <c r="Q333" s="531"/>
      <c r="R333" s="531"/>
      <c r="S333" s="531"/>
      <c r="T333" s="531"/>
      <c r="U333" s="531"/>
      <c r="V333" s="531"/>
      <c r="W333" s="531"/>
      <c r="X333" s="531"/>
      <c r="Y333" s="531"/>
      <c r="Z333" s="531"/>
      <c r="AA333" s="531"/>
      <c r="AB333" s="531"/>
      <c r="AC333" s="532" t="e">
        <f>IF(NFI_Expiration=1,IF(#REF!&lt;VLOOKUP(L$5,NFI,5,0),1,0)*Table_NFI[[#This Row],[NFI Core Kit]],Table_NFI[NFI Core Kit])</f>
        <v>#REF!</v>
      </c>
      <c r="AD333" s="532" t="e">
        <f>IF(NFI_Expiration=1,IF(#REF!&lt;VLOOKUP(M$5,NFI,5,0),1,0)*Table_NFI[[#This Row],[Sanitary Kit]],Table_NFI[Sanitary Kit])</f>
        <v>#REF!</v>
      </c>
      <c r="AE333" s="532" t="e">
        <f>IF(NFI_Expiration=1,IF(#REF!&lt;VLOOKUP(N$5,NFI,5,0),1,0)*Table_NFI[[#This Row],[Mosquito net]],Table_NFI[Mosquito net])</f>
        <v>#REF!</v>
      </c>
      <c r="AF333" s="532" t="e">
        <f>IF(NFI_Expiration=1,IF(#REF!&lt;VLOOKUP(O$5,NFI,5,0),1,0)*Table_NFI[[#This Row],[Tarpaulin]],Table_NFI[[#This Row],[Tarpaulin]])</f>
        <v>#REF!</v>
      </c>
      <c r="AG333" s="532" t="e">
        <f>IF(NFI_Expiration=1,IF(#REF!&lt;VLOOKUP(P$5,NFI,5,0),1,0)*Table_NFI[[#This Row],[Blanket]],Table_NFI[[#This Row],[Blanket]])</f>
        <v>#REF!</v>
      </c>
      <c r="AH333" s="532" t="e">
        <f>IF(NFI_Expiration=1,IF(#REF!&lt;VLOOKUP(Q$5,NFI,5,0),1,0)*Table_NFI[[#This Row],[Kitchen Set]],Table_NFI[Kitchen Set])</f>
        <v>#REF!</v>
      </c>
      <c r="AI333" s="532" t="e">
        <f>IF(NFI_Expiration=1,IF(#REF!&lt;VLOOKUP(R$5,NFI,5,0),1,0)*Table_NFI[[#This Row],[Clothes Kit]],Table_NFI[Clothes Kit])</f>
        <v>#REF!</v>
      </c>
      <c r="AJ333" s="532" t="e">
        <f>IF(NFI_Expiration=1,IF(#REF!&lt;VLOOKUP(S$5,NFI,5,0),1,0)*Table_NFI[[#This Row],[Plastic Bucket]],Table_NFI[Plastic Bucket])</f>
        <v>#REF!</v>
      </c>
      <c r="AK333" s="532" t="e">
        <f>IF(NFI_Expiration=1,IF(#REF!&lt;VLOOKUP(T$5,NFI,5,0),1,0)*Table_NFI[[#This Row],[Plastic Mat]],Table_NFI[Plastic Mat])*IF(Table_NFI[[#This Row],[Distribution Date]]&gt;"2014-04-01",1,2.5)</f>
        <v>#REF!</v>
      </c>
      <c r="AL333" s="532" t="e">
        <f>IF(NFI_Expiration=1,IF(#REF!&lt;VLOOKUP(U$5,NFI,5,0),1,0)*Table_NFI[[#This Row],[Winter Clothes Adult]],Table_NFI[Winter Clothes Adult])</f>
        <v>#REF!</v>
      </c>
      <c r="AM333" s="532"/>
      <c r="AN333" s="532"/>
      <c r="AO333" s="532"/>
      <c r="AP333" s="532">
        <f>IF(Table_NFI[[#This Row],[Winter Clothes Adult]]+Table_NFI[[#This Row],[Winter Clothes Children]]+Table_NFI[[#This Row],[Winter Items Other]]+Table_NFI[[#This Row],[Winter Blanket]]&gt;0,1,0)</f>
        <v>0</v>
      </c>
      <c r="AQ333" s="532"/>
      <c r="AR333" s="532"/>
      <c r="AS333" s="532"/>
      <c r="AT333" s="532"/>
      <c r="AU333" s="532"/>
      <c r="AV333" s="532"/>
      <c r="AW333" s="532"/>
      <c r="AX333" s="203" t="str">
        <f>IFERROR(VLOOKUP(Table_NFI[[#This Row],[Location]],CL,2,0),"")</f>
        <v>MMR001CMP262</v>
      </c>
      <c r="AZ333" s="524"/>
      <c r="DS333" s="181"/>
      <c r="DT333" s="181"/>
    </row>
    <row r="334" spans="2:124" hidden="1" x14ac:dyDescent="0.3">
      <c r="B334" s="530">
        <v>43311</v>
      </c>
      <c r="C334" s="530" t="str">
        <f>MONTH(Table_NFI[[#This Row],[Distribution Date]]) &amp; "/" &amp; YEAR(Table_NFI[[#This Row],[Distribution Date]])</f>
        <v>7/2018</v>
      </c>
      <c r="D334" s="196" t="s">
        <v>420</v>
      </c>
      <c r="E334" s="196"/>
      <c r="F334" s="196" t="s">
        <v>378</v>
      </c>
      <c r="G334" s="195" t="s">
        <v>173</v>
      </c>
      <c r="H334" s="175" t="s">
        <v>1687</v>
      </c>
      <c r="I334" s="181"/>
      <c r="J334" s="531"/>
      <c r="K334" s="531"/>
      <c r="L334" s="531"/>
      <c r="M334" s="531"/>
      <c r="N334" s="531">
        <v>6</v>
      </c>
      <c r="O334" s="531"/>
      <c r="P334" s="531"/>
      <c r="Q334" s="531"/>
      <c r="R334" s="531"/>
      <c r="S334" s="531"/>
      <c r="T334" s="531">
        <v>21</v>
      </c>
      <c r="U334" s="531"/>
      <c r="V334" s="531"/>
      <c r="W334" s="531"/>
      <c r="X334" s="531"/>
      <c r="Y334" s="531"/>
      <c r="Z334" s="531"/>
      <c r="AA334" s="531"/>
      <c r="AB334" s="531"/>
      <c r="AC334" s="532" t="e">
        <f>IF(NFI_Expiration=1,IF(#REF!&lt;VLOOKUP(L$5,NFI,5,0),1,0)*Table_NFI[[#This Row],[NFI Core Kit]],Table_NFI[NFI Core Kit])</f>
        <v>#REF!</v>
      </c>
      <c r="AD334" s="532" t="e">
        <f>IF(NFI_Expiration=1,IF(#REF!&lt;VLOOKUP(M$5,NFI,5,0),1,0)*Table_NFI[[#This Row],[Sanitary Kit]],Table_NFI[Sanitary Kit])</f>
        <v>#REF!</v>
      </c>
      <c r="AE334" s="532" t="e">
        <f>IF(NFI_Expiration=1,IF(#REF!&lt;VLOOKUP(N$5,NFI,5,0),1,0)*Table_NFI[[#This Row],[Mosquito net]],Table_NFI[Mosquito net])</f>
        <v>#REF!</v>
      </c>
      <c r="AF334" s="532" t="e">
        <f>IF(NFI_Expiration=1,IF(#REF!&lt;VLOOKUP(O$5,NFI,5,0),1,0)*Table_NFI[[#This Row],[Tarpaulin]],Table_NFI[[#This Row],[Tarpaulin]])</f>
        <v>#REF!</v>
      </c>
      <c r="AG334" s="532" t="e">
        <f>IF(NFI_Expiration=1,IF(#REF!&lt;VLOOKUP(P$5,NFI,5,0),1,0)*Table_NFI[[#This Row],[Blanket]],Table_NFI[[#This Row],[Blanket]])</f>
        <v>#REF!</v>
      </c>
      <c r="AH334" s="532" t="e">
        <f>IF(NFI_Expiration=1,IF(#REF!&lt;VLOOKUP(Q$5,NFI,5,0),1,0)*Table_NFI[[#This Row],[Kitchen Set]],Table_NFI[Kitchen Set])</f>
        <v>#REF!</v>
      </c>
      <c r="AI334" s="532" t="e">
        <f>IF(NFI_Expiration=1,IF(#REF!&lt;VLOOKUP(R$5,NFI,5,0),1,0)*Table_NFI[[#This Row],[Clothes Kit]],Table_NFI[Clothes Kit])</f>
        <v>#REF!</v>
      </c>
      <c r="AJ334" s="532" t="e">
        <f>IF(NFI_Expiration=1,IF(#REF!&lt;VLOOKUP(S$5,NFI,5,0),1,0)*Table_NFI[[#This Row],[Plastic Bucket]],Table_NFI[Plastic Bucket])</f>
        <v>#REF!</v>
      </c>
      <c r="AK334" s="532" t="e">
        <f>IF(NFI_Expiration=1,IF(#REF!&lt;VLOOKUP(T$5,NFI,5,0),1,0)*Table_NFI[[#This Row],[Plastic Mat]],Table_NFI[Plastic Mat])*IF(Table_NFI[[#This Row],[Distribution Date]]&gt;"2014-04-01",1,2.5)</f>
        <v>#REF!</v>
      </c>
      <c r="AL334" s="532" t="e">
        <f>IF(NFI_Expiration=1,IF(#REF!&lt;VLOOKUP(U$5,NFI,5,0),1,0)*Table_NFI[[#This Row],[Winter Clothes Adult]],Table_NFI[Winter Clothes Adult])</f>
        <v>#REF!</v>
      </c>
      <c r="AM334" s="532"/>
      <c r="AN334" s="532"/>
      <c r="AO334" s="532"/>
      <c r="AP334" s="532">
        <f>IF(Table_NFI[[#This Row],[Winter Clothes Adult]]+Table_NFI[[#This Row],[Winter Clothes Children]]+Table_NFI[[#This Row],[Winter Items Other]]+Table_NFI[[#This Row],[Winter Blanket]]&gt;0,1,0)</f>
        <v>0</v>
      </c>
      <c r="AQ334" s="532"/>
      <c r="AR334" s="532"/>
      <c r="AS334" s="532"/>
      <c r="AT334" s="532"/>
      <c r="AU334" s="532"/>
      <c r="AV334" s="532"/>
      <c r="AW334" s="532"/>
      <c r="AX334" s="203" t="str">
        <f>IFERROR(VLOOKUP(Table_NFI[[#This Row],[Location]],CL,2,0),"")</f>
        <v>MMR001CMP261</v>
      </c>
      <c r="AZ334" s="524"/>
      <c r="DS334" s="181"/>
      <c r="DT334" s="181"/>
    </row>
    <row r="335" spans="2:124" hidden="1" x14ac:dyDescent="0.3">
      <c r="B335" s="530">
        <v>43311</v>
      </c>
      <c r="C335" s="530" t="str">
        <f>MONTH(Table_NFI[[#This Row],[Distribution Date]]) &amp; "/" &amp; YEAR(Table_NFI[[#This Row],[Distribution Date]])</f>
        <v>7/2018</v>
      </c>
      <c r="D335" s="196" t="s">
        <v>420</v>
      </c>
      <c r="E335" s="196" t="s">
        <v>424</v>
      </c>
      <c r="F335" s="196" t="s">
        <v>506</v>
      </c>
      <c r="G335" s="195" t="s">
        <v>146</v>
      </c>
      <c r="H335" s="196" t="s">
        <v>149</v>
      </c>
      <c r="I335" s="181"/>
      <c r="J335" s="531"/>
      <c r="K335" s="531"/>
      <c r="L335" s="531"/>
      <c r="M335" s="531"/>
      <c r="N335" s="531"/>
      <c r="O335" s="531"/>
      <c r="P335" s="531">
        <v>20</v>
      </c>
      <c r="Q335" s="531"/>
      <c r="R335" s="531"/>
      <c r="S335" s="531"/>
      <c r="T335" s="531">
        <v>37</v>
      </c>
      <c r="U335" s="531"/>
      <c r="V335" s="531"/>
      <c r="W335" s="531"/>
      <c r="X335" s="531"/>
      <c r="Y335" s="531"/>
      <c r="Z335" s="531"/>
      <c r="AA335" s="531"/>
      <c r="AB335" s="531"/>
      <c r="AC335" s="532" t="e">
        <f>IF(NFI_Expiration=1,IF(#REF!&lt;VLOOKUP(L$5,NFI,5,0),1,0)*Table_NFI[[#This Row],[NFI Core Kit]],Table_NFI[NFI Core Kit])</f>
        <v>#REF!</v>
      </c>
      <c r="AD335" s="532" t="e">
        <f>IF(NFI_Expiration=1,IF(#REF!&lt;VLOOKUP(M$5,NFI,5,0),1,0)*Table_NFI[[#This Row],[Sanitary Kit]],Table_NFI[Sanitary Kit])</f>
        <v>#REF!</v>
      </c>
      <c r="AE335" s="532" t="e">
        <f>IF(NFI_Expiration=1,IF(#REF!&lt;VLOOKUP(N$5,NFI,5,0),1,0)*Table_NFI[[#This Row],[Mosquito net]],Table_NFI[Mosquito net])</f>
        <v>#REF!</v>
      </c>
      <c r="AF335" s="532" t="e">
        <f>IF(NFI_Expiration=1,IF(#REF!&lt;VLOOKUP(O$5,NFI,5,0),1,0)*Table_NFI[[#This Row],[Tarpaulin]],Table_NFI[[#This Row],[Tarpaulin]])</f>
        <v>#REF!</v>
      </c>
      <c r="AG335" s="532" t="e">
        <f>IF(NFI_Expiration=1,IF(#REF!&lt;VLOOKUP(P$5,NFI,5,0),1,0)*Table_NFI[[#This Row],[Blanket]],Table_NFI[[#This Row],[Blanket]])</f>
        <v>#REF!</v>
      </c>
      <c r="AH335" s="532" t="e">
        <f>IF(NFI_Expiration=1,IF(#REF!&lt;VLOOKUP(Q$5,NFI,5,0),1,0)*Table_NFI[[#This Row],[Kitchen Set]],Table_NFI[Kitchen Set])</f>
        <v>#REF!</v>
      </c>
      <c r="AI335" s="532" t="e">
        <f>IF(NFI_Expiration=1,IF(#REF!&lt;VLOOKUP(R$5,NFI,5,0),1,0)*Table_NFI[[#This Row],[Clothes Kit]],Table_NFI[Clothes Kit])</f>
        <v>#REF!</v>
      </c>
      <c r="AJ335" s="532" t="e">
        <f>IF(NFI_Expiration=1,IF(#REF!&lt;VLOOKUP(S$5,NFI,5,0),1,0)*Table_NFI[[#This Row],[Plastic Bucket]],Table_NFI[Plastic Bucket])</f>
        <v>#REF!</v>
      </c>
      <c r="AK335" s="532" t="e">
        <f>IF(NFI_Expiration=1,IF(#REF!&lt;VLOOKUP(T$5,NFI,5,0),1,0)*Table_NFI[[#This Row],[Plastic Mat]],Table_NFI[Plastic Mat])*IF(Table_NFI[[#This Row],[Distribution Date]]&gt;"2014-04-01",1,2.5)</f>
        <v>#REF!</v>
      </c>
      <c r="AL335" s="532" t="e">
        <f>IF(NFI_Expiration=1,IF(#REF!&lt;VLOOKUP(U$5,NFI,5,0),1,0)*Table_NFI[[#This Row],[Winter Clothes Adult]],Table_NFI[Winter Clothes Adult])</f>
        <v>#REF!</v>
      </c>
      <c r="AM335" s="532"/>
      <c r="AN335" s="532"/>
      <c r="AO335" s="532"/>
      <c r="AP335" s="532">
        <f>IF(Table_NFI[[#This Row],[Winter Clothes Adult]]+Table_NFI[[#This Row],[Winter Clothes Children]]+Table_NFI[[#This Row],[Winter Items Other]]+Table_NFI[[#This Row],[Winter Blanket]]&gt;0,1,0)</f>
        <v>0</v>
      </c>
      <c r="AQ335" s="532"/>
      <c r="AR335" s="532"/>
      <c r="AS335" s="532"/>
      <c r="AT335" s="532"/>
      <c r="AU335" s="532"/>
      <c r="AV335" s="532"/>
      <c r="AW335" s="532"/>
      <c r="AX335" s="203" t="str">
        <f>IFERROR(VLOOKUP(Table_NFI[[#This Row],[Location]],CL,2,0),"")</f>
        <v>MMR015CMP007</v>
      </c>
      <c r="AZ335" s="524"/>
      <c r="DS335" s="181"/>
      <c r="DT335" s="181"/>
    </row>
    <row r="336" spans="2:124" hidden="1" x14ac:dyDescent="0.3">
      <c r="B336" s="530">
        <v>43311</v>
      </c>
      <c r="C336" s="530" t="str">
        <f>MONTH(Table_NFI[[#This Row],[Distribution Date]]) &amp; "/" &amp; YEAR(Table_NFI[[#This Row],[Distribution Date]])</f>
        <v>7/2018</v>
      </c>
      <c r="D336" s="196" t="s">
        <v>420</v>
      </c>
      <c r="E336" s="196" t="s">
        <v>424</v>
      </c>
      <c r="F336" s="196" t="s">
        <v>506</v>
      </c>
      <c r="G336" s="195" t="s">
        <v>146</v>
      </c>
      <c r="H336" s="196" t="s">
        <v>1589</v>
      </c>
      <c r="I336" s="181"/>
      <c r="J336" s="531"/>
      <c r="K336" s="531"/>
      <c r="L336" s="531"/>
      <c r="M336" s="531"/>
      <c r="N336" s="531"/>
      <c r="O336" s="531"/>
      <c r="P336" s="531">
        <v>20</v>
      </c>
      <c r="Q336" s="531"/>
      <c r="R336" s="531"/>
      <c r="S336" s="531"/>
      <c r="T336" s="531">
        <v>56</v>
      </c>
      <c r="U336" s="531"/>
      <c r="V336" s="531"/>
      <c r="W336" s="531"/>
      <c r="X336" s="531"/>
      <c r="Y336" s="531"/>
      <c r="Z336" s="531"/>
      <c r="AA336" s="531"/>
      <c r="AB336" s="531"/>
      <c r="AC336" s="532" t="e">
        <f>IF(NFI_Expiration=1,IF(#REF!&lt;VLOOKUP(L$5,NFI,5,0),1,0)*Table_NFI[[#This Row],[NFI Core Kit]],Table_NFI[NFI Core Kit])</f>
        <v>#REF!</v>
      </c>
      <c r="AD336" s="532" t="e">
        <f>IF(NFI_Expiration=1,IF(#REF!&lt;VLOOKUP(M$5,NFI,5,0),1,0)*Table_NFI[[#This Row],[Sanitary Kit]],Table_NFI[Sanitary Kit])</f>
        <v>#REF!</v>
      </c>
      <c r="AE336" s="532" t="e">
        <f>IF(NFI_Expiration=1,IF(#REF!&lt;VLOOKUP(N$5,NFI,5,0),1,0)*Table_NFI[[#This Row],[Mosquito net]],Table_NFI[Mosquito net])</f>
        <v>#REF!</v>
      </c>
      <c r="AF336" s="532" t="e">
        <f>IF(NFI_Expiration=1,IF(#REF!&lt;VLOOKUP(O$5,NFI,5,0),1,0)*Table_NFI[[#This Row],[Tarpaulin]],Table_NFI[[#This Row],[Tarpaulin]])</f>
        <v>#REF!</v>
      </c>
      <c r="AG336" s="532" t="e">
        <f>IF(NFI_Expiration=1,IF(#REF!&lt;VLOOKUP(P$5,NFI,5,0),1,0)*Table_NFI[[#This Row],[Blanket]],Table_NFI[[#This Row],[Blanket]])</f>
        <v>#REF!</v>
      </c>
      <c r="AH336" s="532" t="e">
        <f>IF(NFI_Expiration=1,IF(#REF!&lt;VLOOKUP(Q$5,NFI,5,0),1,0)*Table_NFI[[#This Row],[Kitchen Set]],Table_NFI[Kitchen Set])</f>
        <v>#REF!</v>
      </c>
      <c r="AI336" s="532" t="e">
        <f>IF(NFI_Expiration=1,IF(#REF!&lt;VLOOKUP(R$5,NFI,5,0),1,0)*Table_NFI[[#This Row],[Clothes Kit]],Table_NFI[Clothes Kit])</f>
        <v>#REF!</v>
      </c>
      <c r="AJ336" s="532" t="e">
        <f>IF(NFI_Expiration=1,IF(#REF!&lt;VLOOKUP(S$5,NFI,5,0),1,0)*Table_NFI[[#This Row],[Plastic Bucket]],Table_NFI[Plastic Bucket])</f>
        <v>#REF!</v>
      </c>
      <c r="AK336" s="532" t="e">
        <f>IF(NFI_Expiration=1,IF(#REF!&lt;VLOOKUP(T$5,NFI,5,0),1,0)*Table_NFI[[#This Row],[Plastic Mat]],Table_NFI[Plastic Mat])*IF(Table_NFI[[#This Row],[Distribution Date]]&gt;"2014-04-01",1,2.5)</f>
        <v>#REF!</v>
      </c>
      <c r="AL336" s="532" t="e">
        <f>IF(NFI_Expiration=1,IF(#REF!&lt;VLOOKUP(U$5,NFI,5,0),1,0)*Table_NFI[[#This Row],[Winter Clothes Adult]],Table_NFI[Winter Clothes Adult])</f>
        <v>#REF!</v>
      </c>
      <c r="AM336" s="532"/>
      <c r="AN336" s="532"/>
      <c r="AO336" s="532"/>
      <c r="AP336" s="532">
        <f>IF(Table_NFI[[#This Row],[Winter Clothes Adult]]+Table_NFI[[#This Row],[Winter Clothes Children]]+Table_NFI[[#This Row],[Winter Items Other]]+Table_NFI[[#This Row],[Winter Blanket]]&gt;0,1,0)</f>
        <v>0</v>
      </c>
      <c r="AQ336" s="532"/>
      <c r="AR336" s="532"/>
      <c r="AS336" s="532"/>
      <c r="AT336" s="532"/>
      <c r="AU336" s="532"/>
      <c r="AV336" s="532"/>
      <c r="AW336" s="532"/>
      <c r="AX336" s="203" t="str">
        <f>IFERROR(VLOOKUP(Table_NFI[[#This Row],[Location]],CL,2,0),"")</f>
        <v>MMR015CMP018</v>
      </c>
      <c r="AZ336" s="524"/>
      <c r="DS336" s="181"/>
      <c r="DT336" s="181"/>
    </row>
    <row r="337" spans="2:124" hidden="1" x14ac:dyDescent="0.3">
      <c r="B337" s="530">
        <v>43311</v>
      </c>
      <c r="C337" s="530" t="str">
        <f>MONTH(Table_NFI[[#This Row],[Distribution Date]]) &amp; "/" &amp; YEAR(Table_NFI[[#This Row],[Distribution Date]])</f>
        <v>7/2018</v>
      </c>
      <c r="D337" s="196" t="s">
        <v>420</v>
      </c>
      <c r="E337" s="196" t="s">
        <v>424</v>
      </c>
      <c r="F337" s="196" t="s">
        <v>506</v>
      </c>
      <c r="G337" s="195" t="s">
        <v>146</v>
      </c>
      <c r="H337" s="196" t="s">
        <v>1590</v>
      </c>
      <c r="I337" s="181"/>
      <c r="J337" s="531"/>
      <c r="K337" s="531"/>
      <c r="L337" s="531"/>
      <c r="M337" s="531"/>
      <c r="N337" s="531"/>
      <c r="O337" s="531"/>
      <c r="P337" s="531">
        <v>30</v>
      </c>
      <c r="Q337" s="531"/>
      <c r="R337" s="531"/>
      <c r="S337" s="531"/>
      <c r="T337" s="531">
        <v>55</v>
      </c>
      <c r="U337" s="531"/>
      <c r="V337" s="531"/>
      <c r="W337" s="531"/>
      <c r="X337" s="531"/>
      <c r="Y337" s="531"/>
      <c r="Z337" s="531"/>
      <c r="AA337" s="531"/>
      <c r="AB337" s="531"/>
      <c r="AC337" s="532" t="e">
        <f>IF(NFI_Expiration=1,IF(#REF!&lt;VLOOKUP(L$5,NFI,5,0),1,0)*Table_NFI[[#This Row],[NFI Core Kit]],Table_NFI[NFI Core Kit])</f>
        <v>#REF!</v>
      </c>
      <c r="AD337" s="532" t="e">
        <f>IF(NFI_Expiration=1,IF(#REF!&lt;VLOOKUP(M$5,NFI,5,0),1,0)*Table_NFI[[#This Row],[Sanitary Kit]],Table_NFI[Sanitary Kit])</f>
        <v>#REF!</v>
      </c>
      <c r="AE337" s="532" t="e">
        <f>IF(NFI_Expiration=1,IF(#REF!&lt;VLOOKUP(N$5,NFI,5,0),1,0)*Table_NFI[[#This Row],[Mosquito net]],Table_NFI[Mosquito net])</f>
        <v>#REF!</v>
      </c>
      <c r="AF337" s="532" t="e">
        <f>IF(NFI_Expiration=1,IF(#REF!&lt;VLOOKUP(O$5,NFI,5,0),1,0)*Table_NFI[[#This Row],[Tarpaulin]],Table_NFI[[#This Row],[Tarpaulin]])</f>
        <v>#REF!</v>
      </c>
      <c r="AG337" s="532" t="e">
        <f>IF(NFI_Expiration=1,IF(#REF!&lt;VLOOKUP(P$5,NFI,5,0),1,0)*Table_NFI[[#This Row],[Blanket]],Table_NFI[[#This Row],[Blanket]])</f>
        <v>#REF!</v>
      </c>
      <c r="AH337" s="532" t="e">
        <f>IF(NFI_Expiration=1,IF(#REF!&lt;VLOOKUP(Q$5,NFI,5,0),1,0)*Table_NFI[[#This Row],[Kitchen Set]],Table_NFI[Kitchen Set])</f>
        <v>#REF!</v>
      </c>
      <c r="AI337" s="532" t="e">
        <f>IF(NFI_Expiration=1,IF(#REF!&lt;VLOOKUP(R$5,NFI,5,0),1,0)*Table_NFI[[#This Row],[Clothes Kit]],Table_NFI[Clothes Kit])</f>
        <v>#REF!</v>
      </c>
      <c r="AJ337" s="532" t="e">
        <f>IF(NFI_Expiration=1,IF(#REF!&lt;VLOOKUP(S$5,NFI,5,0),1,0)*Table_NFI[[#This Row],[Plastic Bucket]],Table_NFI[Plastic Bucket])</f>
        <v>#REF!</v>
      </c>
      <c r="AK337" s="532" t="e">
        <f>IF(NFI_Expiration=1,IF(#REF!&lt;VLOOKUP(T$5,NFI,5,0),1,0)*Table_NFI[[#This Row],[Plastic Mat]],Table_NFI[Plastic Mat])*IF(Table_NFI[[#This Row],[Distribution Date]]&gt;"2014-04-01",1,2.5)</f>
        <v>#REF!</v>
      </c>
      <c r="AL337" s="532" t="e">
        <f>IF(NFI_Expiration=1,IF(#REF!&lt;VLOOKUP(U$5,NFI,5,0),1,0)*Table_NFI[[#This Row],[Winter Clothes Adult]],Table_NFI[Winter Clothes Adult])</f>
        <v>#REF!</v>
      </c>
      <c r="AM337" s="532"/>
      <c r="AN337" s="532"/>
      <c r="AO337" s="532"/>
      <c r="AP337" s="532">
        <f>IF(Table_NFI[[#This Row],[Winter Clothes Adult]]+Table_NFI[[#This Row],[Winter Clothes Children]]+Table_NFI[[#This Row],[Winter Items Other]]+Table_NFI[[#This Row],[Winter Blanket]]&gt;0,1,0)</f>
        <v>0</v>
      </c>
      <c r="AQ337" s="532"/>
      <c r="AR337" s="532"/>
      <c r="AS337" s="532"/>
      <c r="AT337" s="532"/>
      <c r="AU337" s="532"/>
      <c r="AV337" s="532"/>
      <c r="AW337" s="532"/>
      <c r="AX337" s="203" t="str">
        <f>IFERROR(VLOOKUP(Table_NFI[[#This Row],[Location]],CL,2,0),"")</f>
        <v>MMR015CMP220</v>
      </c>
      <c r="AZ337" s="524"/>
      <c r="DS337" s="181"/>
      <c r="DT337" s="181"/>
    </row>
    <row r="338" spans="2:124" hidden="1" x14ac:dyDescent="0.3">
      <c r="B338" s="530">
        <v>43311</v>
      </c>
      <c r="C338" s="530" t="str">
        <f>MONTH(Table_NFI[[#This Row],[Distribution Date]]) &amp; "/" &amp; YEAR(Table_NFI[[#This Row],[Distribution Date]])</f>
        <v>7/2018</v>
      </c>
      <c r="D338" s="196" t="s">
        <v>420</v>
      </c>
      <c r="E338" s="196" t="s">
        <v>424</v>
      </c>
      <c r="F338" s="196" t="s">
        <v>506</v>
      </c>
      <c r="G338" s="195" t="s">
        <v>146</v>
      </c>
      <c r="H338" s="196" t="s">
        <v>367</v>
      </c>
      <c r="I338" s="181"/>
      <c r="J338" s="531"/>
      <c r="K338" s="531"/>
      <c r="L338" s="531"/>
      <c r="M338" s="531"/>
      <c r="N338" s="531"/>
      <c r="O338" s="531"/>
      <c r="P338" s="531">
        <v>20</v>
      </c>
      <c r="Q338" s="531"/>
      <c r="R338" s="531"/>
      <c r="S338" s="531"/>
      <c r="T338" s="531">
        <v>33</v>
      </c>
      <c r="U338" s="531"/>
      <c r="V338" s="531"/>
      <c r="W338" s="531"/>
      <c r="X338" s="531"/>
      <c r="Y338" s="531"/>
      <c r="Z338" s="531"/>
      <c r="AA338" s="531"/>
      <c r="AB338" s="531"/>
      <c r="AC338" s="532" t="e">
        <f>IF(NFI_Expiration=1,IF(#REF!&lt;VLOOKUP(L$5,NFI,5,0),1,0)*Table_NFI[[#This Row],[NFI Core Kit]],Table_NFI[NFI Core Kit])</f>
        <v>#REF!</v>
      </c>
      <c r="AD338" s="532" t="e">
        <f>IF(NFI_Expiration=1,IF(#REF!&lt;VLOOKUP(M$5,NFI,5,0),1,0)*Table_NFI[[#This Row],[Sanitary Kit]],Table_NFI[Sanitary Kit])</f>
        <v>#REF!</v>
      </c>
      <c r="AE338" s="532" t="e">
        <f>IF(NFI_Expiration=1,IF(#REF!&lt;VLOOKUP(N$5,NFI,5,0),1,0)*Table_NFI[[#This Row],[Mosquito net]],Table_NFI[Mosquito net])</f>
        <v>#REF!</v>
      </c>
      <c r="AF338" s="532" t="e">
        <f>IF(NFI_Expiration=1,IF(#REF!&lt;VLOOKUP(O$5,NFI,5,0),1,0)*Table_NFI[[#This Row],[Tarpaulin]],Table_NFI[[#This Row],[Tarpaulin]])</f>
        <v>#REF!</v>
      </c>
      <c r="AG338" s="532" t="e">
        <f>IF(NFI_Expiration=1,IF(#REF!&lt;VLOOKUP(P$5,NFI,5,0),1,0)*Table_NFI[[#This Row],[Blanket]],Table_NFI[[#This Row],[Blanket]])</f>
        <v>#REF!</v>
      </c>
      <c r="AH338" s="532" t="e">
        <f>IF(NFI_Expiration=1,IF(#REF!&lt;VLOOKUP(Q$5,NFI,5,0),1,0)*Table_NFI[[#This Row],[Kitchen Set]],Table_NFI[Kitchen Set])</f>
        <v>#REF!</v>
      </c>
      <c r="AI338" s="532" t="e">
        <f>IF(NFI_Expiration=1,IF(#REF!&lt;VLOOKUP(R$5,NFI,5,0),1,0)*Table_NFI[[#This Row],[Clothes Kit]],Table_NFI[Clothes Kit])</f>
        <v>#REF!</v>
      </c>
      <c r="AJ338" s="532" t="e">
        <f>IF(NFI_Expiration=1,IF(#REF!&lt;VLOOKUP(S$5,NFI,5,0),1,0)*Table_NFI[[#This Row],[Plastic Bucket]],Table_NFI[Plastic Bucket])</f>
        <v>#REF!</v>
      </c>
      <c r="AK338" s="532" t="e">
        <f>IF(NFI_Expiration=1,IF(#REF!&lt;VLOOKUP(T$5,NFI,5,0),1,0)*Table_NFI[[#This Row],[Plastic Mat]],Table_NFI[Plastic Mat])*IF(Table_NFI[[#This Row],[Distribution Date]]&gt;"2014-04-01",1,2.5)</f>
        <v>#REF!</v>
      </c>
      <c r="AL338" s="532" t="e">
        <f>IF(NFI_Expiration=1,IF(#REF!&lt;VLOOKUP(U$5,NFI,5,0),1,0)*Table_NFI[[#This Row],[Winter Clothes Adult]],Table_NFI[Winter Clothes Adult])</f>
        <v>#REF!</v>
      </c>
      <c r="AM338" s="532"/>
      <c r="AN338" s="532"/>
      <c r="AO338" s="532"/>
      <c r="AP338" s="532">
        <f>IF(Table_NFI[[#This Row],[Winter Clothes Adult]]+Table_NFI[[#This Row],[Winter Clothes Children]]+Table_NFI[[#This Row],[Winter Items Other]]+Table_NFI[[#This Row],[Winter Blanket]]&gt;0,1,0)</f>
        <v>0</v>
      </c>
      <c r="AQ338" s="532"/>
      <c r="AR338" s="532"/>
      <c r="AS338" s="532"/>
      <c r="AT338" s="532"/>
      <c r="AU338" s="532"/>
      <c r="AV338" s="532"/>
      <c r="AW338" s="532"/>
      <c r="AX338" s="203" t="str">
        <f>IFERROR(VLOOKUP(Table_NFI[[#This Row],[Location]],CL,2,0),"")</f>
        <v>MMR015CMP016</v>
      </c>
      <c r="AZ338" s="524"/>
      <c r="DS338" s="181"/>
      <c r="DT338" s="181"/>
    </row>
    <row r="339" spans="2:124" hidden="1" x14ac:dyDescent="0.3">
      <c r="B339" s="530">
        <v>43311</v>
      </c>
      <c r="C339" s="530" t="str">
        <f>MONTH(Table_NFI[[#This Row],[Distribution Date]]) &amp; "/" &amp; YEAR(Table_NFI[[#This Row],[Distribution Date]])</f>
        <v>7/2018</v>
      </c>
      <c r="D339" s="196" t="s">
        <v>420</v>
      </c>
      <c r="E339" s="196" t="s">
        <v>424</v>
      </c>
      <c r="F339" s="196" t="s">
        <v>506</v>
      </c>
      <c r="G339" s="195" t="s">
        <v>146</v>
      </c>
      <c r="H339" s="175" t="s">
        <v>1230</v>
      </c>
      <c r="I339" s="181"/>
      <c r="J339" s="531"/>
      <c r="K339" s="531"/>
      <c r="L339" s="531"/>
      <c r="M339" s="531"/>
      <c r="N339" s="531"/>
      <c r="O339" s="531"/>
      <c r="P339" s="531">
        <v>15</v>
      </c>
      <c r="Q339" s="531"/>
      <c r="R339" s="531"/>
      <c r="S339" s="531"/>
      <c r="T339" s="531">
        <v>22</v>
      </c>
      <c r="U339" s="531"/>
      <c r="V339" s="531"/>
      <c r="W339" s="531"/>
      <c r="X339" s="531"/>
      <c r="Y339" s="531"/>
      <c r="Z339" s="531"/>
      <c r="AA339" s="531"/>
      <c r="AB339" s="531"/>
      <c r="AC339" s="532" t="e">
        <f>IF(NFI_Expiration=1,IF(#REF!&lt;VLOOKUP(L$5,NFI,5,0),1,0)*Table_NFI[[#This Row],[NFI Core Kit]],Table_NFI[NFI Core Kit])</f>
        <v>#REF!</v>
      </c>
      <c r="AD339" s="532" t="e">
        <f>IF(NFI_Expiration=1,IF(#REF!&lt;VLOOKUP(M$5,NFI,5,0),1,0)*Table_NFI[[#This Row],[Sanitary Kit]],Table_NFI[Sanitary Kit])</f>
        <v>#REF!</v>
      </c>
      <c r="AE339" s="532" t="e">
        <f>IF(NFI_Expiration=1,IF(#REF!&lt;VLOOKUP(N$5,NFI,5,0),1,0)*Table_NFI[[#This Row],[Mosquito net]],Table_NFI[Mosquito net])</f>
        <v>#REF!</v>
      </c>
      <c r="AF339" s="532" t="e">
        <f>IF(NFI_Expiration=1,IF(#REF!&lt;VLOOKUP(O$5,NFI,5,0),1,0)*Table_NFI[[#This Row],[Tarpaulin]],Table_NFI[[#This Row],[Tarpaulin]])</f>
        <v>#REF!</v>
      </c>
      <c r="AG339" s="532" t="e">
        <f>IF(NFI_Expiration=1,IF(#REF!&lt;VLOOKUP(P$5,NFI,5,0),1,0)*Table_NFI[[#This Row],[Blanket]],Table_NFI[[#This Row],[Blanket]])</f>
        <v>#REF!</v>
      </c>
      <c r="AH339" s="532" t="e">
        <f>IF(NFI_Expiration=1,IF(#REF!&lt;VLOOKUP(Q$5,NFI,5,0),1,0)*Table_NFI[[#This Row],[Kitchen Set]],Table_NFI[Kitchen Set])</f>
        <v>#REF!</v>
      </c>
      <c r="AI339" s="532" t="e">
        <f>IF(NFI_Expiration=1,IF(#REF!&lt;VLOOKUP(R$5,NFI,5,0),1,0)*Table_NFI[[#This Row],[Clothes Kit]],Table_NFI[Clothes Kit])</f>
        <v>#REF!</v>
      </c>
      <c r="AJ339" s="532" t="e">
        <f>IF(NFI_Expiration=1,IF(#REF!&lt;VLOOKUP(S$5,NFI,5,0),1,0)*Table_NFI[[#This Row],[Plastic Bucket]],Table_NFI[Plastic Bucket])</f>
        <v>#REF!</v>
      </c>
      <c r="AK339" s="532" t="e">
        <f>IF(NFI_Expiration=1,IF(#REF!&lt;VLOOKUP(T$5,NFI,5,0),1,0)*Table_NFI[[#This Row],[Plastic Mat]],Table_NFI[Plastic Mat])*IF(Table_NFI[[#This Row],[Distribution Date]]&gt;"2014-04-01",1,2.5)</f>
        <v>#REF!</v>
      </c>
      <c r="AL339" s="532" t="e">
        <f>IF(NFI_Expiration=1,IF(#REF!&lt;VLOOKUP(U$5,NFI,5,0),1,0)*Table_NFI[[#This Row],[Winter Clothes Adult]],Table_NFI[Winter Clothes Adult])</f>
        <v>#REF!</v>
      </c>
      <c r="AM339" s="532"/>
      <c r="AN339" s="532"/>
      <c r="AO339" s="532"/>
      <c r="AP339" s="532">
        <f>IF(Table_NFI[[#This Row],[Winter Clothes Adult]]+Table_NFI[[#This Row],[Winter Clothes Children]]+Table_NFI[[#This Row],[Winter Items Other]]+Table_NFI[[#This Row],[Winter Blanket]]&gt;0,1,0)</f>
        <v>0</v>
      </c>
      <c r="AQ339" s="532"/>
      <c r="AR339" s="532"/>
      <c r="AS339" s="532"/>
      <c r="AT339" s="532"/>
      <c r="AU339" s="532"/>
      <c r="AV339" s="532"/>
      <c r="AW339" s="532"/>
      <c r="AX339" s="203" t="str">
        <f>IFERROR(VLOOKUP(Table_NFI[[#This Row],[Location]],CL,2,0),"")</f>
        <v>MMR015CMP245</v>
      </c>
      <c r="AZ339" s="524"/>
      <c r="DS339" s="181"/>
      <c r="DT339" s="181"/>
    </row>
    <row r="340" spans="2:124" hidden="1" x14ac:dyDescent="0.3">
      <c r="B340" s="530">
        <v>43311</v>
      </c>
      <c r="C340" s="530" t="str">
        <f>MONTH(Table_NFI[[#This Row],[Distribution Date]]) &amp; "/" &amp; YEAR(Table_NFI[[#This Row],[Distribution Date]])</f>
        <v>7/2018</v>
      </c>
      <c r="D340" s="196" t="s">
        <v>420</v>
      </c>
      <c r="E340" s="196" t="s">
        <v>424</v>
      </c>
      <c r="F340" s="196" t="s">
        <v>506</v>
      </c>
      <c r="G340" s="195" t="s">
        <v>146</v>
      </c>
      <c r="H340" s="196" t="s">
        <v>371</v>
      </c>
      <c r="I340" s="181"/>
      <c r="J340" s="531"/>
      <c r="K340" s="531"/>
      <c r="L340" s="531"/>
      <c r="M340" s="531"/>
      <c r="N340" s="531"/>
      <c r="O340" s="531"/>
      <c r="P340" s="531">
        <v>42</v>
      </c>
      <c r="Q340" s="531"/>
      <c r="R340" s="531"/>
      <c r="S340" s="531"/>
      <c r="T340" s="531">
        <v>16</v>
      </c>
      <c r="U340" s="531"/>
      <c r="V340" s="531"/>
      <c r="W340" s="531"/>
      <c r="X340" s="531"/>
      <c r="Y340" s="531"/>
      <c r="Z340" s="531"/>
      <c r="AA340" s="531"/>
      <c r="AB340" s="531"/>
      <c r="AC340" s="532" t="e">
        <f>IF(NFI_Expiration=1,IF(#REF!&lt;VLOOKUP(L$5,NFI,5,0),1,0)*Table_NFI[[#This Row],[NFI Core Kit]],Table_NFI[NFI Core Kit])</f>
        <v>#REF!</v>
      </c>
      <c r="AD340" s="532" t="e">
        <f>IF(NFI_Expiration=1,IF(#REF!&lt;VLOOKUP(M$5,NFI,5,0),1,0)*Table_NFI[[#This Row],[Sanitary Kit]],Table_NFI[Sanitary Kit])</f>
        <v>#REF!</v>
      </c>
      <c r="AE340" s="532" t="e">
        <f>IF(NFI_Expiration=1,IF(#REF!&lt;VLOOKUP(N$5,NFI,5,0),1,0)*Table_NFI[[#This Row],[Mosquito net]],Table_NFI[Mosquito net])</f>
        <v>#REF!</v>
      </c>
      <c r="AF340" s="532" t="e">
        <f>IF(NFI_Expiration=1,IF(#REF!&lt;VLOOKUP(O$5,NFI,5,0),1,0)*Table_NFI[[#This Row],[Tarpaulin]],Table_NFI[[#This Row],[Tarpaulin]])</f>
        <v>#REF!</v>
      </c>
      <c r="AG340" s="532" t="e">
        <f>IF(NFI_Expiration=1,IF(#REF!&lt;VLOOKUP(P$5,NFI,5,0),1,0)*Table_NFI[[#This Row],[Blanket]],Table_NFI[[#This Row],[Blanket]])</f>
        <v>#REF!</v>
      </c>
      <c r="AH340" s="532" t="e">
        <f>IF(NFI_Expiration=1,IF(#REF!&lt;VLOOKUP(Q$5,NFI,5,0),1,0)*Table_NFI[[#This Row],[Kitchen Set]],Table_NFI[Kitchen Set])</f>
        <v>#REF!</v>
      </c>
      <c r="AI340" s="532" t="e">
        <f>IF(NFI_Expiration=1,IF(#REF!&lt;VLOOKUP(R$5,NFI,5,0),1,0)*Table_NFI[[#This Row],[Clothes Kit]],Table_NFI[Clothes Kit])</f>
        <v>#REF!</v>
      </c>
      <c r="AJ340" s="532" t="e">
        <f>IF(NFI_Expiration=1,IF(#REF!&lt;VLOOKUP(S$5,NFI,5,0),1,0)*Table_NFI[[#This Row],[Plastic Bucket]],Table_NFI[Plastic Bucket])</f>
        <v>#REF!</v>
      </c>
      <c r="AK340" s="532" t="e">
        <f>IF(NFI_Expiration=1,IF(#REF!&lt;VLOOKUP(T$5,NFI,5,0),1,0)*Table_NFI[[#This Row],[Plastic Mat]],Table_NFI[Plastic Mat])*IF(Table_NFI[[#This Row],[Distribution Date]]&gt;"2014-04-01",1,2.5)</f>
        <v>#REF!</v>
      </c>
      <c r="AL340" s="532" t="e">
        <f>IF(NFI_Expiration=1,IF(#REF!&lt;VLOOKUP(U$5,NFI,5,0),1,0)*Table_NFI[[#This Row],[Winter Clothes Adult]],Table_NFI[Winter Clothes Adult])</f>
        <v>#REF!</v>
      </c>
      <c r="AM340" s="532"/>
      <c r="AN340" s="532"/>
      <c r="AO340" s="532"/>
      <c r="AP340" s="532">
        <f>IF(Table_NFI[[#This Row],[Winter Clothes Adult]]+Table_NFI[[#This Row],[Winter Clothes Children]]+Table_NFI[[#This Row],[Winter Items Other]]+Table_NFI[[#This Row],[Winter Blanket]]&gt;0,1,0)</f>
        <v>0</v>
      </c>
      <c r="AQ340" s="532"/>
      <c r="AR340" s="532"/>
      <c r="AS340" s="532"/>
      <c r="AT340" s="532"/>
      <c r="AU340" s="532"/>
      <c r="AV340" s="532"/>
      <c r="AW340" s="532"/>
      <c r="AX340" s="203" t="str">
        <f>IFERROR(VLOOKUP(Table_NFI[[#This Row],[Location]],CL,2,0),"")</f>
        <v>MMR015CMP020</v>
      </c>
      <c r="AZ340" s="524"/>
      <c r="DS340" s="181"/>
      <c r="DT340" s="181"/>
    </row>
    <row r="341" spans="2:124" hidden="1" x14ac:dyDescent="0.3">
      <c r="B341" s="530">
        <v>43311</v>
      </c>
      <c r="C341" s="530" t="str">
        <f>MONTH(Table_NFI[[#This Row],[Distribution Date]]) &amp; "/" &amp; YEAR(Table_NFI[[#This Row],[Distribution Date]])</f>
        <v>7/2018</v>
      </c>
      <c r="D341" s="196" t="s">
        <v>420</v>
      </c>
      <c r="E341" s="196" t="s">
        <v>424</v>
      </c>
      <c r="F341" s="196" t="s">
        <v>506</v>
      </c>
      <c r="G341" s="195" t="s">
        <v>146</v>
      </c>
      <c r="H341" s="196" t="s">
        <v>369</v>
      </c>
      <c r="I341" s="181"/>
      <c r="J341" s="531"/>
      <c r="K341" s="531"/>
      <c r="L341" s="531"/>
      <c r="M341" s="531">
        <v>25</v>
      </c>
      <c r="N341" s="531"/>
      <c r="O341" s="531"/>
      <c r="P341" s="531">
        <v>15</v>
      </c>
      <c r="Q341" s="531"/>
      <c r="R341" s="531"/>
      <c r="S341" s="531">
        <v>26</v>
      </c>
      <c r="T341" s="531">
        <v>44</v>
      </c>
      <c r="U341" s="531"/>
      <c r="V341" s="531"/>
      <c r="W341" s="531"/>
      <c r="X341" s="531"/>
      <c r="Y341" s="531"/>
      <c r="Z341" s="531"/>
      <c r="AA341" s="531"/>
      <c r="AB341" s="531"/>
      <c r="AC341" s="532" t="e">
        <f>IF(NFI_Expiration=1,IF(#REF!&lt;VLOOKUP(L$5,NFI,5,0),1,0)*Table_NFI[[#This Row],[NFI Core Kit]],Table_NFI[NFI Core Kit])</f>
        <v>#REF!</v>
      </c>
      <c r="AD341" s="532" t="e">
        <f>IF(NFI_Expiration=1,IF(#REF!&lt;VLOOKUP(M$5,NFI,5,0),1,0)*Table_NFI[[#This Row],[Sanitary Kit]],Table_NFI[Sanitary Kit])</f>
        <v>#REF!</v>
      </c>
      <c r="AE341" s="532" t="e">
        <f>IF(NFI_Expiration=1,IF(#REF!&lt;VLOOKUP(N$5,NFI,5,0),1,0)*Table_NFI[[#This Row],[Mosquito net]],Table_NFI[Mosquito net])</f>
        <v>#REF!</v>
      </c>
      <c r="AF341" s="532" t="e">
        <f>IF(NFI_Expiration=1,IF(#REF!&lt;VLOOKUP(O$5,NFI,5,0),1,0)*Table_NFI[[#This Row],[Tarpaulin]],Table_NFI[[#This Row],[Tarpaulin]])</f>
        <v>#REF!</v>
      </c>
      <c r="AG341" s="532" t="e">
        <f>IF(NFI_Expiration=1,IF(#REF!&lt;VLOOKUP(P$5,NFI,5,0),1,0)*Table_NFI[[#This Row],[Blanket]],Table_NFI[[#This Row],[Blanket]])</f>
        <v>#REF!</v>
      </c>
      <c r="AH341" s="532" t="e">
        <f>IF(NFI_Expiration=1,IF(#REF!&lt;VLOOKUP(Q$5,NFI,5,0),1,0)*Table_NFI[[#This Row],[Kitchen Set]],Table_NFI[Kitchen Set])</f>
        <v>#REF!</v>
      </c>
      <c r="AI341" s="532" t="e">
        <f>IF(NFI_Expiration=1,IF(#REF!&lt;VLOOKUP(R$5,NFI,5,0),1,0)*Table_NFI[[#This Row],[Clothes Kit]],Table_NFI[Clothes Kit])</f>
        <v>#REF!</v>
      </c>
      <c r="AJ341" s="532" t="e">
        <f>IF(NFI_Expiration=1,IF(#REF!&lt;VLOOKUP(S$5,NFI,5,0),1,0)*Table_NFI[[#This Row],[Plastic Bucket]],Table_NFI[Plastic Bucket])</f>
        <v>#REF!</v>
      </c>
      <c r="AK341" s="532" t="e">
        <f>IF(NFI_Expiration=1,IF(#REF!&lt;VLOOKUP(T$5,NFI,5,0),1,0)*Table_NFI[[#This Row],[Plastic Mat]],Table_NFI[Plastic Mat])*IF(Table_NFI[[#This Row],[Distribution Date]]&gt;"2014-04-01",1,2.5)</f>
        <v>#REF!</v>
      </c>
      <c r="AL341" s="532" t="e">
        <f>IF(NFI_Expiration=1,IF(#REF!&lt;VLOOKUP(U$5,NFI,5,0),1,0)*Table_NFI[[#This Row],[Winter Clothes Adult]],Table_NFI[Winter Clothes Adult])</f>
        <v>#REF!</v>
      </c>
      <c r="AM341" s="532"/>
      <c r="AN341" s="532"/>
      <c r="AO341" s="532"/>
      <c r="AP341" s="532">
        <f>IF(Table_NFI[[#This Row],[Winter Clothes Adult]]+Table_NFI[[#This Row],[Winter Clothes Children]]+Table_NFI[[#This Row],[Winter Items Other]]+Table_NFI[[#This Row],[Winter Blanket]]&gt;0,1,0)</f>
        <v>0</v>
      </c>
      <c r="AQ341" s="532"/>
      <c r="AR341" s="532"/>
      <c r="AS341" s="532"/>
      <c r="AT341" s="532"/>
      <c r="AU341" s="532"/>
      <c r="AV341" s="532"/>
      <c r="AW341" s="532"/>
      <c r="AX341" s="203" t="str">
        <f>IFERROR(VLOOKUP(Table_NFI[[#This Row],[Location]],CL,2,0),"")</f>
        <v>MMR015CMP006</v>
      </c>
      <c r="AZ341" s="524"/>
      <c r="DS341" s="181"/>
      <c r="DT341" s="181"/>
    </row>
    <row r="342" spans="2:124" hidden="1" x14ac:dyDescent="0.3">
      <c r="B342" s="530">
        <v>43311</v>
      </c>
      <c r="C342" s="530" t="str">
        <f>MONTH(Table_NFI[[#This Row],[Distribution Date]]) &amp; "/" &amp; YEAR(Table_NFI[[#This Row],[Distribution Date]])</f>
        <v>7/2018</v>
      </c>
      <c r="D342" s="196" t="s">
        <v>420</v>
      </c>
      <c r="E342" s="196" t="s">
        <v>424</v>
      </c>
      <c r="F342" s="196" t="s">
        <v>506</v>
      </c>
      <c r="G342" s="195" t="s">
        <v>146</v>
      </c>
      <c r="H342" s="196" t="s">
        <v>1058</v>
      </c>
      <c r="I342" s="181"/>
      <c r="J342" s="531"/>
      <c r="K342" s="531"/>
      <c r="L342" s="531">
        <v>20</v>
      </c>
      <c r="M342" s="531"/>
      <c r="N342" s="531"/>
      <c r="O342" s="531"/>
      <c r="P342" s="531">
        <v>10</v>
      </c>
      <c r="Q342" s="531"/>
      <c r="R342" s="531"/>
      <c r="S342" s="531"/>
      <c r="T342" s="531">
        <v>24</v>
      </c>
      <c r="U342" s="531"/>
      <c r="V342" s="531"/>
      <c r="W342" s="531"/>
      <c r="X342" s="531"/>
      <c r="Y342" s="531"/>
      <c r="Z342" s="531"/>
      <c r="AA342" s="531"/>
      <c r="AB342" s="531"/>
      <c r="AC342" s="532" t="e">
        <f>IF(NFI_Expiration=1,IF(#REF!&lt;VLOOKUP(L$5,NFI,5,0),1,0)*Table_NFI[[#This Row],[NFI Core Kit]],Table_NFI[NFI Core Kit])</f>
        <v>#REF!</v>
      </c>
      <c r="AD342" s="532" t="e">
        <f>IF(NFI_Expiration=1,IF(#REF!&lt;VLOOKUP(M$5,NFI,5,0),1,0)*Table_NFI[[#This Row],[Sanitary Kit]],Table_NFI[Sanitary Kit])</f>
        <v>#REF!</v>
      </c>
      <c r="AE342" s="532" t="e">
        <f>IF(NFI_Expiration=1,IF(#REF!&lt;VLOOKUP(N$5,NFI,5,0),1,0)*Table_NFI[[#This Row],[Mosquito net]],Table_NFI[Mosquito net])</f>
        <v>#REF!</v>
      </c>
      <c r="AF342" s="532" t="e">
        <f>IF(NFI_Expiration=1,IF(#REF!&lt;VLOOKUP(O$5,NFI,5,0),1,0)*Table_NFI[[#This Row],[Tarpaulin]],Table_NFI[[#This Row],[Tarpaulin]])</f>
        <v>#REF!</v>
      </c>
      <c r="AG342" s="532" t="e">
        <f>IF(NFI_Expiration=1,IF(#REF!&lt;VLOOKUP(P$5,NFI,5,0),1,0)*Table_NFI[[#This Row],[Blanket]],Table_NFI[[#This Row],[Blanket]])</f>
        <v>#REF!</v>
      </c>
      <c r="AH342" s="532" t="e">
        <f>IF(NFI_Expiration=1,IF(#REF!&lt;VLOOKUP(Q$5,NFI,5,0),1,0)*Table_NFI[[#This Row],[Kitchen Set]],Table_NFI[Kitchen Set])</f>
        <v>#REF!</v>
      </c>
      <c r="AI342" s="532" t="e">
        <f>IF(NFI_Expiration=1,IF(#REF!&lt;VLOOKUP(R$5,NFI,5,0),1,0)*Table_NFI[[#This Row],[Clothes Kit]],Table_NFI[Clothes Kit])</f>
        <v>#REF!</v>
      </c>
      <c r="AJ342" s="532" t="e">
        <f>IF(NFI_Expiration=1,IF(#REF!&lt;VLOOKUP(S$5,NFI,5,0),1,0)*Table_NFI[[#This Row],[Plastic Bucket]],Table_NFI[Plastic Bucket])</f>
        <v>#REF!</v>
      </c>
      <c r="AK342" s="532" t="e">
        <f>IF(NFI_Expiration=1,IF(#REF!&lt;VLOOKUP(T$5,NFI,5,0),1,0)*Table_NFI[[#This Row],[Plastic Mat]],Table_NFI[Plastic Mat])*IF(Table_NFI[[#This Row],[Distribution Date]]&gt;"2014-04-01",1,2.5)</f>
        <v>#REF!</v>
      </c>
      <c r="AL342" s="532" t="e">
        <f>IF(NFI_Expiration=1,IF(#REF!&lt;VLOOKUP(U$5,NFI,5,0),1,0)*Table_NFI[[#This Row],[Winter Clothes Adult]],Table_NFI[Winter Clothes Adult])</f>
        <v>#REF!</v>
      </c>
      <c r="AM342" s="532"/>
      <c r="AN342" s="532"/>
      <c r="AO342" s="532"/>
      <c r="AP342" s="532">
        <f>IF(Table_NFI[[#This Row],[Winter Clothes Adult]]+Table_NFI[[#This Row],[Winter Clothes Children]]+Table_NFI[[#This Row],[Winter Items Other]]+Table_NFI[[#This Row],[Winter Blanket]]&gt;0,1,0)</f>
        <v>0</v>
      </c>
      <c r="AQ342" s="532"/>
      <c r="AR342" s="532"/>
      <c r="AS342" s="532"/>
      <c r="AT342" s="532"/>
      <c r="AU342" s="532"/>
      <c r="AV342" s="532"/>
      <c r="AW342" s="532"/>
      <c r="AX342" s="203" t="str">
        <f>IFERROR(VLOOKUP(Table_NFI[[#This Row],[Location]],CL,2,0),"")</f>
        <v>MMR015CMP218</v>
      </c>
      <c r="AZ342" s="524"/>
      <c r="DS342" s="181"/>
      <c r="DT342" s="181"/>
    </row>
    <row r="343" spans="2:124" hidden="1" x14ac:dyDescent="0.3">
      <c r="B343" s="530">
        <v>43311</v>
      </c>
      <c r="C343" s="530" t="str">
        <f>MONTH(Table_NFI[[#This Row],[Distribution Date]]) &amp; "/" &amp; YEAR(Table_NFI[[#This Row],[Distribution Date]])</f>
        <v>7/2018</v>
      </c>
      <c r="D343" s="196" t="s">
        <v>420</v>
      </c>
      <c r="E343" s="196" t="s">
        <v>424</v>
      </c>
      <c r="F343" s="196" t="s">
        <v>506</v>
      </c>
      <c r="G343" s="195" t="s">
        <v>297</v>
      </c>
      <c r="H343" s="175" t="s">
        <v>759</v>
      </c>
      <c r="I343" s="181"/>
      <c r="J343" s="531"/>
      <c r="K343" s="531"/>
      <c r="L343" s="531"/>
      <c r="M343" s="531"/>
      <c r="N343" s="531"/>
      <c r="O343" s="531"/>
      <c r="P343" s="531">
        <v>15</v>
      </c>
      <c r="Q343" s="531"/>
      <c r="R343" s="531"/>
      <c r="S343" s="531"/>
      <c r="T343" s="531">
        <v>25</v>
      </c>
      <c r="U343" s="531"/>
      <c r="V343" s="531"/>
      <c r="W343" s="531"/>
      <c r="X343" s="531"/>
      <c r="Y343" s="531"/>
      <c r="Z343" s="531"/>
      <c r="AA343" s="531"/>
      <c r="AB343" s="531"/>
      <c r="AC343" s="532" t="e">
        <f>IF(NFI_Expiration=1,IF(#REF!&lt;VLOOKUP(L$5,NFI,5,0),1,0)*Table_NFI[[#This Row],[NFI Core Kit]],Table_NFI[NFI Core Kit])</f>
        <v>#REF!</v>
      </c>
      <c r="AD343" s="532" t="e">
        <f>IF(NFI_Expiration=1,IF(#REF!&lt;VLOOKUP(M$5,NFI,5,0),1,0)*Table_NFI[[#This Row],[Sanitary Kit]],Table_NFI[Sanitary Kit])</f>
        <v>#REF!</v>
      </c>
      <c r="AE343" s="532" t="e">
        <f>IF(NFI_Expiration=1,IF(#REF!&lt;VLOOKUP(N$5,NFI,5,0),1,0)*Table_NFI[[#This Row],[Mosquito net]],Table_NFI[Mosquito net])</f>
        <v>#REF!</v>
      </c>
      <c r="AF343" s="532" t="e">
        <f>IF(NFI_Expiration=1,IF(#REF!&lt;VLOOKUP(O$5,NFI,5,0),1,0)*Table_NFI[[#This Row],[Tarpaulin]],Table_NFI[[#This Row],[Tarpaulin]])</f>
        <v>#REF!</v>
      </c>
      <c r="AG343" s="532" t="e">
        <f>IF(NFI_Expiration=1,IF(#REF!&lt;VLOOKUP(P$5,NFI,5,0),1,0)*Table_NFI[[#This Row],[Blanket]],Table_NFI[[#This Row],[Blanket]])</f>
        <v>#REF!</v>
      </c>
      <c r="AH343" s="532" t="e">
        <f>IF(NFI_Expiration=1,IF(#REF!&lt;VLOOKUP(Q$5,NFI,5,0),1,0)*Table_NFI[[#This Row],[Kitchen Set]],Table_NFI[Kitchen Set])</f>
        <v>#REF!</v>
      </c>
      <c r="AI343" s="532" t="e">
        <f>IF(NFI_Expiration=1,IF(#REF!&lt;VLOOKUP(R$5,NFI,5,0),1,0)*Table_NFI[[#This Row],[Clothes Kit]],Table_NFI[Clothes Kit])</f>
        <v>#REF!</v>
      </c>
      <c r="AJ343" s="532" t="e">
        <f>IF(NFI_Expiration=1,IF(#REF!&lt;VLOOKUP(S$5,NFI,5,0),1,0)*Table_NFI[[#This Row],[Plastic Bucket]],Table_NFI[Plastic Bucket])</f>
        <v>#REF!</v>
      </c>
      <c r="AK343" s="532" t="e">
        <f>IF(NFI_Expiration=1,IF(#REF!&lt;VLOOKUP(T$5,NFI,5,0),1,0)*Table_NFI[[#This Row],[Plastic Mat]],Table_NFI[Plastic Mat])*IF(Table_NFI[[#This Row],[Distribution Date]]&gt;"2014-04-01",1,2.5)</f>
        <v>#REF!</v>
      </c>
      <c r="AL343" s="532" t="e">
        <f>IF(NFI_Expiration=1,IF(#REF!&lt;VLOOKUP(U$5,NFI,5,0),1,0)*Table_NFI[[#This Row],[Winter Clothes Adult]],Table_NFI[Winter Clothes Adult])</f>
        <v>#REF!</v>
      </c>
      <c r="AM343" s="532"/>
      <c r="AN343" s="532"/>
      <c r="AO343" s="532"/>
      <c r="AP343" s="532">
        <f>IF(Table_NFI[[#This Row],[Winter Clothes Adult]]+Table_NFI[[#This Row],[Winter Clothes Children]]+Table_NFI[[#This Row],[Winter Items Other]]+Table_NFI[[#This Row],[Winter Blanket]]&gt;0,1,0)</f>
        <v>0</v>
      </c>
      <c r="AQ343" s="532"/>
      <c r="AR343" s="532"/>
      <c r="AS343" s="532"/>
      <c r="AT343" s="532"/>
      <c r="AU343" s="532"/>
      <c r="AV343" s="532"/>
      <c r="AW343" s="532"/>
      <c r="AX343" s="203" t="str">
        <f>IFERROR(VLOOKUP(Table_NFI[[#This Row],[Location]],CL,2,0),"")</f>
        <v>MMR015CMP014</v>
      </c>
      <c r="AZ343" s="524"/>
      <c r="DS343" s="181"/>
      <c r="DT343" s="181"/>
    </row>
    <row r="344" spans="2:124" hidden="1" x14ac:dyDescent="0.3">
      <c r="B344" s="530">
        <v>43311</v>
      </c>
      <c r="C344" s="530" t="str">
        <f>MONTH(Table_NFI[[#This Row],[Distribution Date]]) &amp; "/" &amp; YEAR(Table_NFI[[#This Row],[Distribution Date]])</f>
        <v>7/2018</v>
      </c>
      <c r="D344" s="196" t="s">
        <v>420</v>
      </c>
      <c r="E344" s="196" t="s">
        <v>424</v>
      </c>
      <c r="F344" s="196" t="s">
        <v>506</v>
      </c>
      <c r="G344" s="195" t="s">
        <v>166</v>
      </c>
      <c r="H344" s="175" t="s">
        <v>167</v>
      </c>
      <c r="I344" s="181"/>
      <c r="J344" s="531"/>
      <c r="K344" s="531"/>
      <c r="L344" s="531"/>
      <c r="M344" s="531"/>
      <c r="N344" s="531"/>
      <c r="O344" s="531"/>
      <c r="P344" s="531">
        <v>20</v>
      </c>
      <c r="Q344" s="531"/>
      <c r="R344" s="531"/>
      <c r="S344" s="531"/>
      <c r="T344" s="531">
        <v>24</v>
      </c>
      <c r="U344" s="531"/>
      <c r="V344" s="531"/>
      <c r="W344" s="531"/>
      <c r="X344" s="531"/>
      <c r="Y344" s="531"/>
      <c r="Z344" s="531"/>
      <c r="AA344" s="531"/>
      <c r="AB344" s="531"/>
      <c r="AC344" s="532" t="e">
        <f>IF(NFI_Expiration=1,IF(#REF!&lt;VLOOKUP(L$5,NFI,5,0),1,0)*Table_NFI[[#This Row],[NFI Core Kit]],Table_NFI[NFI Core Kit])</f>
        <v>#REF!</v>
      </c>
      <c r="AD344" s="532" t="e">
        <f>IF(NFI_Expiration=1,IF(#REF!&lt;VLOOKUP(M$5,NFI,5,0),1,0)*Table_NFI[[#This Row],[Sanitary Kit]],Table_NFI[Sanitary Kit])</f>
        <v>#REF!</v>
      </c>
      <c r="AE344" s="532" t="e">
        <f>IF(NFI_Expiration=1,IF(#REF!&lt;VLOOKUP(N$5,NFI,5,0),1,0)*Table_NFI[[#This Row],[Mosquito net]],Table_NFI[Mosquito net])</f>
        <v>#REF!</v>
      </c>
      <c r="AF344" s="532" t="e">
        <f>IF(NFI_Expiration=1,IF(#REF!&lt;VLOOKUP(O$5,NFI,5,0),1,0)*Table_NFI[[#This Row],[Tarpaulin]],Table_NFI[[#This Row],[Tarpaulin]])</f>
        <v>#REF!</v>
      </c>
      <c r="AG344" s="532" t="e">
        <f>IF(NFI_Expiration=1,IF(#REF!&lt;VLOOKUP(P$5,NFI,5,0),1,0)*Table_NFI[[#This Row],[Blanket]],Table_NFI[[#This Row],[Blanket]])</f>
        <v>#REF!</v>
      </c>
      <c r="AH344" s="532" t="e">
        <f>IF(NFI_Expiration=1,IF(#REF!&lt;VLOOKUP(Q$5,NFI,5,0),1,0)*Table_NFI[[#This Row],[Kitchen Set]],Table_NFI[Kitchen Set])</f>
        <v>#REF!</v>
      </c>
      <c r="AI344" s="532" t="e">
        <f>IF(NFI_Expiration=1,IF(#REF!&lt;VLOOKUP(R$5,NFI,5,0),1,0)*Table_NFI[[#This Row],[Clothes Kit]],Table_NFI[Clothes Kit])</f>
        <v>#REF!</v>
      </c>
      <c r="AJ344" s="532" t="e">
        <f>IF(NFI_Expiration=1,IF(#REF!&lt;VLOOKUP(S$5,NFI,5,0),1,0)*Table_NFI[[#This Row],[Plastic Bucket]],Table_NFI[Plastic Bucket])</f>
        <v>#REF!</v>
      </c>
      <c r="AK344" s="532" t="e">
        <f>IF(NFI_Expiration=1,IF(#REF!&lt;VLOOKUP(T$5,NFI,5,0),1,0)*Table_NFI[[#This Row],[Plastic Mat]],Table_NFI[Plastic Mat])*IF(Table_NFI[[#This Row],[Distribution Date]]&gt;"2014-04-01",1,2.5)</f>
        <v>#REF!</v>
      </c>
      <c r="AL344" s="532" t="e">
        <f>IF(NFI_Expiration=1,IF(#REF!&lt;VLOOKUP(U$5,NFI,5,0),1,0)*Table_NFI[[#This Row],[Winter Clothes Adult]],Table_NFI[Winter Clothes Adult])</f>
        <v>#REF!</v>
      </c>
      <c r="AM344" s="532"/>
      <c r="AN344" s="532"/>
      <c r="AO344" s="532"/>
      <c r="AP344" s="532">
        <f>IF(Table_NFI[[#This Row],[Winter Clothes Adult]]+Table_NFI[[#This Row],[Winter Clothes Children]]+Table_NFI[[#This Row],[Winter Items Other]]+Table_NFI[[#This Row],[Winter Blanket]]&gt;0,1,0)</f>
        <v>0</v>
      </c>
      <c r="AQ344" s="532"/>
      <c r="AR344" s="532"/>
      <c r="AS344" s="532"/>
      <c r="AT344" s="532"/>
      <c r="AU344" s="532"/>
      <c r="AV344" s="532"/>
      <c r="AW344" s="532"/>
      <c r="AX344" s="203" t="str">
        <f>IFERROR(VLOOKUP(Table_NFI[[#This Row],[Location]],CL,2,0),"")</f>
        <v>MMR015CMP009</v>
      </c>
      <c r="AZ344" s="524"/>
      <c r="DS344" s="181"/>
      <c r="DT344" s="181"/>
    </row>
    <row r="345" spans="2:124" hidden="1" x14ac:dyDescent="0.3">
      <c r="B345" s="530">
        <v>43311</v>
      </c>
      <c r="C345" s="530" t="str">
        <f>MONTH(Table_NFI[[#This Row],[Distribution Date]]) &amp; "/" &amp; YEAR(Table_NFI[[#This Row],[Distribution Date]])</f>
        <v>7/2018</v>
      </c>
      <c r="D345" s="196" t="s">
        <v>420</v>
      </c>
      <c r="E345" s="196" t="s">
        <v>424</v>
      </c>
      <c r="F345" s="196" t="s">
        <v>506</v>
      </c>
      <c r="G345" s="195" t="s">
        <v>146</v>
      </c>
      <c r="H345" s="175" t="s">
        <v>1237</v>
      </c>
      <c r="I345" s="181"/>
      <c r="J345" s="531"/>
      <c r="K345" s="531"/>
      <c r="L345" s="531"/>
      <c r="M345" s="531"/>
      <c r="N345" s="531"/>
      <c r="O345" s="531"/>
      <c r="P345" s="531">
        <v>10</v>
      </c>
      <c r="Q345" s="531"/>
      <c r="R345" s="531"/>
      <c r="S345" s="531"/>
      <c r="T345" s="531">
        <v>13</v>
      </c>
      <c r="U345" s="531"/>
      <c r="V345" s="531"/>
      <c r="W345" s="531"/>
      <c r="X345" s="531"/>
      <c r="Y345" s="531"/>
      <c r="Z345" s="531"/>
      <c r="AA345" s="531"/>
      <c r="AB345" s="531"/>
      <c r="AC345" s="532" t="e">
        <f>IF(NFI_Expiration=1,IF(#REF!&lt;VLOOKUP(L$5,NFI,5,0),1,0)*Table_NFI[[#This Row],[NFI Core Kit]],Table_NFI[NFI Core Kit])</f>
        <v>#REF!</v>
      </c>
      <c r="AD345" s="532" t="e">
        <f>IF(NFI_Expiration=1,IF(#REF!&lt;VLOOKUP(M$5,NFI,5,0),1,0)*Table_NFI[[#This Row],[Sanitary Kit]],Table_NFI[Sanitary Kit])</f>
        <v>#REF!</v>
      </c>
      <c r="AE345" s="532" t="e">
        <f>IF(NFI_Expiration=1,IF(#REF!&lt;VLOOKUP(N$5,NFI,5,0),1,0)*Table_NFI[[#This Row],[Mosquito net]],Table_NFI[Mosquito net])</f>
        <v>#REF!</v>
      </c>
      <c r="AF345" s="532" t="e">
        <f>IF(NFI_Expiration=1,IF(#REF!&lt;VLOOKUP(O$5,NFI,5,0),1,0)*Table_NFI[[#This Row],[Tarpaulin]],Table_NFI[[#This Row],[Tarpaulin]])</f>
        <v>#REF!</v>
      </c>
      <c r="AG345" s="532" t="e">
        <f>IF(NFI_Expiration=1,IF(#REF!&lt;VLOOKUP(P$5,NFI,5,0),1,0)*Table_NFI[[#This Row],[Blanket]],Table_NFI[[#This Row],[Blanket]])</f>
        <v>#REF!</v>
      </c>
      <c r="AH345" s="532" t="e">
        <f>IF(NFI_Expiration=1,IF(#REF!&lt;VLOOKUP(Q$5,NFI,5,0),1,0)*Table_NFI[[#This Row],[Kitchen Set]],Table_NFI[Kitchen Set])</f>
        <v>#REF!</v>
      </c>
      <c r="AI345" s="532" t="e">
        <f>IF(NFI_Expiration=1,IF(#REF!&lt;VLOOKUP(R$5,NFI,5,0),1,0)*Table_NFI[[#This Row],[Clothes Kit]],Table_NFI[Clothes Kit])</f>
        <v>#REF!</v>
      </c>
      <c r="AJ345" s="532" t="e">
        <f>IF(NFI_Expiration=1,IF(#REF!&lt;VLOOKUP(S$5,NFI,5,0),1,0)*Table_NFI[[#This Row],[Plastic Bucket]],Table_NFI[Plastic Bucket])</f>
        <v>#REF!</v>
      </c>
      <c r="AK345" s="532" t="e">
        <f>IF(NFI_Expiration=1,IF(#REF!&lt;VLOOKUP(T$5,NFI,5,0),1,0)*Table_NFI[[#This Row],[Plastic Mat]],Table_NFI[Plastic Mat])*IF(Table_NFI[[#This Row],[Distribution Date]]&gt;"2014-04-01",1,2.5)</f>
        <v>#REF!</v>
      </c>
      <c r="AL345" s="532" t="e">
        <f>IF(NFI_Expiration=1,IF(#REF!&lt;VLOOKUP(U$5,NFI,5,0),1,0)*Table_NFI[[#This Row],[Winter Clothes Adult]],Table_NFI[Winter Clothes Adult])</f>
        <v>#REF!</v>
      </c>
      <c r="AM345" s="532"/>
      <c r="AN345" s="532"/>
      <c r="AO345" s="532"/>
      <c r="AP345" s="532">
        <f>IF(Table_NFI[[#This Row],[Winter Clothes Adult]]+Table_NFI[[#This Row],[Winter Clothes Children]]+Table_NFI[[#This Row],[Winter Items Other]]+Table_NFI[[#This Row],[Winter Blanket]]&gt;0,1,0)</f>
        <v>0</v>
      </c>
      <c r="AQ345" s="532"/>
      <c r="AR345" s="532"/>
      <c r="AS345" s="532"/>
      <c r="AT345" s="532"/>
      <c r="AU345" s="532"/>
      <c r="AV345" s="532"/>
      <c r="AW345" s="532"/>
      <c r="AX345" s="203" t="str">
        <f>IFERROR(VLOOKUP(Table_NFI[[#This Row],[Location]],CL,2,0),"")</f>
        <v>MMR015CMP246</v>
      </c>
      <c r="AZ345" s="524"/>
      <c r="DS345" s="181"/>
      <c r="DT345" s="181"/>
    </row>
    <row r="346" spans="2:124" hidden="1" x14ac:dyDescent="0.3">
      <c r="B346" s="530">
        <v>43311</v>
      </c>
      <c r="C346" s="530" t="str">
        <f>MONTH(Table_NFI[[#This Row],[Distribution Date]]) &amp; "/" &amp; YEAR(Table_NFI[[#This Row],[Distribution Date]])</f>
        <v>7/2018</v>
      </c>
      <c r="D346" s="196" t="s">
        <v>420</v>
      </c>
      <c r="E346" s="196" t="s">
        <v>424</v>
      </c>
      <c r="F346" s="196" t="s">
        <v>506</v>
      </c>
      <c r="G346" s="195" t="s">
        <v>237</v>
      </c>
      <c r="H346" s="196" t="s">
        <v>1710</v>
      </c>
      <c r="I346" s="181"/>
      <c r="J346" s="531"/>
      <c r="K346" s="531"/>
      <c r="L346" s="531"/>
      <c r="M346" s="531"/>
      <c r="N346" s="531"/>
      <c r="O346" s="531"/>
      <c r="P346" s="531"/>
      <c r="Q346" s="531">
        <v>35</v>
      </c>
      <c r="R346" s="531"/>
      <c r="S346" s="531">
        <v>28</v>
      </c>
      <c r="T346" s="531">
        <v>40</v>
      </c>
      <c r="U346" s="531"/>
      <c r="V346" s="531"/>
      <c r="W346" s="531"/>
      <c r="X346" s="531"/>
      <c r="Y346" s="531"/>
      <c r="Z346" s="531"/>
      <c r="AA346" s="531"/>
      <c r="AB346" s="531"/>
      <c r="AC346" s="532" t="e">
        <f>IF(NFI_Expiration=1,IF(#REF!&lt;VLOOKUP(L$5,NFI,5,0),1,0)*Table_NFI[[#This Row],[NFI Core Kit]],Table_NFI[NFI Core Kit])</f>
        <v>#REF!</v>
      </c>
      <c r="AD346" s="532" t="e">
        <f>IF(NFI_Expiration=1,IF(#REF!&lt;VLOOKUP(M$5,NFI,5,0),1,0)*Table_NFI[[#This Row],[Sanitary Kit]],Table_NFI[Sanitary Kit])</f>
        <v>#REF!</v>
      </c>
      <c r="AE346" s="532" t="e">
        <f>IF(NFI_Expiration=1,IF(#REF!&lt;VLOOKUP(N$5,NFI,5,0),1,0)*Table_NFI[[#This Row],[Mosquito net]],Table_NFI[Mosquito net])</f>
        <v>#REF!</v>
      </c>
      <c r="AF346" s="532" t="e">
        <f>IF(NFI_Expiration=1,IF(#REF!&lt;VLOOKUP(O$5,NFI,5,0),1,0)*Table_NFI[[#This Row],[Tarpaulin]],Table_NFI[[#This Row],[Tarpaulin]])</f>
        <v>#REF!</v>
      </c>
      <c r="AG346" s="532" t="e">
        <f>IF(NFI_Expiration=1,IF(#REF!&lt;VLOOKUP(P$5,NFI,5,0),1,0)*Table_NFI[[#This Row],[Blanket]],Table_NFI[[#This Row],[Blanket]])</f>
        <v>#REF!</v>
      </c>
      <c r="AH346" s="532" t="e">
        <f>IF(NFI_Expiration=1,IF(#REF!&lt;VLOOKUP(Q$5,NFI,5,0),1,0)*Table_NFI[[#This Row],[Kitchen Set]],Table_NFI[Kitchen Set])</f>
        <v>#REF!</v>
      </c>
      <c r="AI346" s="532" t="e">
        <f>IF(NFI_Expiration=1,IF(#REF!&lt;VLOOKUP(R$5,NFI,5,0),1,0)*Table_NFI[[#This Row],[Clothes Kit]],Table_NFI[Clothes Kit])</f>
        <v>#REF!</v>
      </c>
      <c r="AJ346" s="532" t="e">
        <f>IF(NFI_Expiration=1,IF(#REF!&lt;VLOOKUP(S$5,NFI,5,0),1,0)*Table_NFI[[#This Row],[Plastic Bucket]],Table_NFI[Plastic Bucket])</f>
        <v>#REF!</v>
      </c>
      <c r="AK346" s="532" t="e">
        <f>IF(NFI_Expiration=1,IF(#REF!&lt;VLOOKUP(T$5,NFI,5,0),1,0)*Table_NFI[[#This Row],[Plastic Mat]],Table_NFI[Plastic Mat])*IF(Table_NFI[[#This Row],[Distribution Date]]&gt;"2014-04-01",1,2.5)</f>
        <v>#REF!</v>
      </c>
      <c r="AL346" s="532" t="e">
        <f>IF(NFI_Expiration=1,IF(#REF!&lt;VLOOKUP(U$5,NFI,5,0),1,0)*Table_NFI[[#This Row],[Winter Clothes Adult]],Table_NFI[Winter Clothes Adult])</f>
        <v>#REF!</v>
      </c>
      <c r="AM346" s="532"/>
      <c r="AN346" s="532"/>
      <c r="AO346" s="532"/>
      <c r="AP346" s="532">
        <f>IF(Table_NFI[[#This Row],[Winter Clothes Adult]]+Table_NFI[[#This Row],[Winter Clothes Children]]+Table_NFI[[#This Row],[Winter Items Other]]+Table_NFI[[#This Row],[Winter Blanket]]&gt;0,1,0)</f>
        <v>0</v>
      </c>
      <c r="AQ346" s="532"/>
      <c r="AR346" s="532"/>
      <c r="AS346" s="532"/>
      <c r="AT346" s="532"/>
      <c r="AU346" s="532"/>
      <c r="AV346" s="532"/>
      <c r="AW346" s="532"/>
      <c r="AX346" s="203" t="str">
        <f>IFERROR(VLOOKUP(Table_NFI[[#This Row],[Location]],CL,2,0),"")</f>
        <v/>
      </c>
      <c r="AZ346" s="524"/>
      <c r="DS346" s="181"/>
      <c r="DT346" s="181"/>
    </row>
    <row r="347" spans="2:124" hidden="1" x14ac:dyDescent="0.3">
      <c r="B347" s="530">
        <v>43311</v>
      </c>
      <c r="C347" s="530" t="str">
        <f>MONTH(Table_NFI[[#This Row],[Distribution Date]]) &amp; "/" &amp; YEAR(Table_NFI[[#This Row],[Distribution Date]])</f>
        <v>7/2018</v>
      </c>
      <c r="D347" s="196" t="s">
        <v>420</v>
      </c>
      <c r="E347" s="196" t="s">
        <v>424</v>
      </c>
      <c r="F347" s="196" t="s">
        <v>506</v>
      </c>
      <c r="G347" s="195" t="s">
        <v>146</v>
      </c>
      <c r="H347" s="196" t="s">
        <v>1711</v>
      </c>
      <c r="I347" s="181"/>
      <c r="J347" s="531"/>
      <c r="K347" s="531"/>
      <c r="L347" s="531"/>
      <c r="M347" s="531"/>
      <c r="N347" s="531">
        <v>2</v>
      </c>
      <c r="O347" s="531">
        <v>1</v>
      </c>
      <c r="P347" s="531"/>
      <c r="Q347" s="531">
        <v>14</v>
      </c>
      <c r="R347" s="531"/>
      <c r="S347" s="531"/>
      <c r="T347" s="531">
        <v>32</v>
      </c>
      <c r="U347" s="531"/>
      <c r="V347" s="531"/>
      <c r="W347" s="531"/>
      <c r="X347" s="531"/>
      <c r="Y347" s="531">
        <v>15</v>
      </c>
      <c r="Z347" s="531"/>
      <c r="AA347" s="531"/>
      <c r="AB347" s="531"/>
      <c r="AC347" s="532" t="e">
        <f>IF(NFI_Expiration=1,IF(#REF!&lt;VLOOKUP(L$5,NFI,5,0),1,0)*Table_NFI[[#This Row],[NFI Core Kit]],Table_NFI[NFI Core Kit])</f>
        <v>#REF!</v>
      </c>
      <c r="AD347" s="532" t="e">
        <f>IF(NFI_Expiration=1,IF(#REF!&lt;VLOOKUP(M$5,NFI,5,0),1,0)*Table_NFI[[#This Row],[Sanitary Kit]],Table_NFI[Sanitary Kit])</f>
        <v>#REF!</v>
      </c>
      <c r="AE347" s="532" t="e">
        <f>IF(NFI_Expiration=1,IF(#REF!&lt;VLOOKUP(N$5,NFI,5,0),1,0)*Table_NFI[[#This Row],[Mosquito net]],Table_NFI[Mosquito net])</f>
        <v>#REF!</v>
      </c>
      <c r="AF347" s="532" t="e">
        <f>IF(NFI_Expiration=1,IF(#REF!&lt;VLOOKUP(O$5,NFI,5,0),1,0)*Table_NFI[[#This Row],[Tarpaulin]],Table_NFI[[#This Row],[Tarpaulin]])</f>
        <v>#REF!</v>
      </c>
      <c r="AG347" s="532" t="e">
        <f>IF(NFI_Expiration=1,IF(#REF!&lt;VLOOKUP(P$5,NFI,5,0),1,0)*Table_NFI[[#This Row],[Blanket]],Table_NFI[[#This Row],[Blanket]])</f>
        <v>#REF!</v>
      </c>
      <c r="AH347" s="532" t="e">
        <f>IF(NFI_Expiration=1,IF(#REF!&lt;VLOOKUP(Q$5,NFI,5,0),1,0)*Table_NFI[[#This Row],[Kitchen Set]],Table_NFI[Kitchen Set])</f>
        <v>#REF!</v>
      </c>
      <c r="AI347" s="532" t="e">
        <f>IF(NFI_Expiration=1,IF(#REF!&lt;VLOOKUP(R$5,NFI,5,0),1,0)*Table_NFI[[#This Row],[Clothes Kit]],Table_NFI[Clothes Kit])</f>
        <v>#REF!</v>
      </c>
      <c r="AJ347" s="532" t="e">
        <f>IF(NFI_Expiration=1,IF(#REF!&lt;VLOOKUP(S$5,NFI,5,0),1,0)*Table_NFI[[#This Row],[Plastic Bucket]],Table_NFI[Plastic Bucket])</f>
        <v>#REF!</v>
      </c>
      <c r="AK347" s="532" t="e">
        <f>IF(NFI_Expiration=1,IF(#REF!&lt;VLOOKUP(T$5,NFI,5,0),1,0)*Table_NFI[[#This Row],[Plastic Mat]],Table_NFI[Plastic Mat])*IF(Table_NFI[[#This Row],[Distribution Date]]&gt;"2014-04-01",1,2.5)</f>
        <v>#REF!</v>
      </c>
      <c r="AL347" s="532" t="e">
        <f>IF(NFI_Expiration=1,IF(#REF!&lt;VLOOKUP(U$5,NFI,5,0),1,0)*Table_NFI[[#This Row],[Winter Clothes Adult]],Table_NFI[Winter Clothes Adult])</f>
        <v>#REF!</v>
      </c>
      <c r="AM347" s="532"/>
      <c r="AN347" s="532"/>
      <c r="AO347" s="532"/>
      <c r="AP347" s="532">
        <f>IF(Table_NFI[[#This Row],[Winter Clothes Adult]]+Table_NFI[[#This Row],[Winter Clothes Children]]+Table_NFI[[#This Row],[Winter Items Other]]+Table_NFI[[#This Row],[Winter Blanket]]&gt;0,1,0)</f>
        <v>0</v>
      </c>
      <c r="AQ347" s="532"/>
      <c r="AR347" s="532"/>
      <c r="AS347" s="532"/>
      <c r="AT347" s="532"/>
      <c r="AU347" s="532"/>
      <c r="AV347" s="532"/>
      <c r="AW347" s="532"/>
      <c r="AX347" s="203" t="str">
        <f>IFERROR(VLOOKUP(Table_NFI[[#This Row],[Location]],CL,2,0),"")</f>
        <v/>
      </c>
      <c r="AZ347" s="524"/>
      <c r="DS347" s="181"/>
      <c r="DT347" s="181"/>
    </row>
    <row r="348" spans="2:124" hidden="1" x14ac:dyDescent="0.3">
      <c r="B348" s="530">
        <v>43311</v>
      </c>
      <c r="C348" s="530" t="str">
        <f>MONTH(Table_NFI[[#This Row],[Distribution Date]]) &amp; "/" &amp; YEAR(Table_NFI[[#This Row],[Distribution Date]])</f>
        <v>7/2018</v>
      </c>
      <c r="D348" s="196" t="s">
        <v>420</v>
      </c>
      <c r="E348" s="196" t="s">
        <v>424</v>
      </c>
      <c r="F348" s="196" t="s">
        <v>506</v>
      </c>
      <c r="G348" s="195" t="s">
        <v>146</v>
      </c>
      <c r="H348" s="175" t="s">
        <v>1555</v>
      </c>
      <c r="I348" s="181"/>
      <c r="J348" s="531"/>
      <c r="K348" s="531"/>
      <c r="L348" s="531"/>
      <c r="M348" s="531"/>
      <c r="N348" s="531"/>
      <c r="O348" s="531"/>
      <c r="P348" s="531">
        <v>10</v>
      </c>
      <c r="Q348" s="531"/>
      <c r="R348" s="531"/>
      <c r="S348" s="531"/>
      <c r="T348" s="531">
        <v>28</v>
      </c>
      <c r="U348" s="531"/>
      <c r="V348" s="531"/>
      <c r="W348" s="531"/>
      <c r="X348" s="531"/>
      <c r="Y348" s="531"/>
      <c r="Z348" s="531"/>
      <c r="AA348" s="531"/>
      <c r="AB348" s="531"/>
      <c r="AC348" s="532" t="e">
        <f>IF(NFI_Expiration=1,IF(#REF!&lt;VLOOKUP(L$5,NFI,5,0),1,0)*Table_NFI[[#This Row],[NFI Core Kit]],Table_NFI[NFI Core Kit])</f>
        <v>#REF!</v>
      </c>
      <c r="AD348" s="532" t="e">
        <f>IF(NFI_Expiration=1,IF(#REF!&lt;VLOOKUP(M$5,NFI,5,0),1,0)*Table_NFI[[#This Row],[Sanitary Kit]],Table_NFI[Sanitary Kit])</f>
        <v>#REF!</v>
      </c>
      <c r="AE348" s="532" t="e">
        <f>IF(NFI_Expiration=1,IF(#REF!&lt;VLOOKUP(N$5,NFI,5,0),1,0)*Table_NFI[[#This Row],[Mosquito net]],Table_NFI[Mosquito net])</f>
        <v>#REF!</v>
      </c>
      <c r="AF348" s="532" t="e">
        <f>IF(NFI_Expiration=1,IF(#REF!&lt;VLOOKUP(O$5,NFI,5,0),1,0)*Table_NFI[[#This Row],[Tarpaulin]],Table_NFI[[#This Row],[Tarpaulin]])</f>
        <v>#REF!</v>
      </c>
      <c r="AG348" s="532" t="e">
        <f>IF(NFI_Expiration=1,IF(#REF!&lt;VLOOKUP(P$5,NFI,5,0),1,0)*Table_NFI[[#This Row],[Blanket]],Table_NFI[[#This Row],[Blanket]])</f>
        <v>#REF!</v>
      </c>
      <c r="AH348" s="532" t="e">
        <f>IF(NFI_Expiration=1,IF(#REF!&lt;VLOOKUP(Q$5,NFI,5,0),1,0)*Table_NFI[[#This Row],[Kitchen Set]],Table_NFI[Kitchen Set])</f>
        <v>#REF!</v>
      </c>
      <c r="AI348" s="532" t="e">
        <f>IF(NFI_Expiration=1,IF(#REF!&lt;VLOOKUP(R$5,NFI,5,0),1,0)*Table_NFI[[#This Row],[Clothes Kit]],Table_NFI[Clothes Kit])</f>
        <v>#REF!</v>
      </c>
      <c r="AJ348" s="532" t="e">
        <f>IF(NFI_Expiration=1,IF(#REF!&lt;VLOOKUP(S$5,NFI,5,0),1,0)*Table_NFI[[#This Row],[Plastic Bucket]],Table_NFI[Plastic Bucket])</f>
        <v>#REF!</v>
      </c>
      <c r="AK348" s="532" t="e">
        <f>IF(NFI_Expiration=1,IF(#REF!&lt;VLOOKUP(T$5,NFI,5,0),1,0)*Table_NFI[[#This Row],[Plastic Mat]],Table_NFI[Plastic Mat])*IF(Table_NFI[[#This Row],[Distribution Date]]&gt;"2014-04-01",1,2.5)</f>
        <v>#REF!</v>
      </c>
      <c r="AL348" s="532" t="e">
        <f>IF(NFI_Expiration=1,IF(#REF!&lt;VLOOKUP(U$5,NFI,5,0),1,0)*Table_NFI[[#This Row],[Winter Clothes Adult]],Table_NFI[Winter Clothes Adult])</f>
        <v>#REF!</v>
      </c>
      <c r="AM348" s="532"/>
      <c r="AN348" s="532"/>
      <c r="AO348" s="532"/>
      <c r="AP348" s="532">
        <f>IF(Table_NFI[[#This Row],[Winter Clothes Adult]]+Table_NFI[[#This Row],[Winter Clothes Children]]+Table_NFI[[#This Row],[Winter Items Other]]+Table_NFI[[#This Row],[Winter Blanket]]&gt;0,1,0)</f>
        <v>0</v>
      </c>
      <c r="AQ348" s="532"/>
      <c r="AR348" s="532"/>
      <c r="AS348" s="532"/>
      <c r="AT348" s="532"/>
      <c r="AU348" s="532"/>
      <c r="AV348" s="532"/>
      <c r="AW348" s="532"/>
      <c r="AX348" s="203" t="str">
        <f>IFERROR(VLOOKUP(Table_NFI[[#This Row],[Location]],CL,2,0),"")</f>
        <v>MMR015CMP225</v>
      </c>
      <c r="AZ348" s="524"/>
      <c r="DS348" s="181"/>
      <c r="DT348" s="181"/>
    </row>
    <row r="349" spans="2:124" hidden="1" x14ac:dyDescent="0.3">
      <c r="B349" s="530">
        <v>43311</v>
      </c>
      <c r="C349" s="530" t="str">
        <f>MONTH(Table_NFI[[#This Row],[Distribution Date]]) &amp; "/" &amp; YEAR(Table_NFI[[#This Row],[Distribution Date]])</f>
        <v>7/2018</v>
      </c>
      <c r="D349" s="196" t="s">
        <v>420</v>
      </c>
      <c r="E349" s="196" t="s">
        <v>424</v>
      </c>
      <c r="F349" s="196" t="s">
        <v>506</v>
      </c>
      <c r="G349" s="195" t="s">
        <v>230</v>
      </c>
      <c r="H349" s="175" t="s">
        <v>716</v>
      </c>
      <c r="I349" s="181"/>
      <c r="J349" s="531"/>
      <c r="K349" s="531"/>
      <c r="L349" s="531"/>
      <c r="M349" s="531"/>
      <c r="N349" s="531">
        <v>76</v>
      </c>
      <c r="O349" s="531">
        <v>1</v>
      </c>
      <c r="P349" s="531">
        <v>153</v>
      </c>
      <c r="Q349" s="531"/>
      <c r="R349" s="531"/>
      <c r="S349" s="531"/>
      <c r="T349" s="531">
        <v>77</v>
      </c>
      <c r="U349" s="531">
        <v>156</v>
      </c>
      <c r="V349" s="531"/>
      <c r="W349" s="531"/>
      <c r="X349" s="531"/>
      <c r="Y349" s="531"/>
      <c r="Z349" s="531"/>
      <c r="AA349" s="531"/>
      <c r="AB349" s="531"/>
      <c r="AC349" s="532" t="e">
        <f>IF(NFI_Expiration=1,IF(#REF!&lt;VLOOKUP(L$5,NFI,5,0),1,0)*Table_NFI[[#This Row],[NFI Core Kit]],Table_NFI[NFI Core Kit])</f>
        <v>#REF!</v>
      </c>
      <c r="AD349" s="532" t="e">
        <f>IF(NFI_Expiration=1,IF(#REF!&lt;VLOOKUP(M$5,NFI,5,0),1,0)*Table_NFI[[#This Row],[Sanitary Kit]],Table_NFI[Sanitary Kit])</f>
        <v>#REF!</v>
      </c>
      <c r="AE349" s="532" t="e">
        <f>IF(NFI_Expiration=1,IF(#REF!&lt;VLOOKUP(N$5,NFI,5,0),1,0)*Table_NFI[[#This Row],[Mosquito net]],Table_NFI[Mosquito net])</f>
        <v>#REF!</v>
      </c>
      <c r="AF349" s="532" t="e">
        <f>IF(NFI_Expiration=1,IF(#REF!&lt;VLOOKUP(O$5,NFI,5,0),1,0)*Table_NFI[[#This Row],[Tarpaulin]],Table_NFI[[#This Row],[Tarpaulin]])</f>
        <v>#REF!</v>
      </c>
      <c r="AG349" s="532" t="e">
        <f>IF(NFI_Expiration=1,IF(#REF!&lt;VLOOKUP(P$5,NFI,5,0),1,0)*Table_NFI[[#This Row],[Blanket]],Table_NFI[[#This Row],[Blanket]])</f>
        <v>#REF!</v>
      </c>
      <c r="AH349" s="532" t="e">
        <f>IF(NFI_Expiration=1,IF(#REF!&lt;VLOOKUP(Q$5,NFI,5,0),1,0)*Table_NFI[[#This Row],[Kitchen Set]],Table_NFI[Kitchen Set])</f>
        <v>#REF!</v>
      </c>
      <c r="AI349" s="532" t="e">
        <f>IF(NFI_Expiration=1,IF(#REF!&lt;VLOOKUP(R$5,NFI,5,0),1,0)*Table_NFI[[#This Row],[Clothes Kit]],Table_NFI[Clothes Kit])</f>
        <v>#REF!</v>
      </c>
      <c r="AJ349" s="532" t="e">
        <f>IF(NFI_Expiration=1,IF(#REF!&lt;VLOOKUP(S$5,NFI,5,0),1,0)*Table_NFI[[#This Row],[Plastic Bucket]],Table_NFI[Plastic Bucket])</f>
        <v>#REF!</v>
      </c>
      <c r="AK349" s="532" t="e">
        <f>IF(NFI_Expiration=1,IF(#REF!&lt;VLOOKUP(T$5,NFI,5,0),1,0)*Table_NFI[[#This Row],[Plastic Mat]],Table_NFI[Plastic Mat])*IF(Table_NFI[[#This Row],[Distribution Date]]&gt;"2014-04-01",1,2.5)</f>
        <v>#REF!</v>
      </c>
      <c r="AL349" s="532" t="e">
        <f>IF(NFI_Expiration=1,IF(#REF!&lt;VLOOKUP(U$5,NFI,5,0),1,0)*Table_NFI[[#This Row],[Winter Clothes Adult]],Table_NFI[Winter Clothes Adult])</f>
        <v>#REF!</v>
      </c>
      <c r="AM349" s="532"/>
      <c r="AN349" s="532"/>
      <c r="AO349" s="532"/>
      <c r="AP349" s="532">
        <f>IF(Table_NFI[[#This Row],[Winter Clothes Adult]]+Table_NFI[[#This Row],[Winter Clothes Children]]+Table_NFI[[#This Row],[Winter Items Other]]+Table_NFI[[#This Row],[Winter Blanket]]&gt;0,1,0)</f>
        <v>1</v>
      </c>
      <c r="AQ349" s="532"/>
      <c r="AR349" s="532"/>
      <c r="AS349" s="532"/>
      <c r="AT349" s="532"/>
      <c r="AU349" s="532"/>
      <c r="AV349" s="532"/>
      <c r="AW349" s="532"/>
      <c r="AX349" s="203" t="str">
        <f>IFERROR(VLOOKUP(Table_NFI[[#This Row],[Location]],CL,2,0),"")</f>
        <v>MMR015CMP247</v>
      </c>
      <c r="AZ349" s="524"/>
      <c r="DS349" s="181"/>
      <c r="DT349" s="181"/>
    </row>
    <row r="350" spans="2:124" hidden="1" x14ac:dyDescent="0.3">
      <c r="B350" s="530">
        <v>43311</v>
      </c>
      <c r="C350" s="530" t="str">
        <f>MONTH(Table_NFI[[#This Row],[Distribution Date]]) &amp; "/" &amp; YEAR(Table_NFI[[#This Row],[Distribution Date]])</f>
        <v>7/2018</v>
      </c>
      <c r="D350" s="196" t="s">
        <v>420</v>
      </c>
      <c r="E350" s="196" t="s">
        <v>424</v>
      </c>
      <c r="F350" s="196" t="s">
        <v>506</v>
      </c>
      <c r="G350" s="195" t="s">
        <v>288</v>
      </c>
      <c r="H350" s="175" t="s">
        <v>915</v>
      </c>
      <c r="I350" s="181"/>
      <c r="J350" s="531"/>
      <c r="K350" s="531"/>
      <c r="L350" s="531"/>
      <c r="M350" s="531"/>
      <c r="N350" s="531">
        <v>58</v>
      </c>
      <c r="O350" s="531"/>
      <c r="P350" s="531">
        <v>115</v>
      </c>
      <c r="Q350" s="531"/>
      <c r="R350" s="531"/>
      <c r="S350" s="531">
        <v>115</v>
      </c>
      <c r="T350" s="531">
        <v>77</v>
      </c>
      <c r="U350" s="531"/>
      <c r="V350" s="531"/>
      <c r="W350" s="531"/>
      <c r="X350" s="531"/>
      <c r="Y350" s="531"/>
      <c r="Z350" s="531"/>
      <c r="AA350" s="531"/>
      <c r="AB350" s="531"/>
      <c r="AC350" s="532" t="e">
        <f>IF(NFI_Expiration=1,IF(#REF!&lt;VLOOKUP(L$5,NFI,5,0),1,0)*Table_NFI[[#This Row],[NFI Core Kit]],Table_NFI[NFI Core Kit])</f>
        <v>#REF!</v>
      </c>
      <c r="AD350" s="532" t="e">
        <f>IF(NFI_Expiration=1,IF(#REF!&lt;VLOOKUP(M$5,NFI,5,0),1,0)*Table_NFI[[#This Row],[Sanitary Kit]],Table_NFI[Sanitary Kit])</f>
        <v>#REF!</v>
      </c>
      <c r="AE350" s="532" t="e">
        <f>IF(NFI_Expiration=1,IF(#REF!&lt;VLOOKUP(N$5,NFI,5,0),1,0)*Table_NFI[[#This Row],[Mosquito net]],Table_NFI[Mosquito net])</f>
        <v>#REF!</v>
      </c>
      <c r="AF350" s="532" t="e">
        <f>IF(NFI_Expiration=1,IF(#REF!&lt;VLOOKUP(O$5,NFI,5,0),1,0)*Table_NFI[[#This Row],[Tarpaulin]],Table_NFI[[#This Row],[Tarpaulin]])</f>
        <v>#REF!</v>
      </c>
      <c r="AG350" s="532" t="e">
        <f>IF(NFI_Expiration=1,IF(#REF!&lt;VLOOKUP(P$5,NFI,5,0),1,0)*Table_NFI[[#This Row],[Blanket]],Table_NFI[[#This Row],[Blanket]])</f>
        <v>#REF!</v>
      </c>
      <c r="AH350" s="532" t="e">
        <f>IF(NFI_Expiration=1,IF(#REF!&lt;VLOOKUP(Q$5,NFI,5,0),1,0)*Table_NFI[[#This Row],[Kitchen Set]],Table_NFI[Kitchen Set])</f>
        <v>#REF!</v>
      </c>
      <c r="AI350" s="532" t="e">
        <f>IF(NFI_Expiration=1,IF(#REF!&lt;VLOOKUP(R$5,NFI,5,0),1,0)*Table_NFI[[#This Row],[Clothes Kit]],Table_NFI[Clothes Kit])</f>
        <v>#REF!</v>
      </c>
      <c r="AJ350" s="532" t="e">
        <f>IF(NFI_Expiration=1,IF(#REF!&lt;VLOOKUP(S$5,NFI,5,0),1,0)*Table_NFI[[#This Row],[Plastic Bucket]],Table_NFI[Plastic Bucket])</f>
        <v>#REF!</v>
      </c>
      <c r="AK350" s="532" t="e">
        <f>IF(NFI_Expiration=1,IF(#REF!&lt;VLOOKUP(T$5,NFI,5,0),1,0)*Table_NFI[[#This Row],[Plastic Mat]],Table_NFI[Plastic Mat])*IF(Table_NFI[[#This Row],[Distribution Date]]&gt;"2014-04-01",1,2.5)</f>
        <v>#REF!</v>
      </c>
      <c r="AL350" s="532" t="e">
        <f>IF(NFI_Expiration=1,IF(#REF!&lt;VLOOKUP(U$5,NFI,5,0),1,0)*Table_NFI[[#This Row],[Winter Clothes Adult]],Table_NFI[Winter Clothes Adult])</f>
        <v>#REF!</v>
      </c>
      <c r="AM350" s="532"/>
      <c r="AN350" s="532"/>
      <c r="AO350" s="532"/>
      <c r="AP350" s="532">
        <f>IF(Table_NFI[[#This Row],[Winter Clothes Adult]]+Table_NFI[[#This Row],[Winter Clothes Children]]+Table_NFI[[#This Row],[Winter Items Other]]+Table_NFI[[#This Row],[Winter Blanket]]&gt;0,1,0)</f>
        <v>0</v>
      </c>
      <c r="AQ350" s="532"/>
      <c r="AR350" s="532"/>
      <c r="AS350" s="532"/>
      <c r="AT350" s="532"/>
      <c r="AU350" s="532"/>
      <c r="AV350" s="532"/>
      <c r="AW350" s="532"/>
      <c r="AX350" s="203" t="str">
        <f>IFERROR(VLOOKUP(Table_NFI[[#This Row],[Location]],CL,2,0),"")</f>
        <v>MMR015CMP215</v>
      </c>
      <c r="AZ350" s="524"/>
      <c r="DS350" s="181"/>
      <c r="DT350" s="181"/>
    </row>
    <row r="351" spans="2:124" hidden="1" x14ac:dyDescent="0.3">
      <c r="B351" s="530">
        <v>43311</v>
      </c>
      <c r="C351" s="530" t="str">
        <f>MONTH(Table_NFI[[#This Row],[Distribution Date]]) &amp; "/" &amp; YEAR(Table_NFI[[#This Row],[Distribution Date]])</f>
        <v>7/2018</v>
      </c>
      <c r="D351" s="196" t="s">
        <v>420</v>
      </c>
      <c r="E351" s="196" t="s">
        <v>424</v>
      </c>
      <c r="F351" s="196" t="s">
        <v>506</v>
      </c>
      <c r="G351" s="195" t="s">
        <v>288</v>
      </c>
      <c r="H351" s="175" t="s">
        <v>291</v>
      </c>
      <c r="I351" s="181"/>
      <c r="J351" s="531"/>
      <c r="K351" s="531"/>
      <c r="L351" s="531"/>
      <c r="M351" s="531"/>
      <c r="N351" s="531">
        <v>80</v>
      </c>
      <c r="O351" s="531">
        <v>17</v>
      </c>
      <c r="P351" s="531">
        <v>76</v>
      </c>
      <c r="Q351" s="531"/>
      <c r="R351" s="531"/>
      <c r="S351" s="531">
        <v>63</v>
      </c>
      <c r="T351" s="531"/>
      <c r="U351" s="531"/>
      <c r="V351" s="531"/>
      <c r="W351" s="531"/>
      <c r="X351" s="531"/>
      <c r="Y351" s="531">
        <v>15</v>
      </c>
      <c r="Z351" s="531"/>
      <c r="AA351" s="531"/>
      <c r="AB351" s="531"/>
      <c r="AC351" s="532" t="e">
        <f>IF(NFI_Expiration=1,IF(#REF!&lt;VLOOKUP(L$5,NFI,5,0),1,0)*Table_NFI[[#This Row],[NFI Core Kit]],Table_NFI[NFI Core Kit])</f>
        <v>#REF!</v>
      </c>
      <c r="AD351" s="532" t="e">
        <f>IF(NFI_Expiration=1,IF(#REF!&lt;VLOOKUP(M$5,NFI,5,0),1,0)*Table_NFI[[#This Row],[Sanitary Kit]],Table_NFI[Sanitary Kit])</f>
        <v>#REF!</v>
      </c>
      <c r="AE351" s="532" t="e">
        <f>IF(NFI_Expiration=1,IF(#REF!&lt;VLOOKUP(N$5,NFI,5,0),1,0)*Table_NFI[[#This Row],[Mosquito net]],Table_NFI[Mosquito net])</f>
        <v>#REF!</v>
      </c>
      <c r="AF351" s="532" t="e">
        <f>IF(NFI_Expiration=1,IF(#REF!&lt;VLOOKUP(O$5,NFI,5,0),1,0)*Table_NFI[[#This Row],[Tarpaulin]],Table_NFI[[#This Row],[Tarpaulin]])</f>
        <v>#REF!</v>
      </c>
      <c r="AG351" s="532" t="e">
        <f>IF(NFI_Expiration=1,IF(#REF!&lt;VLOOKUP(P$5,NFI,5,0),1,0)*Table_NFI[[#This Row],[Blanket]],Table_NFI[[#This Row],[Blanket]])</f>
        <v>#REF!</v>
      </c>
      <c r="AH351" s="532" t="e">
        <f>IF(NFI_Expiration=1,IF(#REF!&lt;VLOOKUP(Q$5,NFI,5,0),1,0)*Table_NFI[[#This Row],[Kitchen Set]],Table_NFI[Kitchen Set])</f>
        <v>#REF!</v>
      </c>
      <c r="AI351" s="532" t="e">
        <f>IF(NFI_Expiration=1,IF(#REF!&lt;VLOOKUP(R$5,NFI,5,0),1,0)*Table_NFI[[#This Row],[Clothes Kit]],Table_NFI[Clothes Kit])</f>
        <v>#REF!</v>
      </c>
      <c r="AJ351" s="532" t="e">
        <f>IF(NFI_Expiration=1,IF(#REF!&lt;VLOOKUP(S$5,NFI,5,0),1,0)*Table_NFI[[#This Row],[Plastic Bucket]],Table_NFI[Plastic Bucket])</f>
        <v>#REF!</v>
      </c>
      <c r="AK351" s="532" t="e">
        <f>IF(NFI_Expiration=1,IF(#REF!&lt;VLOOKUP(T$5,NFI,5,0),1,0)*Table_NFI[[#This Row],[Plastic Mat]],Table_NFI[Plastic Mat])*IF(Table_NFI[[#This Row],[Distribution Date]]&gt;"2014-04-01",1,2.5)</f>
        <v>#REF!</v>
      </c>
      <c r="AL351" s="532" t="e">
        <f>IF(NFI_Expiration=1,IF(#REF!&lt;VLOOKUP(U$5,NFI,5,0),1,0)*Table_NFI[[#This Row],[Winter Clothes Adult]],Table_NFI[Winter Clothes Adult])</f>
        <v>#REF!</v>
      </c>
      <c r="AM351" s="532"/>
      <c r="AN351" s="532"/>
      <c r="AO351" s="532"/>
      <c r="AP351" s="532">
        <f>IF(Table_NFI[[#This Row],[Winter Clothes Adult]]+Table_NFI[[#This Row],[Winter Clothes Children]]+Table_NFI[[#This Row],[Winter Items Other]]+Table_NFI[[#This Row],[Winter Blanket]]&gt;0,1,0)</f>
        <v>0</v>
      </c>
      <c r="AQ351" s="532"/>
      <c r="AR351" s="532"/>
      <c r="AS351" s="532"/>
      <c r="AT351" s="532"/>
      <c r="AU351" s="532"/>
      <c r="AV351" s="532"/>
      <c r="AW351" s="532"/>
      <c r="AX351" s="203" t="str">
        <f>IFERROR(VLOOKUP(Table_NFI[[#This Row],[Location]],CL,2,0),"")</f>
        <v>MMR015CMP004</v>
      </c>
      <c r="AZ351" s="524"/>
      <c r="DS351" s="181"/>
      <c r="DT351" s="181"/>
    </row>
    <row r="352" spans="2:124" hidden="1" x14ac:dyDescent="0.3">
      <c r="B352" s="530">
        <v>43311</v>
      </c>
      <c r="C352" s="530" t="str">
        <f>MONTH(Table_NFI[[#This Row],[Distribution Date]]) &amp; "/" &amp; YEAR(Table_NFI[[#This Row],[Distribution Date]])</f>
        <v>7/2018</v>
      </c>
      <c r="D352" s="196" t="s">
        <v>420</v>
      </c>
      <c r="E352" s="196" t="s">
        <v>424</v>
      </c>
      <c r="F352" s="196" t="s">
        <v>378</v>
      </c>
      <c r="G352" s="195" t="s">
        <v>151</v>
      </c>
      <c r="H352" s="175" t="s">
        <v>160</v>
      </c>
      <c r="I352" s="181"/>
      <c r="J352" s="531"/>
      <c r="K352" s="531"/>
      <c r="L352" s="531"/>
      <c r="M352" s="531"/>
      <c r="N352" s="531">
        <v>66</v>
      </c>
      <c r="O352" s="531">
        <v>4</v>
      </c>
      <c r="P352" s="531">
        <v>61</v>
      </c>
      <c r="Q352" s="531"/>
      <c r="R352" s="531"/>
      <c r="S352" s="531"/>
      <c r="T352" s="531">
        <v>177</v>
      </c>
      <c r="U352" s="531">
        <v>128</v>
      </c>
      <c r="V352" s="531"/>
      <c r="W352" s="531"/>
      <c r="X352" s="531"/>
      <c r="Y352" s="531"/>
      <c r="Z352" s="531"/>
      <c r="AA352" s="531"/>
      <c r="AB352" s="531"/>
      <c r="AC352" s="532" t="e">
        <f>IF(NFI_Expiration=1,IF(#REF!&lt;VLOOKUP(L$5,NFI,5,0),1,0)*Table_NFI[[#This Row],[NFI Core Kit]],Table_NFI[NFI Core Kit])</f>
        <v>#REF!</v>
      </c>
      <c r="AD352" s="532" t="e">
        <f>IF(NFI_Expiration=1,IF(#REF!&lt;VLOOKUP(M$5,NFI,5,0),1,0)*Table_NFI[[#This Row],[Sanitary Kit]],Table_NFI[Sanitary Kit])</f>
        <v>#REF!</v>
      </c>
      <c r="AE352" s="532" t="e">
        <f>IF(NFI_Expiration=1,IF(#REF!&lt;VLOOKUP(N$5,NFI,5,0),1,0)*Table_NFI[[#This Row],[Mosquito net]],Table_NFI[Mosquito net])</f>
        <v>#REF!</v>
      </c>
      <c r="AF352" s="532" t="e">
        <f>IF(NFI_Expiration=1,IF(#REF!&lt;VLOOKUP(O$5,NFI,5,0),1,0)*Table_NFI[[#This Row],[Tarpaulin]],Table_NFI[[#This Row],[Tarpaulin]])</f>
        <v>#REF!</v>
      </c>
      <c r="AG352" s="532" t="e">
        <f>IF(NFI_Expiration=1,IF(#REF!&lt;VLOOKUP(P$5,NFI,5,0),1,0)*Table_NFI[[#This Row],[Blanket]],Table_NFI[[#This Row],[Blanket]])</f>
        <v>#REF!</v>
      </c>
      <c r="AH352" s="532" t="e">
        <f>IF(NFI_Expiration=1,IF(#REF!&lt;VLOOKUP(Q$5,NFI,5,0),1,0)*Table_NFI[[#This Row],[Kitchen Set]],Table_NFI[Kitchen Set])</f>
        <v>#REF!</v>
      </c>
      <c r="AI352" s="532" t="e">
        <f>IF(NFI_Expiration=1,IF(#REF!&lt;VLOOKUP(R$5,NFI,5,0),1,0)*Table_NFI[[#This Row],[Clothes Kit]],Table_NFI[Clothes Kit])</f>
        <v>#REF!</v>
      </c>
      <c r="AJ352" s="532" t="e">
        <f>IF(NFI_Expiration=1,IF(#REF!&lt;VLOOKUP(S$5,NFI,5,0),1,0)*Table_NFI[[#This Row],[Plastic Bucket]],Table_NFI[Plastic Bucket])</f>
        <v>#REF!</v>
      </c>
      <c r="AK352" s="532" t="e">
        <f>IF(NFI_Expiration=1,IF(#REF!&lt;VLOOKUP(T$5,NFI,5,0),1,0)*Table_NFI[[#This Row],[Plastic Mat]],Table_NFI[Plastic Mat])*IF(Table_NFI[[#This Row],[Distribution Date]]&gt;"2014-04-01",1,2.5)</f>
        <v>#REF!</v>
      </c>
      <c r="AL352" s="532" t="e">
        <f>IF(NFI_Expiration=1,IF(#REF!&lt;VLOOKUP(U$5,NFI,5,0),1,0)*Table_NFI[[#This Row],[Winter Clothes Adult]],Table_NFI[Winter Clothes Adult])</f>
        <v>#REF!</v>
      </c>
      <c r="AM352" s="532"/>
      <c r="AN352" s="532"/>
      <c r="AO352" s="532"/>
      <c r="AP352" s="532">
        <f>IF(Table_NFI[[#This Row],[Winter Clothes Adult]]+Table_NFI[[#This Row],[Winter Clothes Children]]+Table_NFI[[#This Row],[Winter Items Other]]+Table_NFI[[#This Row],[Winter Blanket]]&gt;0,1,0)</f>
        <v>1</v>
      </c>
      <c r="AQ352" s="532"/>
      <c r="AR352" s="532"/>
      <c r="AS352" s="532"/>
      <c r="AT352" s="532"/>
      <c r="AU352" s="532"/>
      <c r="AV352" s="532"/>
      <c r="AW352" s="532"/>
      <c r="AX352" s="203" t="str">
        <f>IFERROR(VLOOKUP(Table_NFI[[#This Row],[Location]],CL,2,0),"")</f>
        <v>MMR001CMP133</v>
      </c>
      <c r="AZ352" s="524"/>
      <c r="DS352" s="181"/>
      <c r="DT352" s="181"/>
    </row>
    <row r="353" spans="2:124" hidden="1" x14ac:dyDescent="0.3">
      <c r="B353" s="530">
        <v>43311</v>
      </c>
      <c r="C353" s="530" t="str">
        <f>MONTH(Table_NFI[[#This Row],[Distribution Date]]) &amp; "/" &amp; YEAR(Table_NFI[[#This Row],[Distribution Date]])</f>
        <v>7/2018</v>
      </c>
      <c r="D353" s="196" t="s">
        <v>420</v>
      </c>
      <c r="E353" s="196" t="s">
        <v>424</v>
      </c>
      <c r="F353" s="196" t="s">
        <v>378</v>
      </c>
      <c r="G353" s="195" t="s">
        <v>151</v>
      </c>
      <c r="H353" s="175" t="s">
        <v>936</v>
      </c>
      <c r="I353" s="181"/>
      <c r="J353" s="531"/>
      <c r="K353" s="531"/>
      <c r="L353" s="531">
        <v>25</v>
      </c>
      <c r="M353" s="531"/>
      <c r="N353" s="531">
        <v>78</v>
      </c>
      <c r="O353" s="531"/>
      <c r="P353" s="531">
        <v>156</v>
      </c>
      <c r="Q353" s="531"/>
      <c r="R353" s="531"/>
      <c r="S353" s="531"/>
      <c r="T353" s="531">
        <v>82</v>
      </c>
      <c r="U353" s="531">
        <v>155</v>
      </c>
      <c r="V353" s="531"/>
      <c r="W353" s="531"/>
      <c r="X353" s="531"/>
      <c r="Y353" s="531"/>
      <c r="Z353" s="531"/>
      <c r="AA353" s="531"/>
      <c r="AB353" s="531"/>
      <c r="AC353" s="532" t="e">
        <f>IF(NFI_Expiration=1,IF(#REF!&lt;VLOOKUP(L$5,NFI,5,0),1,0)*Table_NFI[[#This Row],[NFI Core Kit]],Table_NFI[NFI Core Kit])</f>
        <v>#REF!</v>
      </c>
      <c r="AD353" s="532" t="e">
        <f>IF(NFI_Expiration=1,IF(#REF!&lt;VLOOKUP(M$5,NFI,5,0),1,0)*Table_NFI[[#This Row],[Sanitary Kit]],Table_NFI[Sanitary Kit])</f>
        <v>#REF!</v>
      </c>
      <c r="AE353" s="532" t="e">
        <f>IF(NFI_Expiration=1,IF(#REF!&lt;VLOOKUP(N$5,NFI,5,0),1,0)*Table_NFI[[#This Row],[Mosquito net]],Table_NFI[Mosquito net])</f>
        <v>#REF!</v>
      </c>
      <c r="AF353" s="532" t="e">
        <f>IF(NFI_Expiration=1,IF(#REF!&lt;VLOOKUP(O$5,NFI,5,0),1,0)*Table_NFI[[#This Row],[Tarpaulin]],Table_NFI[[#This Row],[Tarpaulin]])</f>
        <v>#REF!</v>
      </c>
      <c r="AG353" s="532" t="e">
        <f>IF(NFI_Expiration=1,IF(#REF!&lt;VLOOKUP(P$5,NFI,5,0),1,0)*Table_NFI[[#This Row],[Blanket]],Table_NFI[[#This Row],[Blanket]])</f>
        <v>#REF!</v>
      </c>
      <c r="AH353" s="532" t="e">
        <f>IF(NFI_Expiration=1,IF(#REF!&lt;VLOOKUP(Q$5,NFI,5,0),1,0)*Table_NFI[[#This Row],[Kitchen Set]],Table_NFI[Kitchen Set])</f>
        <v>#REF!</v>
      </c>
      <c r="AI353" s="532" t="e">
        <f>IF(NFI_Expiration=1,IF(#REF!&lt;VLOOKUP(R$5,NFI,5,0),1,0)*Table_NFI[[#This Row],[Clothes Kit]],Table_NFI[Clothes Kit])</f>
        <v>#REF!</v>
      </c>
      <c r="AJ353" s="532" t="e">
        <f>IF(NFI_Expiration=1,IF(#REF!&lt;VLOOKUP(S$5,NFI,5,0),1,0)*Table_NFI[[#This Row],[Plastic Bucket]],Table_NFI[Plastic Bucket])</f>
        <v>#REF!</v>
      </c>
      <c r="AK353" s="532" t="e">
        <f>IF(NFI_Expiration=1,IF(#REF!&lt;VLOOKUP(T$5,NFI,5,0),1,0)*Table_NFI[[#This Row],[Plastic Mat]],Table_NFI[Plastic Mat])*IF(Table_NFI[[#This Row],[Distribution Date]]&gt;"2014-04-01",1,2.5)</f>
        <v>#REF!</v>
      </c>
      <c r="AL353" s="532" t="e">
        <f>IF(NFI_Expiration=1,IF(#REF!&lt;VLOOKUP(U$5,NFI,5,0),1,0)*Table_NFI[[#This Row],[Winter Clothes Adult]],Table_NFI[Winter Clothes Adult])</f>
        <v>#REF!</v>
      </c>
      <c r="AM353" s="532"/>
      <c r="AN353" s="532"/>
      <c r="AO353" s="532"/>
      <c r="AP353" s="532">
        <f>IF(Table_NFI[[#This Row],[Winter Clothes Adult]]+Table_NFI[[#This Row],[Winter Clothes Children]]+Table_NFI[[#This Row],[Winter Items Other]]+Table_NFI[[#This Row],[Winter Blanket]]&gt;0,1,0)</f>
        <v>1</v>
      </c>
      <c r="AQ353" s="532"/>
      <c r="AR353" s="532"/>
      <c r="AS353" s="532"/>
      <c r="AT353" s="532"/>
      <c r="AU353" s="532"/>
      <c r="AV353" s="532"/>
      <c r="AW353" s="532"/>
      <c r="AX353" s="203" t="str">
        <f>IFERROR(VLOOKUP(Table_NFI[[#This Row],[Location]],CL,2,0),"")</f>
        <v>MMR001CMP230</v>
      </c>
      <c r="AZ353" s="524"/>
      <c r="DS353" s="181"/>
      <c r="DT353" s="181"/>
    </row>
    <row r="354" spans="2:124" hidden="1" x14ac:dyDescent="0.3">
      <c r="B354" s="530">
        <v>43311</v>
      </c>
      <c r="C354" s="530" t="str">
        <f>MONTH(Table_NFI[[#This Row],[Distribution Date]]) &amp; "/" &amp; YEAR(Table_NFI[[#This Row],[Distribution Date]])</f>
        <v>7/2018</v>
      </c>
      <c r="D354" s="196" t="s">
        <v>420</v>
      </c>
      <c r="E354" s="196" t="s">
        <v>424</v>
      </c>
      <c r="F354" s="196" t="s">
        <v>506</v>
      </c>
      <c r="G354" s="195" t="s">
        <v>230</v>
      </c>
      <c r="H354" s="175" t="s">
        <v>901</v>
      </c>
      <c r="I354" s="181"/>
      <c r="J354" s="531"/>
      <c r="K354" s="531"/>
      <c r="L354" s="531">
        <v>24</v>
      </c>
      <c r="M354" s="531"/>
      <c r="N354" s="531">
        <v>41</v>
      </c>
      <c r="O354" s="531"/>
      <c r="P354" s="531"/>
      <c r="Q354" s="531"/>
      <c r="R354" s="531"/>
      <c r="S354" s="531"/>
      <c r="T354" s="531">
        <v>55</v>
      </c>
      <c r="U354" s="531">
        <v>17</v>
      </c>
      <c r="V354" s="531"/>
      <c r="W354" s="531"/>
      <c r="X354" s="531"/>
      <c r="Y354" s="531"/>
      <c r="Z354" s="531"/>
      <c r="AA354" s="531"/>
      <c r="AB354" s="531"/>
      <c r="AC354" s="532" t="e">
        <f>IF(NFI_Expiration=1,IF(#REF!&lt;VLOOKUP(L$5,NFI,5,0),1,0)*Table_NFI[[#This Row],[NFI Core Kit]],Table_NFI[NFI Core Kit])</f>
        <v>#REF!</v>
      </c>
      <c r="AD354" s="532" t="e">
        <f>IF(NFI_Expiration=1,IF(#REF!&lt;VLOOKUP(M$5,NFI,5,0),1,0)*Table_NFI[[#This Row],[Sanitary Kit]],Table_NFI[Sanitary Kit])</f>
        <v>#REF!</v>
      </c>
      <c r="AE354" s="532" t="e">
        <f>IF(NFI_Expiration=1,IF(#REF!&lt;VLOOKUP(N$5,NFI,5,0),1,0)*Table_NFI[[#This Row],[Mosquito net]],Table_NFI[Mosquito net])</f>
        <v>#REF!</v>
      </c>
      <c r="AF354" s="532" t="e">
        <f>IF(NFI_Expiration=1,IF(#REF!&lt;VLOOKUP(O$5,NFI,5,0),1,0)*Table_NFI[[#This Row],[Tarpaulin]],Table_NFI[[#This Row],[Tarpaulin]])</f>
        <v>#REF!</v>
      </c>
      <c r="AG354" s="532" t="e">
        <f>IF(NFI_Expiration=1,IF(#REF!&lt;VLOOKUP(P$5,NFI,5,0),1,0)*Table_NFI[[#This Row],[Blanket]],Table_NFI[[#This Row],[Blanket]])</f>
        <v>#REF!</v>
      </c>
      <c r="AH354" s="532" t="e">
        <f>IF(NFI_Expiration=1,IF(#REF!&lt;VLOOKUP(Q$5,NFI,5,0),1,0)*Table_NFI[[#This Row],[Kitchen Set]],Table_NFI[Kitchen Set])</f>
        <v>#REF!</v>
      </c>
      <c r="AI354" s="532" t="e">
        <f>IF(NFI_Expiration=1,IF(#REF!&lt;VLOOKUP(R$5,NFI,5,0),1,0)*Table_NFI[[#This Row],[Clothes Kit]],Table_NFI[Clothes Kit])</f>
        <v>#REF!</v>
      </c>
      <c r="AJ354" s="532" t="e">
        <f>IF(NFI_Expiration=1,IF(#REF!&lt;VLOOKUP(S$5,NFI,5,0),1,0)*Table_NFI[[#This Row],[Plastic Bucket]],Table_NFI[Plastic Bucket])</f>
        <v>#REF!</v>
      </c>
      <c r="AK354" s="532" t="e">
        <f>IF(NFI_Expiration=1,IF(#REF!&lt;VLOOKUP(T$5,NFI,5,0),1,0)*Table_NFI[[#This Row],[Plastic Mat]],Table_NFI[Plastic Mat])*IF(Table_NFI[[#This Row],[Distribution Date]]&gt;"2014-04-01",1,2.5)</f>
        <v>#REF!</v>
      </c>
      <c r="AL354" s="532" t="e">
        <f>IF(NFI_Expiration=1,IF(#REF!&lt;VLOOKUP(U$5,NFI,5,0),1,0)*Table_NFI[[#This Row],[Winter Clothes Adult]],Table_NFI[Winter Clothes Adult])</f>
        <v>#REF!</v>
      </c>
      <c r="AM354" s="532"/>
      <c r="AN354" s="532"/>
      <c r="AO354" s="532"/>
      <c r="AP354" s="532">
        <f>IF(Table_NFI[[#This Row],[Winter Clothes Adult]]+Table_NFI[[#This Row],[Winter Clothes Children]]+Table_NFI[[#This Row],[Winter Items Other]]+Table_NFI[[#This Row],[Winter Blanket]]&gt;0,1,0)</f>
        <v>1</v>
      </c>
      <c r="AQ354" s="532"/>
      <c r="AR354" s="532"/>
      <c r="AS354" s="532"/>
      <c r="AT354" s="532"/>
      <c r="AU354" s="532"/>
      <c r="AV354" s="532"/>
      <c r="AW354" s="532"/>
      <c r="AX354" s="203" t="str">
        <f>IFERROR(VLOOKUP(Table_NFI[[#This Row],[Location]],CL,2,0),"")</f>
        <v>MMR015CMP213</v>
      </c>
      <c r="AZ354" s="524"/>
      <c r="DS354" s="181"/>
      <c r="DT354" s="181"/>
    </row>
    <row r="355" spans="2:124" hidden="1" x14ac:dyDescent="0.3">
      <c r="B355" s="530">
        <v>43311</v>
      </c>
      <c r="C355" s="530" t="str">
        <f>MONTH(Table_NFI[[#This Row],[Distribution Date]]) &amp; "/" &amp; YEAR(Table_NFI[[#This Row],[Distribution Date]])</f>
        <v>7/2018</v>
      </c>
      <c r="D355" s="196" t="s">
        <v>420</v>
      </c>
      <c r="E355" s="196" t="s">
        <v>424</v>
      </c>
      <c r="F355" s="196" t="s">
        <v>506</v>
      </c>
      <c r="G355" s="195" t="s">
        <v>288</v>
      </c>
      <c r="H355" s="175" t="s">
        <v>289</v>
      </c>
      <c r="I355" s="181"/>
      <c r="J355" s="531"/>
      <c r="K355" s="531"/>
      <c r="L355" s="531">
        <v>67</v>
      </c>
      <c r="M355" s="531"/>
      <c r="N355" s="531">
        <v>68</v>
      </c>
      <c r="O355" s="531"/>
      <c r="P355" s="531"/>
      <c r="Q355" s="531"/>
      <c r="R355" s="531"/>
      <c r="S355" s="531"/>
      <c r="T355" s="531">
        <v>95</v>
      </c>
      <c r="U355" s="531"/>
      <c r="V355" s="531"/>
      <c r="W355" s="531"/>
      <c r="X355" s="531"/>
      <c r="Y355" s="531"/>
      <c r="Z355" s="531"/>
      <c r="AA355" s="531"/>
      <c r="AB355" s="531"/>
      <c r="AC355" s="532" t="e">
        <f>IF(NFI_Expiration=1,IF(#REF!&lt;VLOOKUP(L$5,NFI,5,0),1,0)*Table_NFI[[#This Row],[NFI Core Kit]],Table_NFI[NFI Core Kit])</f>
        <v>#REF!</v>
      </c>
      <c r="AD355" s="532" t="e">
        <f>IF(NFI_Expiration=1,IF(#REF!&lt;VLOOKUP(M$5,NFI,5,0),1,0)*Table_NFI[[#This Row],[Sanitary Kit]],Table_NFI[Sanitary Kit])</f>
        <v>#REF!</v>
      </c>
      <c r="AE355" s="532" t="e">
        <f>IF(NFI_Expiration=1,IF(#REF!&lt;VLOOKUP(N$5,NFI,5,0),1,0)*Table_NFI[[#This Row],[Mosquito net]],Table_NFI[Mosquito net])</f>
        <v>#REF!</v>
      </c>
      <c r="AF355" s="532" t="e">
        <f>IF(NFI_Expiration=1,IF(#REF!&lt;VLOOKUP(O$5,NFI,5,0),1,0)*Table_NFI[[#This Row],[Tarpaulin]],Table_NFI[[#This Row],[Tarpaulin]])</f>
        <v>#REF!</v>
      </c>
      <c r="AG355" s="532" t="e">
        <f>IF(NFI_Expiration=1,IF(#REF!&lt;VLOOKUP(P$5,NFI,5,0),1,0)*Table_NFI[[#This Row],[Blanket]],Table_NFI[[#This Row],[Blanket]])</f>
        <v>#REF!</v>
      </c>
      <c r="AH355" s="532" t="e">
        <f>IF(NFI_Expiration=1,IF(#REF!&lt;VLOOKUP(Q$5,NFI,5,0),1,0)*Table_NFI[[#This Row],[Kitchen Set]],Table_NFI[Kitchen Set])</f>
        <v>#REF!</v>
      </c>
      <c r="AI355" s="532" t="e">
        <f>IF(NFI_Expiration=1,IF(#REF!&lt;VLOOKUP(R$5,NFI,5,0),1,0)*Table_NFI[[#This Row],[Clothes Kit]],Table_NFI[Clothes Kit])</f>
        <v>#REF!</v>
      </c>
      <c r="AJ355" s="532" t="e">
        <f>IF(NFI_Expiration=1,IF(#REF!&lt;VLOOKUP(S$5,NFI,5,0),1,0)*Table_NFI[[#This Row],[Plastic Bucket]],Table_NFI[Plastic Bucket])</f>
        <v>#REF!</v>
      </c>
      <c r="AK355" s="532" t="e">
        <f>IF(NFI_Expiration=1,IF(#REF!&lt;VLOOKUP(T$5,NFI,5,0),1,0)*Table_NFI[[#This Row],[Plastic Mat]],Table_NFI[Plastic Mat])*IF(Table_NFI[[#This Row],[Distribution Date]]&gt;"2014-04-01",1,2.5)</f>
        <v>#REF!</v>
      </c>
      <c r="AL355" s="532" t="e">
        <f>IF(NFI_Expiration=1,IF(#REF!&lt;VLOOKUP(U$5,NFI,5,0),1,0)*Table_NFI[[#This Row],[Winter Clothes Adult]],Table_NFI[Winter Clothes Adult])</f>
        <v>#REF!</v>
      </c>
      <c r="AM355" s="532"/>
      <c r="AN355" s="532"/>
      <c r="AO355" s="532"/>
      <c r="AP355" s="532">
        <f>IF(Table_NFI[[#This Row],[Winter Clothes Adult]]+Table_NFI[[#This Row],[Winter Clothes Children]]+Table_NFI[[#This Row],[Winter Items Other]]+Table_NFI[[#This Row],[Winter Blanket]]&gt;0,1,0)</f>
        <v>0</v>
      </c>
      <c r="AQ355" s="532"/>
      <c r="AR355" s="532"/>
      <c r="AS355" s="532"/>
      <c r="AT355" s="532"/>
      <c r="AU355" s="532"/>
      <c r="AV355" s="532"/>
      <c r="AW355" s="532"/>
      <c r="AX355" s="203" t="str">
        <f>IFERROR(VLOOKUP(Table_NFI[[#This Row],[Location]],CL,2,0),"")</f>
        <v>MMR015CMP001</v>
      </c>
      <c r="AZ355" s="524"/>
      <c r="DS355" s="181"/>
      <c r="DT355" s="181"/>
    </row>
    <row r="356" spans="2:124" hidden="1" x14ac:dyDescent="0.3">
      <c r="B356" s="530">
        <v>43311</v>
      </c>
      <c r="C356" s="530" t="str">
        <f>MONTH(Table_NFI[[#This Row],[Distribution Date]]) &amp; "/" &amp; YEAR(Table_NFI[[#This Row],[Distribution Date]])</f>
        <v>7/2018</v>
      </c>
      <c r="D356" s="196" t="s">
        <v>420</v>
      </c>
      <c r="E356" s="196" t="s">
        <v>424</v>
      </c>
      <c r="F356" s="196" t="s">
        <v>506</v>
      </c>
      <c r="G356" s="195" t="s">
        <v>288</v>
      </c>
      <c r="H356" s="175" t="s">
        <v>903</v>
      </c>
      <c r="I356" s="181"/>
      <c r="J356" s="531"/>
      <c r="K356" s="531"/>
      <c r="L356" s="531">
        <v>38</v>
      </c>
      <c r="M356" s="531"/>
      <c r="N356" s="531">
        <v>38</v>
      </c>
      <c r="O356" s="531"/>
      <c r="P356" s="531"/>
      <c r="Q356" s="531"/>
      <c r="R356" s="531"/>
      <c r="S356" s="531"/>
      <c r="T356" s="531">
        <v>54</v>
      </c>
      <c r="U356" s="531"/>
      <c r="V356" s="531"/>
      <c r="W356" s="531"/>
      <c r="X356" s="531"/>
      <c r="Y356" s="531"/>
      <c r="Z356" s="531"/>
      <c r="AA356" s="531"/>
      <c r="AB356" s="531"/>
      <c r="AC356" s="532" t="e">
        <f>IF(NFI_Expiration=1,IF(#REF!&lt;VLOOKUP(L$5,NFI,5,0),1,0)*Table_NFI[[#This Row],[NFI Core Kit]],Table_NFI[NFI Core Kit])</f>
        <v>#REF!</v>
      </c>
      <c r="AD356" s="532" t="e">
        <f>IF(NFI_Expiration=1,IF(#REF!&lt;VLOOKUP(M$5,NFI,5,0),1,0)*Table_NFI[[#This Row],[Sanitary Kit]],Table_NFI[Sanitary Kit])</f>
        <v>#REF!</v>
      </c>
      <c r="AE356" s="532" t="e">
        <f>IF(NFI_Expiration=1,IF(#REF!&lt;VLOOKUP(N$5,NFI,5,0),1,0)*Table_NFI[[#This Row],[Mosquito net]],Table_NFI[Mosquito net])</f>
        <v>#REF!</v>
      </c>
      <c r="AF356" s="532" t="e">
        <f>IF(NFI_Expiration=1,IF(#REF!&lt;VLOOKUP(O$5,NFI,5,0),1,0)*Table_NFI[[#This Row],[Tarpaulin]],Table_NFI[[#This Row],[Tarpaulin]])</f>
        <v>#REF!</v>
      </c>
      <c r="AG356" s="532" t="e">
        <f>IF(NFI_Expiration=1,IF(#REF!&lt;VLOOKUP(P$5,NFI,5,0),1,0)*Table_NFI[[#This Row],[Blanket]],Table_NFI[[#This Row],[Blanket]])</f>
        <v>#REF!</v>
      </c>
      <c r="AH356" s="532" t="e">
        <f>IF(NFI_Expiration=1,IF(#REF!&lt;VLOOKUP(Q$5,NFI,5,0),1,0)*Table_NFI[[#This Row],[Kitchen Set]],Table_NFI[Kitchen Set])</f>
        <v>#REF!</v>
      </c>
      <c r="AI356" s="532" t="e">
        <f>IF(NFI_Expiration=1,IF(#REF!&lt;VLOOKUP(R$5,NFI,5,0),1,0)*Table_NFI[[#This Row],[Clothes Kit]],Table_NFI[Clothes Kit])</f>
        <v>#REF!</v>
      </c>
      <c r="AJ356" s="532" t="e">
        <f>IF(NFI_Expiration=1,IF(#REF!&lt;VLOOKUP(S$5,NFI,5,0),1,0)*Table_NFI[[#This Row],[Plastic Bucket]],Table_NFI[Plastic Bucket])</f>
        <v>#REF!</v>
      </c>
      <c r="AK356" s="532" t="e">
        <f>IF(NFI_Expiration=1,IF(#REF!&lt;VLOOKUP(T$5,NFI,5,0),1,0)*Table_NFI[[#This Row],[Plastic Mat]],Table_NFI[Plastic Mat])*IF(Table_NFI[[#This Row],[Distribution Date]]&gt;"2014-04-01",1,2.5)</f>
        <v>#REF!</v>
      </c>
      <c r="AL356" s="532" t="e">
        <f>IF(NFI_Expiration=1,IF(#REF!&lt;VLOOKUP(U$5,NFI,5,0),1,0)*Table_NFI[[#This Row],[Winter Clothes Adult]],Table_NFI[Winter Clothes Adult])</f>
        <v>#REF!</v>
      </c>
      <c r="AM356" s="532"/>
      <c r="AN356" s="532"/>
      <c r="AO356" s="532"/>
      <c r="AP356" s="532">
        <f>IF(Table_NFI[[#This Row],[Winter Clothes Adult]]+Table_NFI[[#This Row],[Winter Clothes Children]]+Table_NFI[[#This Row],[Winter Items Other]]+Table_NFI[[#This Row],[Winter Blanket]]&gt;0,1,0)</f>
        <v>0</v>
      </c>
      <c r="AQ356" s="532"/>
      <c r="AR356" s="532"/>
      <c r="AS356" s="532"/>
      <c r="AT356" s="532"/>
      <c r="AU356" s="532"/>
      <c r="AV356" s="532"/>
      <c r="AW356" s="532"/>
      <c r="AX356" s="203" t="str">
        <f>IFERROR(VLOOKUP(Table_NFI[[#This Row],[Location]],CL,2,0),"")</f>
        <v>MMR015CMP214</v>
      </c>
      <c r="AZ356" s="524"/>
      <c r="DS356" s="181"/>
      <c r="DT356" s="181"/>
    </row>
    <row r="357" spans="2:124" hidden="1" x14ac:dyDescent="0.3">
      <c r="B357" s="530">
        <v>43299</v>
      </c>
      <c r="C357" s="530" t="str">
        <f>MONTH(Table_NFI[[#This Row],[Distribution Date]]) &amp; "/" &amp; YEAR(Table_NFI[[#This Row],[Distribution Date]])</f>
        <v>7/2018</v>
      </c>
      <c r="D357" s="196" t="s">
        <v>1256</v>
      </c>
      <c r="E357" s="196" t="s">
        <v>1256</v>
      </c>
      <c r="F357" s="196" t="s">
        <v>378</v>
      </c>
      <c r="G357" s="196" t="s">
        <v>173</v>
      </c>
      <c r="H357" s="196" t="s">
        <v>1627</v>
      </c>
      <c r="I357" s="181"/>
      <c r="J357" s="531"/>
      <c r="K357" s="531"/>
      <c r="L357" s="531"/>
      <c r="M357" s="531"/>
      <c r="N357" s="531"/>
      <c r="O357" s="531"/>
      <c r="P357" s="531"/>
      <c r="Q357" s="531"/>
      <c r="R357" s="531"/>
      <c r="S357" s="531"/>
      <c r="T357" s="531">
        <v>125</v>
      </c>
      <c r="U357" s="531"/>
      <c r="V357" s="531"/>
      <c r="W357" s="531"/>
      <c r="X357" s="531"/>
      <c r="Y357" s="531"/>
      <c r="Z357" s="531"/>
      <c r="AA357" s="531"/>
      <c r="AB357" s="531"/>
      <c r="AC357" s="532" t="e">
        <f>IF(NFI_Expiration=1,IF(#REF!&lt;VLOOKUP(L$5,NFI,5,0),1,0)*Table_NFI[[#This Row],[NFI Core Kit]],Table_NFI[NFI Core Kit])</f>
        <v>#REF!</v>
      </c>
      <c r="AD357" s="532" t="e">
        <f>IF(NFI_Expiration=1,IF(#REF!&lt;VLOOKUP(M$5,NFI,5,0),1,0)*Table_NFI[[#This Row],[Sanitary Kit]],Table_NFI[Sanitary Kit])</f>
        <v>#REF!</v>
      </c>
      <c r="AE357" s="532" t="e">
        <f>IF(NFI_Expiration=1,IF(#REF!&lt;VLOOKUP(N$5,NFI,5,0),1,0)*Table_NFI[[#This Row],[Mosquito net]],Table_NFI[Mosquito net])</f>
        <v>#REF!</v>
      </c>
      <c r="AF357" s="532" t="e">
        <f>IF(NFI_Expiration=1,IF(#REF!&lt;VLOOKUP(O$5,NFI,5,0),1,0)*Table_NFI[[#This Row],[Tarpaulin]],Table_NFI[[#This Row],[Tarpaulin]])</f>
        <v>#REF!</v>
      </c>
      <c r="AG357" s="532" t="e">
        <f>IF(NFI_Expiration=1,IF(#REF!&lt;VLOOKUP(P$5,NFI,5,0),1,0)*Table_NFI[[#This Row],[Blanket]],Table_NFI[[#This Row],[Blanket]])</f>
        <v>#REF!</v>
      </c>
      <c r="AH357" s="532" t="e">
        <f>IF(NFI_Expiration=1,IF(#REF!&lt;VLOOKUP(Q$5,NFI,5,0),1,0)*Table_NFI[[#This Row],[Kitchen Set]],Table_NFI[Kitchen Set])</f>
        <v>#REF!</v>
      </c>
      <c r="AI357" s="532" t="e">
        <f>IF(NFI_Expiration=1,IF(#REF!&lt;VLOOKUP(R$5,NFI,5,0),1,0)*Table_NFI[[#This Row],[Clothes Kit]],Table_NFI[Clothes Kit])</f>
        <v>#REF!</v>
      </c>
      <c r="AJ357" s="532" t="e">
        <f>IF(NFI_Expiration=1,IF(#REF!&lt;VLOOKUP(S$5,NFI,5,0),1,0)*Table_NFI[[#This Row],[Plastic Bucket]],Table_NFI[Plastic Bucket])</f>
        <v>#REF!</v>
      </c>
      <c r="AK357" s="532" t="e">
        <f>IF(NFI_Expiration=1,IF(#REF!&lt;VLOOKUP(T$5,NFI,5,0),1,0)*Table_NFI[[#This Row],[Plastic Mat]],Table_NFI[Plastic Mat])*IF(Table_NFI[[#This Row],[Distribution Date]]&gt;"2014-04-01",1,2.5)</f>
        <v>#REF!</v>
      </c>
      <c r="AL357" s="532" t="e">
        <f>IF(NFI_Expiration=1,IF(#REF!&lt;VLOOKUP(U$5,NFI,5,0),1,0)*Table_NFI[[#This Row],[Winter Clothes Adult]],Table_NFI[Winter Clothes Adult])</f>
        <v>#REF!</v>
      </c>
      <c r="AM357" s="532"/>
      <c r="AN357" s="532"/>
      <c r="AO357" s="532"/>
      <c r="AP357" s="532">
        <f>IF(Table_NFI[[#This Row],[Winter Clothes Adult]]+Table_NFI[[#This Row],[Winter Clothes Children]]+Table_NFI[[#This Row],[Winter Items Other]]+Table_NFI[[#This Row],[Winter Blanket]]&gt;0,1,0)</f>
        <v>0</v>
      </c>
      <c r="AQ357" s="532"/>
      <c r="AR357" s="532"/>
      <c r="AS357" s="532"/>
      <c r="AT357" s="532"/>
      <c r="AU357" s="532"/>
      <c r="AV357" s="532"/>
      <c r="AW357" s="532"/>
      <c r="AX357" s="203" t="str">
        <f>IFERROR(VLOOKUP(Table_NFI[[#This Row],[Location]],CL,2,0),"")</f>
        <v>MMR001CMP260</v>
      </c>
      <c r="AZ357" s="524"/>
      <c r="DS357" s="181"/>
      <c r="DT357" s="181"/>
    </row>
    <row r="358" spans="2:124" hidden="1" x14ac:dyDescent="0.3">
      <c r="B358" s="530">
        <v>43300</v>
      </c>
      <c r="C358" s="530" t="str">
        <f>MONTH(Table_NFI[[#This Row],[Distribution Date]]) &amp; "/" &amp; YEAR(Table_NFI[[#This Row],[Distribution Date]])</f>
        <v>7/2018</v>
      </c>
      <c r="D358" s="196" t="s">
        <v>1256</v>
      </c>
      <c r="E358" s="196" t="s">
        <v>1256</v>
      </c>
      <c r="F358" s="196" t="s">
        <v>378</v>
      </c>
      <c r="G358" s="195" t="s">
        <v>309</v>
      </c>
      <c r="H358" s="196" t="s">
        <v>1697</v>
      </c>
      <c r="I358" s="181"/>
      <c r="J358" s="531"/>
      <c r="K358" s="531"/>
      <c r="L358" s="531"/>
      <c r="M358" s="531"/>
      <c r="N358" s="531"/>
      <c r="O358" s="531"/>
      <c r="P358" s="531"/>
      <c r="Q358" s="531">
        <v>72</v>
      </c>
      <c r="R358" s="531"/>
      <c r="S358" s="531"/>
      <c r="T358" s="531"/>
      <c r="U358" s="531"/>
      <c r="V358" s="531"/>
      <c r="W358" s="531">
        <v>9</v>
      </c>
      <c r="X358" s="531"/>
      <c r="Y358" s="531"/>
      <c r="Z358" s="531"/>
      <c r="AA358" s="531"/>
      <c r="AB358" s="531"/>
      <c r="AC358" s="532" t="e">
        <f>IF(NFI_Expiration=1,IF(#REF!&lt;VLOOKUP(L$5,NFI,5,0),1,0)*Table_NFI[[#This Row],[NFI Core Kit]],Table_NFI[NFI Core Kit])</f>
        <v>#REF!</v>
      </c>
      <c r="AD358" s="532" t="e">
        <f>IF(NFI_Expiration=1,IF(#REF!&lt;VLOOKUP(M$5,NFI,5,0),1,0)*Table_NFI[[#This Row],[Sanitary Kit]],Table_NFI[Sanitary Kit])</f>
        <v>#REF!</v>
      </c>
      <c r="AE358" s="532" t="e">
        <f>IF(NFI_Expiration=1,IF(#REF!&lt;VLOOKUP(N$5,NFI,5,0),1,0)*Table_NFI[[#This Row],[Mosquito net]],Table_NFI[Mosquito net])</f>
        <v>#REF!</v>
      </c>
      <c r="AF358" s="532" t="e">
        <f>IF(NFI_Expiration=1,IF(#REF!&lt;VLOOKUP(O$5,NFI,5,0),1,0)*Table_NFI[[#This Row],[Tarpaulin]],Table_NFI[[#This Row],[Tarpaulin]])</f>
        <v>#REF!</v>
      </c>
      <c r="AG358" s="532" t="e">
        <f>IF(NFI_Expiration=1,IF(#REF!&lt;VLOOKUP(P$5,NFI,5,0),1,0)*Table_NFI[[#This Row],[Blanket]],Table_NFI[[#This Row],[Blanket]])</f>
        <v>#REF!</v>
      </c>
      <c r="AH358" s="532" t="e">
        <f>IF(NFI_Expiration=1,IF(#REF!&lt;VLOOKUP(Q$5,NFI,5,0),1,0)*Table_NFI[[#This Row],[Kitchen Set]],Table_NFI[Kitchen Set])</f>
        <v>#REF!</v>
      </c>
      <c r="AI358" s="532" t="e">
        <f>IF(NFI_Expiration=1,IF(#REF!&lt;VLOOKUP(R$5,NFI,5,0),1,0)*Table_NFI[[#This Row],[Clothes Kit]],Table_NFI[Clothes Kit])</f>
        <v>#REF!</v>
      </c>
      <c r="AJ358" s="532" t="e">
        <f>IF(NFI_Expiration=1,IF(#REF!&lt;VLOOKUP(S$5,NFI,5,0),1,0)*Table_NFI[[#This Row],[Plastic Bucket]],Table_NFI[Plastic Bucket])</f>
        <v>#REF!</v>
      </c>
      <c r="AK358" s="532" t="e">
        <f>IF(NFI_Expiration=1,IF(#REF!&lt;VLOOKUP(T$5,NFI,5,0),1,0)*Table_NFI[[#This Row],[Plastic Mat]],Table_NFI[Plastic Mat])*IF(Table_NFI[[#This Row],[Distribution Date]]&gt;"2014-04-01",1,2.5)</f>
        <v>#REF!</v>
      </c>
      <c r="AL358" s="532" t="e">
        <f>IF(NFI_Expiration=1,IF(#REF!&lt;VLOOKUP(U$5,NFI,5,0),1,0)*Table_NFI[[#This Row],[Winter Clothes Adult]],Table_NFI[Winter Clothes Adult])</f>
        <v>#REF!</v>
      </c>
      <c r="AM358" s="532"/>
      <c r="AN358" s="532"/>
      <c r="AO358" s="532"/>
      <c r="AP358" s="532">
        <f>IF(Table_NFI[[#This Row],[Winter Clothes Adult]]+Table_NFI[[#This Row],[Winter Clothes Children]]+Table_NFI[[#This Row],[Winter Items Other]]+Table_NFI[[#This Row],[Winter Blanket]]&gt;0,1,0)</f>
        <v>1</v>
      </c>
      <c r="AQ358" s="532"/>
      <c r="AR358" s="532"/>
      <c r="AS358" s="532"/>
      <c r="AT358" s="532"/>
      <c r="AU358" s="532"/>
      <c r="AV358" s="532"/>
      <c r="AW358" s="532"/>
      <c r="AX358" s="203" t="str">
        <f>IFERROR(VLOOKUP(Table_NFI[[#This Row],[Location]],CL,2,0),"")</f>
        <v>MMR001CMP269</v>
      </c>
      <c r="AZ358" s="524"/>
      <c r="DS358" s="181"/>
      <c r="DT358" s="181"/>
    </row>
    <row r="359" spans="2:124" hidden="1" x14ac:dyDescent="0.3">
      <c r="B359" s="530">
        <v>43325</v>
      </c>
      <c r="C359" s="530" t="str">
        <f>MONTH(Table_NFI[[#This Row],[Distribution Date]]) &amp; "/" &amp; YEAR(Table_NFI[[#This Row],[Distribution Date]])</f>
        <v>8/2018</v>
      </c>
      <c r="D359" s="196" t="s">
        <v>420</v>
      </c>
      <c r="E359" s="196" t="s">
        <v>462</v>
      </c>
      <c r="F359" s="196" t="s">
        <v>378</v>
      </c>
      <c r="G359" s="195" t="s">
        <v>309</v>
      </c>
      <c r="H359" s="302" t="s">
        <v>337</v>
      </c>
      <c r="I359" s="181"/>
      <c r="J359" s="531"/>
      <c r="K359" s="531"/>
      <c r="L359" s="531"/>
      <c r="M359" s="531"/>
      <c r="N359" s="531"/>
      <c r="O359" s="531">
        <v>19</v>
      </c>
      <c r="P359" s="531"/>
      <c r="Q359" s="531"/>
      <c r="R359" s="531"/>
      <c r="S359" s="531"/>
      <c r="T359" s="531"/>
      <c r="U359" s="531"/>
      <c r="V359" s="531"/>
      <c r="W359" s="531"/>
      <c r="X359" s="531"/>
      <c r="Y359" s="531"/>
      <c r="Z359" s="531"/>
      <c r="AA359" s="531"/>
      <c r="AB359" s="531"/>
      <c r="AC359" s="532" t="e">
        <f>IF(NFI_Expiration=1,IF(#REF!&lt;VLOOKUP(L$5,NFI,5,0),1,0)*Table_NFI[[#This Row],[NFI Core Kit]],Table_NFI[NFI Core Kit])</f>
        <v>#REF!</v>
      </c>
      <c r="AD359" s="532" t="e">
        <f>IF(NFI_Expiration=1,IF(#REF!&lt;VLOOKUP(M$5,NFI,5,0),1,0)*Table_NFI[[#This Row],[Sanitary Kit]],Table_NFI[Sanitary Kit])</f>
        <v>#REF!</v>
      </c>
      <c r="AE359" s="532" t="e">
        <f>IF(NFI_Expiration=1,IF(#REF!&lt;VLOOKUP(N$5,NFI,5,0),1,0)*Table_NFI[[#This Row],[Mosquito net]],Table_NFI[Mosquito net])</f>
        <v>#REF!</v>
      </c>
      <c r="AF359" s="532" t="e">
        <f>IF(NFI_Expiration=1,IF(#REF!&lt;VLOOKUP(O$5,NFI,5,0),1,0)*Table_NFI[[#This Row],[Tarpaulin]],Table_NFI[[#This Row],[Tarpaulin]])</f>
        <v>#REF!</v>
      </c>
      <c r="AG359" s="532" t="e">
        <f>IF(NFI_Expiration=1,IF(#REF!&lt;VLOOKUP(P$5,NFI,5,0),1,0)*Table_NFI[[#This Row],[Blanket]],Table_NFI[[#This Row],[Blanket]])</f>
        <v>#REF!</v>
      </c>
      <c r="AH359" s="532" t="e">
        <f>IF(NFI_Expiration=1,IF(#REF!&lt;VLOOKUP(Q$5,NFI,5,0),1,0)*Table_NFI[[#This Row],[Kitchen Set]],Table_NFI[Kitchen Set])</f>
        <v>#REF!</v>
      </c>
      <c r="AI359" s="532" t="e">
        <f>IF(NFI_Expiration=1,IF(#REF!&lt;VLOOKUP(R$5,NFI,5,0),1,0)*Table_NFI[[#This Row],[Clothes Kit]],Table_NFI[Clothes Kit])</f>
        <v>#REF!</v>
      </c>
      <c r="AJ359" s="532" t="e">
        <f>IF(NFI_Expiration=1,IF(#REF!&lt;VLOOKUP(S$5,NFI,5,0),1,0)*Table_NFI[[#This Row],[Plastic Bucket]],Table_NFI[Plastic Bucket])</f>
        <v>#REF!</v>
      </c>
      <c r="AK359" s="532" t="e">
        <f>IF(NFI_Expiration=1,IF(#REF!&lt;VLOOKUP(T$5,NFI,5,0),1,0)*Table_NFI[[#This Row],[Plastic Mat]],Table_NFI[Plastic Mat])*IF(Table_NFI[[#This Row],[Distribution Date]]&gt;"2014-04-01",1,2.5)</f>
        <v>#REF!</v>
      </c>
      <c r="AL359" s="532" t="e">
        <f>IF(NFI_Expiration=1,IF(#REF!&lt;VLOOKUP(U$5,NFI,5,0),1,0)*Table_NFI[[#This Row],[Winter Clothes Adult]],Table_NFI[Winter Clothes Adult])</f>
        <v>#REF!</v>
      </c>
      <c r="AM359" s="532"/>
      <c r="AN359" s="532"/>
      <c r="AO359" s="532"/>
      <c r="AP359" s="532">
        <f>IF(Table_NFI[[#This Row],[Winter Clothes Adult]]+Table_NFI[[#This Row],[Winter Clothes Children]]+Table_NFI[[#This Row],[Winter Items Other]]+Table_NFI[[#This Row],[Winter Blanket]]&gt;0,1,0)</f>
        <v>0</v>
      </c>
      <c r="AQ359" s="532"/>
      <c r="AR359" s="532"/>
      <c r="AS359" s="532"/>
      <c r="AT359" s="532"/>
      <c r="AU359" s="532"/>
      <c r="AV359" s="532"/>
      <c r="AW359" s="532"/>
      <c r="AX359" s="203" t="str">
        <f>IFERROR(VLOOKUP(Table_NFI[[#This Row],[Location]],CL,2,0),"")</f>
        <v>MMR001CMP030</v>
      </c>
      <c r="AZ359" s="524"/>
      <c r="DS359" s="181"/>
      <c r="DT359" s="181"/>
    </row>
    <row r="360" spans="2:124" hidden="1" x14ac:dyDescent="0.3">
      <c r="B360" s="530">
        <v>43325</v>
      </c>
      <c r="C360" s="530" t="str">
        <f>MONTH(Table_NFI[[#This Row],[Distribution Date]]) &amp; "/" &amp; YEAR(Table_NFI[[#This Row],[Distribution Date]])</f>
        <v>8/2018</v>
      </c>
      <c r="D360" s="196" t="s">
        <v>420</v>
      </c>
      <c r="E360" s="196" t="s">
        <v>462</v>
      </c>
      <c r="F360" s="196" t="s">
        <v>378</v>
      </c>
      <c r="G360" s="195" t="s">
        <v>237</v>
      </c>
      <c r="H360" s="175" t="s">
        <v>278</v>
      </c>
      <c r="I360" s="181"/>
      <c r="J360" s="531"/>
      <c r="K360" s="531"/>
      <c r="L360" s="531"/>
      <c r="M360" s="531"/>
      <c r="N360" s="531"/>
      <c r="O360" s="531">
        <v>1</v>
      </c>
      <c r="P360" s="531"/>
      <c r="Q360" s="531"/>
      <c r="R360" s="531"/>
      <c r="S360" s="531"/>
      <c r="T360" s="531"/>
      <c r="U360" s="531"/>
      <c r="V360" s="531"/>
      <c r="W360" s="531"/>
      <c r="X360" s="531"/>
      <c r="Y360" s="531"/>
      <c r="Z360" s="531"/>
      <c r="AA360" s="531"/>
      <c r="AB360" s="531"/>
      <c r="AC360" s="532" t="e">
        <f>IF(NFI_Expiration=1,IF(#REF!&lt;VLOOKUP(L$5,NFI,5,0),1,0)*Table_NFI[[#This Row],[NFI Core Kit]],Table_NFI[NFI Core Kit])</f>
        <v>#REF!</v>
      </c>
      <c r="AD360" s="532" t="e">
        <f>IF(NFI_Expiration=1,IF(#REF!&lt;VLOOKUP(M$5,NFI,5,0),1,0)*Table_NFI[[#This Row],[Sanitary Kit]],Table_NFI[Sanitary Kit])</f>
        <v>#REF!</v>
      </c>
      <c r="AE360" s="532" t="e">
        <f>IF(NFI_Expiration=1,IF(#REF!&lt;VLOOKUP(N$5,NFI,5,0),1,0)*Table_NFI[[#This Row],[Mosquito net]],Table_NFI[Mosquito net])</f>
        <v>#REF!</v>
      </c>
      <c r="AF360" s="532" t="e">
        <f>IF(NFI_Expiration=1,IF(#REF!&lt;VLOOKUP(O$5,NFI,5,0),1,0)*Table_NFI[[#This Row],[Tarpaulin]],Table_NFI[[#This Row],[Tarpaulin]])</f>
        <v>#REF!</v>
      </c>
      <c r="AG360" s="532" t="e">
        <f>IF(NFI_Expiration=1,IF(#REF!&lt;VLOOKUP(P$5,NFI,5,0),1,0)*Table_NFI[[#This Row],[Blanket]],Table_NFI[[#This Row],[Blanket]])</f>
        <v>#REF!</v>
      </c>
      <c r="AH360" s="532" t="e">
        <f>IF(NFI_Expiration=1,IF(#REF!&lt;VLOOKUP(Q$5,NFI,5,0),1,0)*Table_NFI[[#This Row],[Kitchen Set]],Table_NFI[Kitchen Set])</f>
        <v>#REF!</v>
      </c>
      <c r="AI360" s="532" t="e">
        <f>IF(NFI_Expiration=1,IF(#REF!&lt;VLOOKUP(R$5,NFI,5,0),1,0)*Table_NFI[[#This Row],[Clothes Kit]],Table_NFI[Clothes Kit])</f>
        <v>#REF!</v>
      </c>
      <c r="AJ360" s="532" t="e">
        <f>IF(NFI_Expiration=1,IF(#REF!&lt;VLOOKUP(S$5,NFI,5,0),1,0)*Table_NFI[[#This Row],[Plastic Bucket]],Table_NFI[Plastic Bucket])</f>
        <v>#REF!</v>
      </c>
      <c r="AK360" s="532" t="e">
        <f>IF(NFI_Expiration=1,IF(#REF!&lt;VLOOKUP(T$5,NFI,5,0),1,0)*Table_NFI[[#This Row],[Plastic Mat]],Table_NFI[Plastic Mat])*IF(Table_NFI[[#This Row],[Distribution Date]]&gt;"2014-04-01",1,2.5)</f>
        <v>#REF!</v>
      </c>
      <c r="AL360" s="532" t="e">
        <f>IF(NFI_Expiration=1,IF(#REF!&lt;VLOOKUP(U$5,NFI,5,0),1,0)*Table_NFI[[#This Row],[Winter Clothes Adult]],Table_NFI[Winter Clothes Adult])</f>
        <v>#REF!</v>
      </c>
      <c r="AM360" s="532"/>
      <c r="AN360" s="532"/>
      <c r="AO360" s="532"/>
      <c r="AP360" s="532">
        <f>IF(Table_NFI[[#This Row],[Winter Clothes Adult]]+Table_NFI[[#This Row],[Winter Clothes Children]]+Table_NFI[[#This Row],[Winter Items Other]]+Table_NFI[[#This Row],[Winter Blanket]]&gt;0,1,0)</f>
        <v>0</v>
      </c>
      <c r="AQ360" s="532"/>
      <c r="AR360" s="532"/>
      <c r="AS360" s="532"/>
      <c r="AT360" s="532"/>
      <c r="AU360" s="532"/>
      <c r="AV360" s="532"/>
      <c r="AW360" s="532"/>
      <c r="AX360" s="203" t="str">
        <f>IFERROR(VLOOKUP(Table_NFI[[#This Row],[Location]],CL,2,0),"")</f>
        <v>MMR001CMP007</v>
      </c>
      <c r="AZ360" s="524"/>
      <c r="DS360" s="181"/>
      <c r="DT360" s="181"/>
    </row>
    <row r="361" spans="2:124" hidden="1" x14ac:dyDescent="0.3">
      <c r="B361" s="530">
        <v>43381</v>
      </c>
      <c r="C361" s="530" t="str">
        <f>MONTH(Table_NFI[[#This Row],[Distribution Date]]) &amp; "/" &amp; YEAR(Table_NFI[[#This Row],[Distribution Date]])</f>
        <v>10/2018</v>
      </c>
      <c r="D361" s="196" t="s">
        <v>1452</v>
      </c>
      <c r="E361" s="196"/>
      <c r="F361" s="196" t="s">
        <v>378</v>
      </c>
      <c r="G361" s="195" t="s">
        <v>151</v>
      </c>
      <c r="H361" s="196" t="s">
        <v>154</v>
      </c>
      <c r="I361" s="181">
        <v>1</v>
      </c>
      <c r="J361" s="531"/>
      <c r="K361" s="531"/>
      <c r="L361" s="531"/>
      <c r="M361" s="531"/>
      <c r="N361" s="531"/>
      <c r="O361" s="531"/>
      <c r="P361" s="531"/>
      <c r="Q361" s="531"/>
      <c r="R361" s="531"/>
      <c r="S361" s="531"/>
      <c r="T361" s="531"/>
      <c r="U361" s="531"/>
      <c r="V361" s="531"/>
      <c r="W361" s="531"/>
      <c r="X361" s="531"/>
      <c r="Y361" s="531"/>
      <c r="Z361" s="531"/>
      <c r="AA361" s="531"/>
      <c r="AB361" s="531"/>
      <c r="AC361" s="532" t="e">
        <f>IF(NFI_Expiration=1,IF(#REF!&lt;VLOOKUP(L$5,NFI,5,0),1,0)*Table_NFI[[#This Row],[NFI Core Kit]],Table_NFI[NFI Core Kit])</f>
        <v>#REF!</v>
      </c>
      <c r="AD361" s="532" t="e">
        <f>IF(NFI_Expiration=1,IF(#REF!&lt;VLOOKUP(M$5,NFI,5,0),1,0)*Table_NFI[[#This Row],[Sanitary Kit]],Table_NFI[Sanitary Kit])</f>
        <v>#REF!</v>
      </c>
      <c r="AE361" s="532" t="e">
        <f>IF(NFI_Expiration=1,IF(#REF!&lt;VLOOKUP(N$5,NFI,5,0),1,0)*Table_NFI[[#This Row],[Mosquito net]],Table_NFI[Mosquito net])</f>
        <v>#REF!</v>
      </c>
      <c r="AF361" s="532" t="e">
        <f>IF(NFI_Expiration=1,IF(#REF!&lt;VLOOKUP(O$5,NFI,5,0),1,0)*Table_NFI[[#This Row],[Tarpaulin]],Table_NFI[[#This Row],[Tarpaulin]])</f>
        <v>#REF!</v>
      </c>
      <c r="AG361" s="532" t="e">
        <f>IF(NFI_Expiration=1,IF(#REF!&lt;VLOOKUP(P$5,NFI,5,0),1,0)*Table_NFI[[#This Row],[Blanket]],Table_NFI[[#This Row],[Blanket]])</f>
        <v>#REF!</v>
      </c>
      <c r="AH361" s="532" t="e">
        <f>IF(NFI_Expiration=1,IF(#REF!&lt;VLOOKUP(Q$5,NFI,5,0),1,0)*Table_NFI[[#This Row],[Kitchen Set]],Table_NFI[Kitchen Set])</f>
        <v>#REF!</v>
      </c>
      <c r="AI361" s="532" t="e">
        <f>IF(NFI_Expiration=1,IF(#REF!&lt;VLOOKUP(R$5,NFI,5,0),1,0)*Table_NFI[[#This Row],[Clothes Kit]],Table_NFI[Clothes Kit])</f>
        <v>#REF!</v>
      </c>
      <c r="AJ361" s="532" t="e">
        <f>IF(NFI_Expiration=1,IF(#REF!&lt;VLOOKUP(S$5,NFI,5,0),1,0)*Table_NFI[[#This Row],[Plastic Bucket]],Table_NFI[Plastic Bucket])</f>
        <v>#REF!</v>
      </c>
      <c r="AK361" s="532" t="e">
        <f>IF(NFI_Expiration=1,IF(#REF!&lt;VLOOKUP(T$5,NFI,5,0),1,0)*Table_NFI[[#This Row],[Plastic Mat]],Table_NFI[Plastic Mat])*IF(Table_NFI[[#This Row],[Distribution Date]]&gt;"2014-04-01",1,2.5)</f>
        <v>#REF!</v>
      </c>
      <c r="AL361" s="532" t="e">
        <f>IF(NFI_Expiration=1,IF(#REF!&lt;VLOOKUP(U$5,NFI,5,0),1,0)*Table_NFI[[#This Row],[Winter Clothes Adult]],Table_NFI[Winter Clothes Adult])</f>
        <v>#REF!</v>
      </c>
      <c r="AM361" s="532"/>
      <c r="AN361" s="532"/>
      <c r="AO361" s="532"/>
      <c r="AP361" s="532">
        <f>IF(Table_NFI[[#This Row],[Winter Clothes Adult]]+Table_NFI[[#This Row],[Winter Clothes Children]]+Table_NFI[[#This Row],[Winter Items Other]]+Table_NFI[[#This Row],[Winter Blanket]]&gt;0,1,0)</f>
        <v>0</v>
      </c>
      <c r="AQ361" s="532"/>
      <c r="AR361" s="532"/>
      <c r="AS361" s="532"/>
      <c r="AT361" s="532"/>
      <c r="AU361" s="532"/>
      <c r="AV361" s="532"/>
      <c r="AW361" s="532"/>
      <c r="AX361" s="203" t="str">
        <f>IFERROR(VLOOKUP(Table_NFI[[#This Row],[Location]],CL,2,0),"")</f>
        <v>MMR001CMP132</v>
      </c>
      <c r="AZ361" s="524"/>
      <c r="DS361" s="181"/>
      <c r="DT361" s="181"/>
    </row>
    <row r="362" spans="2:124" hidden="1" x14ac:dyDescent="0.3">
      <c r="B362" s="530">
        <v>43391</v>
      </c>
      <c r="C362" s="530" t="str">
        <f>MONTH(Table_NFI[[#This Row],[Distribution Date]]) &amp; "/" &amp; YEAR(Table_NFI[[#This Row],[Distribution Date]])</f>
        <v>10/2018</v>
      </c>
      <c r="D362" s="196" t="s">
        <v>1452</v>
      </c>
      <c r="E362" s="196"/>
      <c r="F362" s="196" t="s">
        <v>506</v>
      </c>
      <c r="G362" s="195" t="s">
        <v>288</v>
      </c>
      <c r="H362" s="196" t="s">
        <v>372</v>
      </c>
      <c r="I362" s="181"/>
      <c r="J362" s="531"/>
      <c r="K362" s="531"/>
      <c r="L362" s="531">
        <v>44</v>
      </c>
      <c r="M362" s="531"/>
      <c r="N362" s="531"/>
      <c r="O362" s="531"/>
      <c r="P362" s="531"/>
      <c r="Q362" s="531"/>
      <c r="R362" s="531"/>
      <c r="S362" s="531"/>
      <c r="T362" s="531"/>
      <c r="U362" s="531"/>
      <c r="V362" s="531"/>
      <c r="W362" s="531"/>
      <c r="X362" s="531"/>
      <c r="Y362" s="531"/>
      <c r="Z362" s="531"/>
      <c r="AA362" s="531"/>
      <c r="AB362" s="531"/>
      <c r="AC362" s="532" t="e">
        <f>IF(NFI_Expiration=1,IF(#REF!&lt;VLOOKUP(L$5,NFI,5,0),1,0)*Table_NFI[[#This Row],[NFI Core Kit]],Table_NFI[NFI Core Kit])</f>
        <v>#REF!</v>
      </c>
      <c r="AD362" s="532" t="e">
        <f>IF(NFI_Expiration=1,IF(#REF!&lt;VLOOKUP(M$5,NFI,5,0),1,0)*Table_NFI[[#This Row],[Sanitary Kit]],Table_NFI[Sanitary Kit])</f>
        <v>#REF!</v>
      </c>
      <c r="AE362" s="532" t="e">
        <f>IF(NFI_Expiration=1,IF(#REF!&lt;VLOOKUP(N$5,NFI,5,0),1,0)*Table_NFI[[#This Row],[Mosquito net]],Table_NFI[Mosquito net])</f>
        <v>#REF!</v>
      </c>
      <c r="AF362" s="532" t="e">
        <f>IF(NFI_Expiration=1,IF(#REF!&lt;VLOOKUP(O$5,NFI,5,0),1,0)*Table_NFI[[#This Row],[Tarpaulin]],Table_NFI[[#This Row],[Tarpaulin]])</f>
        <v>#REF!</v>
      </c>
      <c r="AG362" s="532" t="e">
        <f>IF(NFI_Expiration=1,IF(#REF!&lt;VLOOKUP(P$5,NFI,5,0),1,0)*Table_NFI[[#This Row],[Blanket]],Table_NFI[[#This Row],[Blanket]])</f>
        <v>#REF!</v>
      </c>
      <c r="AH362" s="532" t="e">
        <f>IF(NFI_Expiration=1,IF(#REF!&lt;VLOOKUP(Q$5,NFI,5,0),1,0)*Table_NFI[[#This Row],[Kitchen Set]],Table_NFI[Kitchen Set])</f>
        <v>#REF!</v>
      </c>
      <c r="AI362" s="532" t="e">
        <f>IF(NFI_Expiration=1,IF(#REF!&lt;VLOOKUP(R$5,NFI,5,0),1,0)*Table_NFI[[#This Row],[Clothes Kit]],Table_NFI[Clothes Kit])</f>
        <v>#REF!</v>
      </c>
      <c r="AJ362" s="532" t="e">
        <f>IF(NFI_Expiration=1,IF(#REF!&lt;VLOOKUP(S$5,NFI,5,0),1,0)*Table_NFI[[#This Row],[Plastic Bucket]],Table_NFI[Plastic Bucket])</f>
        <v>#REF!</v>
      </c>
      <c r="AK362" s="532" t="e">
        <f>IF(NFI_Expiration=1,IF(#REF!&lt;VLOOKUP(T$5,NFI,5,0),1,0)*Table_NFI[[#This Row],[Plastic Mat]],Table_NFI[Plastic Mat])*IF(Table_NFI[[#This Row],[Distribution Date]]&gt;"2014-04-01",1,2.5)</f>
        <v>#REF!</v>
      </c>
      <c r="AL362" s="532" t="e">
        <f>IF(NFI_Expiration=1,IF(#REF!&lt;VLOOKUP(U$5,NFI,5,0),1,0)*Table_NFI[[#This Row],[Winter Clothes Adult]],Table_NFI[Winter Clothes Adult])</f>
        <v>#REF!</v>
      </c>
      <c r="AM362" s="532"/>
      <c r="AN362" s="532"/>
      <c r="AO362" s="532"/>
      <c r="AP362" s="532">
        <f>IF(Table_NFI[[#This Row],[Winter Clothes Adult]]+Table_NFI[[#This Row],[Winter Clothes Children]]+Table_NFI[[#This Row],[Winter Items Other]]+Table_NFI[[#This Row],[Winter Blanket]]&gt;0,1,0)</f>
        <v>0</v>
      </c>
      <c r="AQ362" s="532"/>
      <c r="AR362" s="532"/>
      <c r="AS362" s="532"/>
      <c r="AT362" s="532"/>
      <c r="AU362" s="532"/>
      <c r="AV362" s="532"/>
      <c r="AW362" s="532"/>
      <c r="AX362" s="203" t="str">
        <f>IFERROR(VLOOKUP(Table_NFI[[#This Row],[Location]],CL,2,0),"")</f>
        <v>MMR015CMP003</v>
      </c>
      <c r="AZ362" s="524"/>
      <c r="DS362" s="181"/>
      <c r="DT362" s="181"/>
    </row>
    <row r="363" spans="2:124" hidden="1" x14ac:dyDescent="0.3">
      <c r="B363" s="530">
        <v>43389</v>
      </c>
      <c r="C363" s="530" t="str">
        <f>MONTH(Table_NFI[[#This Row],[Distribution Date]]) &amp; "/" &amp; YEAR(Table_NFI[[#This Row],[Distribution Date]])</f>
        <v>10/2018</v>
      </c>
      <c r="D363" s="196" t="s">
        <v>1452</v>
      </c>
      <c r="E363" s="196"/>
      <c r="F363" s="196" t="s">
        <v>506</v>
      </c>
      <c r="G363" s="195" t="s">
        <v>146</v>
      </c>
      <c r="H363" s="196" t="s">
        <v>367</v>
      </c>
      <c r="I363" s="181"/>
      <c r="J363" s="531"/>
      <c r="K363" s="531"/>
      <c r="L363" s="531">
        <v>53</v>
      </c>
      <c r="M363" s="531"/>
      <c r="N363" s="531"/>
      <c r="O363" s="531"/>
      <c r="P363" s="531"/>
      <c r="Q363" s="531">
        <v>53</v>
      </c>
      <c r="R363" s="531"/>
      <c r="S363" s="531"/>
      <c r="T363" s="531"/>
      <c r="U363" s="531"/>
      <c r="V363" s="531"/>
      <c r="W363" s="531"/>
      <c r="X363" s="531"/>
      <c r="Y363" s="531"/>
      <c r="Z363" s="531">
        <v>53</v>
      </c>
      <c r="AA363" s="531">
        <v>53</v>
      </c>
      <c r="AB363" s="531"/>
      <c r="AC363" s="532" t="e">
        <f>IF(NFI_Expiration=1,IF(#REF!&lt;VLOOKUP(L$5,NFI,5,0),1,0)*Table_NFI[[#This Row],[NFI Core Kit]],Table_NFI[NFI Core Kit])</f>
        <v>#REF!</v>
      </c>
      <c r="AD363" s="532" t="e">
        <f>IF(NFI_Expiration=1,IF(#REF!&lt;VLOOKUP(M$5,NFI,5,0),1,0)*Table_NFI[[#This Row],[Sanitary Kit]],Table_NFI[Sanitary Kit])</f>
        <v>#REF!</v>
      </c>
      <c r="AE363" s="532" t="e">
        <f>IF(NFI_Expiration=1,IF(#REF!&lt;VLOOKUP(N$5,NFI,5,0),1,0)*Table_NFI[[#This Row],[Mosquito net]],Table_NFI[Mosquito net])</f>
        <v>#REF!</v>
      </c>
      <c r="AF363" s="532" t="e">
        <f>IF(NFI_Expiration=1,IF(#REF!&lt;VLOOKUP(O$5,NFI,5,0),1,0)*Table_NFI[[#This Row],[Tarpaulin]],Table_NFI[[#This Row],[Tarpaulin]])</f>
        <v>#REF!</v>
      </c>
      <c r="AG363" s="532" t="e">
        <f>IF(NFI_Expiration=1,IF(#REF!&lt;VLOOKUP(P$5,NFI,5,0),1,0)*Table_NFI[[#This Row],[Blanket]],Table_NFI[[#This Row],[Blanket]])</f>
        <v>#REF!</v>
      </c>
      <c r="AH363" s="532" t="e">
        <f>IF(NFI_Expiration=1,IF(#REF!&lt;VLOOKUP(Q$5,NFI,5,0),1,0)*Table_NFI[[#This Row],[Kitchen Set]],Table_NFI[Kitchen Set])</f>
        <v>#REF!</v>
      </c>
      <c r="AI363" s="532" t="e">
        <f>IF(NFI_Expiration=1,IF(#REF!&lt;VLOOKUP(R$5,NFI,5,0),1,0)*Table_NFI[[#This Row],[Clothes Kit]],Table_NFI[Clothes Kit])</f>
        <v>#REF!</v>
      </c>
      <c r="AJ363" s="532" t="e">
        <f>IF(NFI_Expiration=1,IF(#REF!&lt;VLOOKUP(S$5,NFI,5,0),1,0)*Table_NFI[[#This Row],[Plastic Bucket]],Table_NFI[Plastic Bucket])</f>
        <v>#REF!</v>
      </c>
      <c r="AK363" s="532" t="e">
        <f>IF(NFI_Expiration=1,IF(#REF!&lt;VLOOKUP(T$5,NFI,5,0),1,0)*Table_NFI[[#This Row],[Plastic Mat]],Table_NFI[Plastic Mat])*IF(Table_NFI[[#This Row],[Distribution Date]]&gt;"2014-04-01",1,2.5)</f>
        <v>#REF!</v>
      </c>
      <c r="AL363" s="532" t="e">
        <f>IF(NFI_Expiration=1,IF(#REF!&lt;VLOOKUP(U$5,NFI,5,0),1,0)*Table_NFI[[#This Row],[Winter Clothes Adult]],Table_NFI[Winter Clothes Adult])</f>
        <v>#REF!</v>
      </c>
      <c r="AM363" s="532"/>
      <c r="AN363" s="532"/>
      <c r="AO363" s="532"/>
      <c r="AP363" s="532">
        <f>IF(Table_NFI[[#This Row],[Winter Clothes Adult]]+Table_NFI[[#This Row],[Winter Clothes Children]]+Table_NFI[[#This Row],[Winter Items Other]]+Table_NFI[[#This Row],[Winter Blanket]]&gt;0,1,0)</f>
        <v>0</v>
      </c>
      <c r="AQ363" s="532"/>
      <c r="AR363" s="532"/>
      <c r="AS363" s="532"/>
      <c r="AT363" s="532"/>
      <c r="AU363" s="532"/>
      <c r="AV363" s="532"/>
      <c r="AW363" s="532"/>
      <c r="AX363" s="203" t="str">
        <f>IFERROR(VLOOKUP(Table_NFI[[#This Row],[Location]],CL,2,0),"")</f>
        <v>MMR015CMP016</v>
      </c>
      <c r="AZ363" s="524"/>
      <c r="DS363" s="181"/>
      <c r="DT363" s="181"/>
    </row>
    <row r="364" spans="2:124" hidden="1" x14ac:dyDescent="0.3">
      <c r="B364" s="530">
        <v>43390</v>
      </c>
      <c r="C364" s="530" t="str">
        <f>MONTH(Table_NFI[[#This Row],[Distribution Date]]) &amp; "/" &amp; YEAR(Table_NFI[[#This Row],[Distribution Date]])</f>
        <v>10/2018</v>
      </c>
      <c r="D364" s="196" t="s">
        <v>1452</v>
      </c>
      <c r="E364" s="196"/>
      <c r="F364" s="196" t="s">
        <v>506</v>
      </c>
      <c r="G364" s="195" t="s">
        <v>166</v>
      </c>
      <c r="H364" s="175" t="s">
        <v>760</v>
      </c>
      <c r="I364" s="181">
        <v>27</v>
      </c>
      <c r="J364" s="531"/>
      <c r="K364" s="531"/>
      <c r="L364" s="531"/>
      <c r="M364" s="531"/>
      <c r="N364" s="531"/>
      <c r="O364" s="531"/>
      <c r="P364" s="531"/>
      <c r="Q364" s="531"/>
      <c r="R364" s="531"/>
      <c r="S364" s="531"/>
      <c r="T364" s="531"/>
      <c r="U364" s="531"/>
      <c r="V364" s="531"/>
      <c r="W364" s="531"/>
      <c r="X364" s="531"/>
      <c r="Y364" s="531"/>
      <c r="Z364" s="531"/>
      <c r="AA364" s="531"/>
      <c r="AB364" s="531"/>
      <c r="AC364" s="532" t="e">
        <f>IF(NFI_Expiration=1,IF(#REF!&lt;VLOOKUP(L$5,NFI,5,0),1,0)*Table_NFI[[#This Row],[NFI Core Kit]],Table_NFI[NFI Core Kit])</f>
        <v>#REF!</v>
      </c>
      <c r="AD364" s="532" t="e">
        <f>IF(NFI_Expiration=1,IF(#REF!&lt;VLOOKUP(M$5,NFI,5,0),1,0)*Table_NFI[[#This Row],[Sanitary Kit]],Table_NFI[Sanitary Kit])</f>
        <v>#REF!</v>
      </c>
      <c r="AE364" s="532" t="e">
        <f>IF(NFI_Expiration=1,IF(#REF!&lt;VLOOKUP(N$5,NFI,5,0),1,0)*Table_NFI[[#This Row],[Mosquito net]],Table_NFI[Mosquito net])</f>
        <v>#REF!</v>
      </c>
      <c r="AF364" s="532" t="e">
        <f>IF(NFI_Expiration=1,IF(#REF!&lt;VLOOKUP(O$5,NFI,5,0),1,0)*Table_NFI[[#This Row],[Tarpaulin]],Table_NFI[[#This Row],[Tarpaulin]])</f>
        <v>#REF!</v>
      </c>
      <c r="AG364" s="532" t="e">
        <f>IF(NFI_Expiration=1,IF(#REF!&lt;VLOOKUP(P$5,NFI,5,0),1,0)*Table_NFI[[#This Row],[Blanket]],Table_NFI[[#This Row],[Blanket]])</f>
        <v>#REF!</v>
      </c>
      <c r="AH364" s="532" t="e">
        <f>IF(NFI_Expiration=1,IF(#REF!&lt;VLOOKUP(Q$5,NFI,5,0),1,0)*Table_NFI[[#This Row],[Kitchen Set]],Table_NFI[Kitchen Set])</f>
        <v>#REF!</v>
      </c>
      <c r="AI364" s="532" t="e">
        <f>IF(NFI_Expiration=1,IF(#REF!&lt;VLOOKUP(R$5,NFI,5,0),1,0)*Table_NFI[[#This Row],[Clothes Kit]],Table_NFI[Clothes Kit])</f>
        <v>#REF!</v>
      </c>
      <c r="AJ364" s="532" t="e">
        <f>IF(NFI_Expiration=1,IF(#REF!&lt;VLOOKUP(S$5,NFI,5,0),1,0)*Table_NFI[[#This Row],[Plastic Bucket]],Table_NFI[Plastic Bucket])</f>
        <v>#REF!</v>
      </c>
      <c r="AK364" s="532" t="e">
        <f>IF(NFI_Expiration=1,IF(#REF!&lt;VLOOKUP(T$5,NFI,5,0),1,0)*Table_NFI[[#This Row],[Plastic Mat]],Table_NFI[Plastic Mat])*IF(Table_NFI[[#This Row],[Distribution Date]]&gt;"2014-04-01",1,2.5)</f>
        <v>#REF!</v>
      </c>
      <c r="AL364" s="532" t="e">
        <f>IF(NFI_Expiration=1,IF(#REF!&lt;VLOOKUP(U$5,NFI,5,0),1,0)*Table_NFI[[#This Row],[Winter Clothes Adult]],Table_NFI[Winter Clothes Adult])</f>
        <v>#REF!</v>
      </c>
      <c r="AM364" s="532"/>
      <c r="AN364" s="532"/>
      <c r="AO364" s="532"/>
      <c r="AP364" s="532">
        <f>IF(Table_NFI[[#This Row],[Winter Clothes Adult]]+Table_NFI[[#This Row],[Winter Clothes Children]]+Table_NFI[[#This Row],[Winter Items Other]]+Table_NFI[[#This Row],[Winter Blanket]]&gt;0,1,0)</f>
        <v>0</v>
      </c>
      <c r="AQ364" s="532"/>
      <c r="AR364" s="532"/>
      <c r="AS364" s="532"/>
      <c r="AT364" s="532"/>
      <c r="AU364" s="532"/>
      <c r="AV364" s="532"/>
      <c r="AW364" s="532"/>
      <c r="AX364" s="203" t="str">
        <f>IFERROR(VLOOKUP(Table_NFI[[#This Row],[Location]],CL,2,0),"")</f>
        <v>MMR015CMP209</v>
      </c>
      <c r="AZ364" s="524"/>
      <c r="DS364" s="181"/>
      <c r="DT364" s="181"/>
    </row>
    <row r="365" spans="2:124" hidden="1" x14ac:dyDescent="0.3">
      <c r="B365" s="530">
        <v>43391</v>
      </c>
      <c r="C365" s="530" t="str">
        <f>MONTH(Table_NFI[[#This Row],[Distribution Date]]) &amp; "/" &amp; YEAR(Table_NFI[[#This Row],[Distribution Date]])</f>
        <v>10/2018</v>
      </c>
      <c r="D365" s="196" t="s">
        <v>1452</v>
      </c>
      <c r="E365" s="196"/>
      <c r="F365" s="196" t="s">
        <v>506</v>
      </c>
      <c r="G365" s="195" t="s">
        <v>297</v>
      </c>
      <c r="H365" s="175" t="s">
        <v>1189</v>
      </c>
      <c r="I365" s="181"/>
      <c r="J365" s="531"/>
      <c r="K365" s="531"/>
      <c r="L365" s="531">
        <v>32</v>
      </c>
      <c r="M365" s="531"/>
      <c r="N365" s="531"/>
      <c r="O365" s="531"/>
      <c r="P365" s="531">
        <v>32</v>
      </c>
      <c r="Q365" s="531"/>
      <c r="R365" s="531"/>
      <c r="S365" s="531"/>
      <c r="T365" s="531"/>
      <c r="U365" s="531"/>
      <c r="V365" s="531"/>
      <c r="W365" s="531"/>
      <c r="X365" s="531"/>
      <c r="Y365" s="531"/>
      <c r="Z365" s="531"/>
      <c r="AA365" s="531"/>
      <c r="AB365" s="531"/>
      <c r="AC365" s="532" t="e">
        <f>IF(NFI_Expiration=1,IF(#REF!&lt;VLOOKUP(L$5,NFI,5,0),1,0)*Table_NFI[[#This Row],[NFI Core Kit]],Table_NFI[NFI Core Kit])</f>
        <v>#REF!</v>
      </c>
      <c r="AD365" s="532" t="e">
        <f>IF(NFI_Expiration=1,IF(#REF!&lt;VLOOKUP(M$5,NFI,5,0),1,0)*Table_NFI[[#This Row],[Sanitary Kit]],Table_NFI[Sanitary Kit])</f>
        <v>#REF!</v>
      </c>
      <c r="AE365" s="532" t="e">
        <f>IF(NFI_Expiration=1,IF(#REF!&lt;VLOOKUP(N$5,NFI,5,0),1,0)*Table_NFI[[#This Row],[Mosquito net]],Table_NFI[Mosquito net])</f>
        <v>#REF!</v>
      </c>
      <c r="AF365" s="532" t="e">
        <f>IF(NFI_Expiration=1,IF(#REF!&lt;VLOOKUP(O$5,NFI,5,0),1,0)*Table_NFI[[#This Row],[Tarpaulin]],Table_NFI[[#This Row],[Tarpaulin]])</f>
        <v>#REF!</v>
      </c>
      <c r="AG365" s="532" t="e">
        <f>IF(NFI_Expiration=1,IF(#REF!&lt;VLOOKUP(P$5,NFI,5,0),1,0)*Table_NFI[[#This Row],[Blanket]],Table_NFI[[#This Row],[Blanket]])</f>
        <v>#REF!</v>
      </c>
      <c r="AH365" s="532" t="e">
        <f>IF(NFI_Expiration=1,IF(#REF!&lt;VLOOKUP(Q$5,NFI,5,0),1,0)*Table_NFI[[#This Row],[Kitchen Set]],Table_NFI[Kitchen Set])</f>
        <v>#REF!</v>
      </c>
      <c r="AI365" s="532" t="e">
        <f>IF(NFI_Expiration=1,IF(#REF!&lt;VLOOKUP(R$5,NFI,5,0),1,0)*Table_NFI[[#This Row],[Clothes Kit]],Table_NFI[Clothes Kit])</f>
        <v>#REF!</v>
      </c>
      <c r="AJ365" s="532" t="e">
        <f>IF(NFI_Expiration=1,IF(#REF!&lt;VLOOKUP(S$5,NFI,5,0),1,0)*Table_NFI[[#This Row],[Plastic Bucket]],Table_NFI[Plastic Bucket])</f>
        <v>#REF!</v>
      </c>
      <c r="AK365" s="532" t="e">
        <f>IF(NFI_Expiration=1,IF(#REF!&lt;VLOOKUP(T$5,NFI,5,0),1,0)*Table_NFI[[#This Row],[Plastic Mat]],Table_NFI[Plastic Mat])*IF(Table_NFI[[#This Row],[Distribution Date]]&gt;"2014-04-01",1,2.5)</f>
        <v>#REF!</v>
      </c>
      <c r="AL365" s="532" t="e">
        <f>IF(NFI_Expiration=1,IF(#REF!&lt;VLOOKUP(U$5,NFI,5,0),1,0)*Table_NFI[[#This Row],[Winter Clothes Adult]],Table_NFI[Winter Clothes Adult])</f>
        <v>#REF!</v>
      </c>
      <c r="AM365" s="532"/>
      <c r="AN365" s="532"/>
      <c r="AO365" s="532"/>
      <c r="AP365" s="532">
        <f>IF(Table_NFI[[#This Row],[Winter Clothes Adult]]+Table_NFI[[#This Row],[Winter Clothes Children]]+Table_NFI[[#This Row],[Winter Items Other]]+Table_NFI[[#This Row],[Winter Blanket]]&gt;0,1,0)</f>
        <v>0</v>
      </c>
      <c r="AQ365" s="532"/>
      <c r="AR365" s="532"/>
      <c r="AS365" s="532"/>
      <c r="AT365" s="532"/>
      <c r="AU365" s="532"/>
      <c r="AV365" s="532"/>
      <c r="AW365" s="532"/>
      <c r="AX365" s="203" t="str">
        <f>IFERROR(VLOOKUP(Table_NFI[[#This Row],[Location]],CL,2,0),"")</f>
        <v>MMR015CMP232</v>
      </c>
      <c r="AZ365" s="524"/>
      <c r="DS365" s="181"/>
      <c r="DT365" s="181"/>
    </row>
    <row r="366" spans="2:124" hidden="1" x14ac:dyDescent="0.3">
      <c r="B366" s="530">
        <v>43391</v>
      </c>
      <c r="C366" s="530" t="str">
        <f>MONTH(Table_NFI[[#This Row],[Distribution Date]]) &amp; "/" &amp; YEAR(Table_NFI[[#This Row],[Distribution Date]])</f>
        <v>10/2018</v>
      </c>
      <c r="D366" s="196" t="s">
        <v>1452</v>
      </c>
      <c r="E366" s="196"/>
      <c r="F366" s="196" t="s">
        <v>506</v>
      </c>
      <c r="G366" s="195" t="s">
        <v>288</v>
      </c>
      <c r="H366" s="196"/>
      <c r="I366" s="181"/>
      <c r="J366" s="531"/>
      <c r="K366" s="531"/>
      <c r="L366" s="531"/>
      <c r="M366" s="531"/>
      <c r="N366" s="531"/>
      <c r="O366" s="531"/>
      <c r="P366" s="531"/>
      <c r="Q366" s="531"/>
      <c r="R366" s="531"/>
      <c r="S366" s="531"/>
      <c r="T366" s="531"/>
      <c r="U366" s="531"/>
      <c r="V366" s="531"/>
      <c r="W366" s="531"/>
      <c r="X366" s="531"/>
      <c r="Y366" s="531"/>
      <c r="Z366" s="531"/>
      <c r="AA366" s="531"/>
      <c r="AB366" s="531"/>
      <c r="AC366" s="532" t="e">
        <f>IF(NFI_Expiration=1,IF(#REF!&lt;VLOOKUP(L$5,NFI,5,0),1,0)*Table_NFI[[#This Row],[NFI Core Kit]],Table_NFI[NFI Core Kit])</f>
        <v>#REF!</v>
      </c>
      <c r="AD366" s="532" t="e">
        <f>IF(NFI_Expiration=1,IF(#REF!&lt;VLOOKUP(M$5,NFI,5,0),1,0)*Table_NFI[[#This Row],[Sanitary Kit]],Table_NFI[Sanitary Kit])</f>
        <v>#REF!</v>
      </c>
      <c r="AE366" s="532" t="e">
        <f>IF(NFI_Expiration=1,IF(#REF!&lt;VLOOKUP(N$5,NFI,5,0),1,0)*Table_NFI[[#This Row],[Mosquito net]],Table_NFI[Mosquito net])</f>
        <v>#REF!</v>
      </c>
      <c r="AF366" s="532" t="e">
        <f>IF(NFI_Expiration=1,IF(#REF!&lt;VLOOKUP(O$5,NFI,5,0),1,0)*Table_NFI[[#This Row],[Tarpaulin]],Table_NFI[[#This Row],[Tarpaulin]])</f>
        <v>#REF!</v>
      </c>
      <c r="AG366" s="532" t="e">
        <f>IF(NFI_Expiration=1,IF(#REF!&lt;VLOOKUP(P$5,NFI,5,0),1,0)*Table_NFI[[#This Row],[Blanket]],Table_NFI[[#This Row],[Blanket]])</f>
        <v>#REF!</v>
      </c>
      <c r="AH366" s="532" t="e">
        <f>IF(NFI_Expiration=1,IF(#REF!&lt;VLOOKUP(Q$5,NFI,5,0),1,0)*Table_NFI[[#This Row],[Kitchen Set]],Table_NFI[Kitchen Set])</f>
        <v>#REF!</v>
      </c>
      <c r="AI366" s="532" t="e">
        <f>IF(NFI_Expiration=1,IF(#REF!&lt;VLOOKUP(R$5,NFI,5,0),1,0)*Table_NFI[[#This Row],[Clothes Kit]],Table_NFI[Clothes Kit])</f>
        <v>#REF!</v>
      </c>
      <c r="AJ366" s="532" t="e">
        <f>IF(NFI_Expiration=1,IF(#REF!&lt;VLOOKUP(S$5,NFI,5,0),1,0)*Table_NFI[[#This Row],[Plastic Bucket]],Table_NFI[Plastic Bucket])</f>
        <v>#REF!</v>
      </c>
      <c r="AK366" s="532" t="e">
        <f>IF(NFI_Expiration=1,IF(#REF!&lt;VLOOKUP(T$5,NFI,5,0),1,0)*Table_NFI[[#This Row],[Plastic Mat]],Table_NFI[Plastic Mat])*IF(Table_NFI[[#This Row],[Distribution Date]]&gt;"2014-04-01",1,2.5)</f>
        <v>#REF!</v>
      </c>
      <c r="AL366" s="532" t="e">
        <f>IF(NFI_Expiration=1,IF(#REF!&lt;VLOOKUP(U$5,NFI,5,0),1,0)*Table_NFI[[#This Row],[Winter Clothes Adult]],Table_NFI[Winter Clothes Adult])</f>
        <v>#REF!</v>
      </c>
      <c r="AM366" s="532"/>
      <c r="AN366" s="532"/>
      <c r="AO366" s="532"/>
      <c r="AP366" s="532">
        <f>IF(Table_NFI[[#This Row],[Winter Clothes Adult]]+Table_NFI[[#This Row],[Winter Clothes Children]]+Table_NFI[[#This Row],[Winter Items Other]]+Table_NFI[[#This Row],[Winter Blanket]]&gt;0,1,0)</f>
        <v>0</v>
      </c>
      <c r="AQ366" s="532"/>
      <c r="AR366" s="532"/>
      <c r="AS366" s="532"/>
      <c r="AT366" s="532"/>
      <c r="AU366" s="532"/>
      <c r="AV366" s="532"/>
      <c r="AW366" s="532"/>
      <c r="AX366" s="203" t="str">
        <f>IFERROR(VLOOKUP(Table_NFI[[#This Row],[Location]],CL,2,0),"")</f>
        <v/>
      </c>
      <c r="AZ366" s="524"/>
      <c r="DS366" s="181"/>
      <c r="DT366" s="181"/>
    </row>
    <row r="367" spans="2:124" hidden="1" x14ac:dyDescent="0.3">
      <c r="B367" s="530">
        <v>43424</v>
      </c>
      <c r="C367" s="530" t="str">
        <f>MONTH(Table_NFI[[#This Row],[Distribution Date]]) &amp; "/" &amp; YEAR(Table_NFI[[#This Row],[Distribution Date]])</f>
        <v>11/2018</v>
      </c>
      <c r="D367" s="196" t="s">
        <v>420</v>
      </c>
      <c r="E367" s="196" t="s">
        <v>424</v>
      </c>
      <c r="F367" s="196" t="s">
        <v>378</v>
      </c>
      <c r="G367" s="195" t="s">
        <v>237</v>
      </c>
      <c r="H367" s="196" t="s">
        <v>1688</v>
      </c>
      <c r="I367" s="181"/>
      <c r="J367" s="531"/>
      <c r="K367" s="531"/>
      <c r="L367" s="531">
        <v>52</v>
      </c>
      <c r="M367" s="531"/>
      <c r="N367" s="531">
        <v>79</v>
      </c>
      <c r="O367" s="531"/>
      <c r="P367" s="531">
        <v>79</v>
      </c>
      <c r="Q367" s="531">
        <v>44</v>
      </c>
      <c r="R367" s="531"/>
      <c r="S367" s="531"/>
      <c r="T367" s="531">
        <v>189</v>
      </c>
      <c r="U367" s="531"/>
      <c r="V367" s="531"/>
      <c r="W367" s="531"/>
      <c r="X367" s="531"/>
      <c r="Y367" s="531">
        <v>52</v>
      </c>
      <c r="Z367" s="531"/>
      <c r="AA367" s="531"/>
      <c r="AB367" s="531"/>
      <c r="AC367" s="532" t="e">
        <f>IF(NFI_Expiration=1,IF(#REF!&lt;VLOOKUP(L$5,NFI,5,0),1,0)*Table_NFI[[#This Row],[NFI Core Kit]],Table_NFI[NFI Core Kit])</f>
        <v>#REF!</v>
      </c>
      <c r="AD367" s="532" t="e">
        <f>IF(NFI_Expiration=1,IF(#REF!&lt;VLOOKUP(M$5,NFI,5,0),1,0)*Table_NFI[[#This Row],[Sanitary Kit]],Table_NFI[Sanitary Kit])</f>
        <v>#REF!</v>
      </c>
      <c r="AE367" s="532" t="e">
        <f>IF(NFI_Expiration=1,IF(#REF!&lt;VLOOKUP(N$5,NFI,5,0),1,0)*Table_NFI[[#This Row],[Mosquito net]],Table_NFI[Mosquito net])</f>
        <v>#REF!</v>
      </c>
      <c r="AF367" s="532" t="e">
        <f>IF(NFI_Expiration=1,IF(#REF!&lt;VLOOKUP(O$5,NFI,5,0),1,0)*Table_NFI[[#This Row],[Tarpaulin]],Table_NFI[[#This Row],[Tarpaulin]])</f>
        <v>#REF!</v>
      </c>
      <c r="AG367" s="532" t="e">
        <f>IF(NFI_Expiration=1,IF(#REF!&lt;VLOOKUP(P$5,NFI,5,0),1,0)*Table_NFI[[#This Row],[Blanket]],Table_NFI[[#This Row],[Blanket]])</f>
        <v>#REF!</v>
      </c>
      <c r="AH367" s="532" t="e">
        <f>IF(NFI_Expiration=1,IF(#REF!&lt;VLOOKUP(Q$5,NFI,5,0),1,0)*Table_NFI[[#This Row],[Kitchen Set]],Table_NFI[Kitchen Set])</f>
        <v>#REF!</v>
      </c>
      <c r="AI367" s="532" t="e">
        <f>IF(NFI_Expiration=1,IF(#REF!&lt;VLOOKUP(R$5,NFI,5,0),1,0)*Table_NFI[[#This Row],[Clothes Kit]],Table_NFI[Clothes Kit])</f>
        <v>#REF!</v>
      </c>
      <c r="AJ367" s="532" t="e">
        <f>IF(NFI_Expiration=1,IF(#REF!&lt;VLOOKUP(S$5,NFI,5,0),1,0)*Table_NFI[[#This Row],[Plastic Bucket]],Table_NFI[Plastic Bucket])</f>
        <v>#REF!</v>
      </c>
      <c r="AK367" s="532" t="e">
        <f>IF(NFI_Expiration=1,IF(#REF!&lt;VLOOKUP(T$5,NFI,5,0),1,0)*Table_NFI[[#This Row],[Plastic Mat]],Table_NFI[Plastic Mat])*IF(Table_NFI[[#This Row],[Distribution Date]]&gt;"2014-04-01",1,2.5)</f>
        <v>#REF!</v>
      </c>
      <c r="AL367" s="532" t="e">
        <f>IF(NFI_Expiration=1,IF(#REF!&lt;VLOOKUP(U$5,NFI,5,0),1,0)*Table_NFI[[#This Row],[Winter Clothes Adult]],Table_NFI[Winter Clothes Adult])</f>
        <v>#REF!</v>
      </c>
      <c r="AM367" s="532"/>
      <c r="AN367" s="532"/>
      <c r="AO367" s="532"/>
      <c r="AP367" s="532">
        <f>IF(Table_NFI[[#This Row],[Winter Clothes Adult]]+Table_NFI[[#This Row],[Winter Clothes Children]]+Table_NFI[[#This Row],[Winter Items Other]]+Table_NFI[[#This Row],[Winter Blanket]]&gt;0,1,0)</f>
        <v>0</v>
      </c>
      <c r="AQ367" s="532"/>
      <c r="AR367" s="532"/>
      <c r="AS367" s="532"/>
      <c r="AT367" s="532"/>
      <c r="AU367" s="532"/>
      <c r="AV367" s="532"/>
      <c r="AW367" s="532"/>
      <c r="AX367" s="203" t="str">
        <f>IFERROR(VLOOKUP(Table_NFI[[#This Row],[Location]],CL,2,0),"")</f>
        <v>MMR001CMP263</v>
      </c>
      <c r="AZ367" s="524"/>
      <c r="DS367" s="181"/>
      <c r="DT367" s="181"/>
    </row>
    <row r="368" spans="2:124" hidden="1" x14ac:dyDescent="0.25">
      <c r="B368" s="530">
        <v>43418</v>
      </c>
      <c r="C368" s="530" t="str">
        <f>MONTH(Table_NFI[[#This Row],[Distribution Date]]) &amp; "/" &amp; YEAR(Table_NFI[[#This Row],[Distribution Date]])</f>
        <v>11/2018</v>
      </c>
      <c r="D368" s="628" t="s">
        <v>1916</v>
      </c>
      <c r="E368" s="196"/>
      <c r="F368" s="196" t="s">
        <v>506</v>
      </c>
      <c r="G368" s="196" t="s">
        <v>494</v>
      </c>
      <c r="H368" s="268" t="s">
        <v>1729</v>
      </c>
      <c r="I368" s="181"/>
      <c r="J368" s="531">
        <v>43</v>
      </c>
      <c r="K368" s="531"/>
      <c r="L368" s="531"/>
      <c r="M368" s="531"/>
      <c r="N368" s="531"/>
      <c r="O368" s="531"/>
      <c r="P368" s="531"/>
      <c r="Q368" s="531">
        <v>43</v>
      </c>
      <c r="R368" s="531"/>
      <c r="S368" s="531"/>
      <c r="T368" s="531"/>
      <c r="U368" s="531"/>
      <c r="V368" s="531"/>
      <c r="W368" s="531"/>
      <c r="X368" s="531"/>
      <c r="Y368" s="531"/>
      <c r="Z368" s="531"/>
      <c r="AA368" s="531"/>
      <c r="AB368" s="531"/>
      <c r="AC368" s="532" t="e">
        <f>IF(NFI_Expiration=1,IF(#REF!&lt;VLOOKUP(L$5,NFI,5,0),1,0)*Table_NFI[[#This Row],[NFI Core Kit]],Table_NFI[NFI Core Kit])</f>
        <v>#REF!</v>
      </c>
      <c r="AD368" s="532" t="e">
        <f>IF(NFI_Expiration=1,IF(#REF!&lt;VLOOKUP(M$5,NFI,5,0),1,0)*Table_NFI[[#This Row],[Sanitary Kit]],Table_NFI[Sanitary Kit])</f>
        <v>#REF!</v>
      </c>
      <c r="AE368" s="532" t="e">
        <f>IF(NFI_Expiration=1,IF(#REF!&lt;VLOOKUP(N$5,NFI,5,0),1,0)*Table_NFI[[#This Row],[Mosquito net]],Table_NFI[Mosquito net])</f>
        <v>#REF!</v>
      </c>
      <c r="AF368" s="532" t="e">
        <f>IF(NFI_Expiration=1,IF(#REF!&lt;VLOOKUP(O$5,NFI,5,0),1,0)*Table_NFI[[#This Row],[Tarpaulin]],Table_NFI[[#This Row],[Tarpaulin]])</f>
        <v>#REF!</v>
      </c>
      <c r="AG368" s="532" t="e">
        <f>IF(NFI_Expiration=1,IF(#REF!&lt;VLOOKUP(P$5,NFI,5,0),1,0)*Table_NFI[[#This Row],[Blanket]],Table_NFI[[#This Row],[Blanket]])</f>
        <v>#REF!</v>
      </c>
      <c r="AH368" s="532" t="e">
        <f>IF(NFI_Expiration=1,IF(#REF!&lt;VLOOKUP(Q$5,NFI,5,0),1,0)*Table_NFI[[#This Row],[Kitchen Set]],Table_NFI[Kitchen Set])</f>
        <v>#REF!</v>
      </c>
      <c r="AI368" s="532" t="e">
        <f>IF(NFI_Expiration=1,IF(#REF!&lt;VLOOKUP(R$5,NFI,5,0),1,0)*Table_NFI[[#This Row],[Clothes Kit]],Table_NFI[Clothes Kit])</f>
        <v>#REF!</v>
      </c>
      <c r="AJ368" s="532" t="e">
        <f>IF(NFI_Expiration=1,IF(#REF!&lt;VLOOKUP(S$5,NFI,5,0),1,0)*Table_NFI[[#This Row],[Plastic Bucket]],Table_NFI[Plastic Bucket])</f>
        <v>#REF!</v>
      </c>
      <c r="AK368" s="532" t="e">
        <f>IF(NFI_Expiration=1,IF(#REF!&lt;VLOOKUP(T$5,NFI,5,0),1,0)*Table_NFI[[#This Row],[Plastic Mat]],Table_NFI[Plastic Mat])*IF(Table_NFI[[#This Row],[Distribution Date]]&gt;"2014-04-01",1,2.5)</f>
        <v>#REF!</v>
      </c>
      <c r="AL368" s="532" t="e">
        <f>IF(NFI_Expiration=1,IF(#REF!&lt;VLOOKUP(U$5,NFI,5,0),1,0)*Table_NFI[[#This Row],[Winter Clothes Adult]],Table_NFI[Winter Clothes Adult])</f>
        <v>#REF!</v>
      </c>
      <c r="AM368" s="532"/>
      <c r="AN368" s="532"/>
      <c r="AO368" s="532"/>
      <c r="AP368" s="532">
        <f>IF(Table_NFI[[#This Row],[Winter Clothes Adult]]+Table_NFI[[#This Row],[Winter Clothes Children]]+Table_NFI[[#This Row],[Winter Items Other]]+Table_NFI[[#This Row],[Winter Blanket]]&gt;0,1,0)</f>
        <v>0</v>
      </c>
      <c r="AQ368" s="532"/>
      <c r="AR368" s="532"/>
      <c r="AS368" s="532"/>
      <c r="AT368" s="532"/>
      <c r="AU368" s="532"/>
      <c r="AV368" s="532"/>
      <c r="AW368" s="532"/>
      <c r="AX368" s="203" t="str">
        <f>IFERROR(VLOOKUP(Table_NFI[[#This Row],[Location]],CL,2,0),"")</f>
        <v/>
      </c>
      <c r="AZ368" s="524"/>
      <c r="DS368" s="181"/>
      <c r="DT368" s="181"/>
    </row>
    <row r="369" spans="2:124" hidden="1" x14ac:dyDescent="0.25">
      <c r="B369" s="530">
        <v>43419</v>
      </c>
      <c r="C369" s="530" t="str">
        <f>MONTH(Table_NFI[[#This Row],[Distribution Date]]) &amp; "/" &amp; YEAR(Table_NFI[[#This Row],[Distribution Date]])</f>
        <v>11/2018</v>
      </c>
      <c r="D369" s="628" t="s">
        <v>1916</v>
      </c>
      <c r="E369" s="196"/>
      <c r="F369" s="196" t="s">
        <v>506</v>
      </c>
      <c r="G369" s="196" t="s">
        <v>494</v>
      </c>
      <c r="H369" s="268" t="s">
        <v>1731</v>
      </c>
      <c r="I369" s="181"/>
      <c r="J369" s="531">
        <v>22</v>
      </c>
      <c r="K369" s="531"/>
      <c r="L369" s="531"/>
      <c r="M369" s="531"/>
      <c r="N369" s="531"/>
      <c r="O369" s="531"/>
      <c r="P369" s="531"/>
      <c r="Q369" s="531">
        <v>22</v>
      </c>
      <c r="R369" s="531"/>
      <c r="S369" s="531"/>
      <c r="T369" s="531"/>
      <c r="U369" s="531"/>
      <c r="V369" s="531"/>
      <c r="W369" s="531"/>
      <c r="X369" s="531"/>
      <c r="Y369" s="531"/>
      <c r="Z369" s="531"/>
      <c r="AA369" s="531"/>
      <c r="AB369" s="531"/>
      <c r="AC369" s="532" t="e">
        <f>IF(NFI_Expiration=1,IF(#REF!&lt;VLOOKUP(L$5,NFI,5,0),1,0)*Table_NFI[[#This Row],[NFI Core Kit]],Table_NFI[NFI Core Kit])</f>
        <v>#REF!</v>
      </c>
      <c r="AD369" s="532" t="e">
        <f>IF(NFI_Expiration=1,IF(#REF!&lt;VLOOKUP(M$5,NFI,5,0),1,0)*Table_NFI[[#This Row],[Sanitary Kit]],Table_NFI[Sanitary Kit])</f>
        <v>#REF!</v>
      </c>
      <c r="AE369" s="532" t="e">
        <f>IF(NFI_Expiration=1,IF(#REF!&lt;VLOOKUP(N$5,NFI,5,0),1,0)*Table_NFI[[#This Row],[Mosquito net]],Table_NFI[Mosquito net])</f>
        <v>#REF!</v>
      </c>
      <c r="AF369" s="532" t="e">
        <f>IF(NFI_Expiration=1,IF(#REF!&lt;VLOOKUP(O$5,NFI,5,0),1,0)*Table_NFI[[#This Row],[Tarpaulin]],Table_NFI[[#This Row],[Tarpaulin]])</f>
        <v>#REF!</v>
      </c>
      <c r="AG369" s="532" t="e">
        <f>IF(NFI_Expiration=1,IF(#REF!&lt;VLOOKUP(P$5,NFI,5,0),1,0)*Table_NFI[[#This Row],[Blanket]],Table_NFI[[#This Row],[Blanket]])</f>
        <v>#REF!</v>
      </c>
      <c r="AH369" s="532" t="e">
        <f>IF(NFI_Expiration=1,IF(#REF!&lt;VLOOKUP(Q$5,NFI,5,0),1,0)*Table_NFI[[#This Row],[Kitchen Set]],Table_NFI[Kitchen Set])</f>
        <v>#REF!</v>
      </c>
      <c r="AI369" s="532" t="e">
        <f>IF(NFI_Expiration=1,IF(#REF!&lt;VLOOKUP(R$5,NFI,5,0),1,0)*Table_NFI[[#This Row],[Clothes Kit]],Table_NFI[Clothes Kit])</f>
        <v>#REF!</v>
      </c>
      <c r="AJ369" s="532" t="e">
        <f>IF(NFI_Expiration=1,IF(#REF!&lt;VLOOKUP(S$5,NFI,5,0),1,0)*Table_NFI[[#This Row],[Plastic Bucket]],Table_NFI[Plastic Bucket])</f>
        <v>#REF!</v>
      </c>
      <c r="AK369" s="532" t="e">
        <f>IF(NFI_Expiration=1,IF(#REF!&lt;VLOOKUP(T$5,NFI,5,0),1,0)*Table_NFI[[#This Row],[Plastic Mat]],Table_NFI[Plastic Mat])*IF(Table_NFI[[#This Row],[Distribution Date]]&gt;"2014-04-01",1,2.5)</f>
        <v>#REF!</v>
      </c>
      <c r="AL369" s="532" t="e">
        <f>IF(NFI_Expiration=1,IF(#REF!&lt;VLOOKUP(U$5,NFI,5,0),1,0)*Table_NFI[[#This Row],[Winter Clothes Adult]],Table_NFI[Winter Clothes Adult])</f>
        <v>#REF!</v>
      </c>
      <c r="AM369" s="532"/>
      <c r="AN369" s="532"/>
      <c r="AO369" s="532"/>
      <c r="AP369" s="532">
        <f>IF(Table_NFI[[#This Row],[Winter Clothes Adult]]+Table_NFI[[#This Row],[Winter Clothes Children]]+Table_NFI[[#This Row],[Winter Items Other]]+Table_NFI[[#This Row],[Winter Blanket]]&gt;0,1,0)</f>
        <v>0</v>
      </c>
      <c r="AQ369" s="532"/>
      <c r="AR369" s="532"/>
      <c r="AS369" s="532"/>
      <c r="AT369" s="532"/>
      <c r="AU369" s="532"/>
      <c r="AV369" s="532"/>
      <c r="AW369" s="532"/>
      <c r="AX369" s="203" t="str">
        <f>IFERROR(VLOOKUP(Table_NFI[[#This Row],[Location]],CL,2,0),"")</f>
        <v/>
      </c>
      <c r="AZ369" s="524"/>
      <c r="DS369" s="181"/>
      <c r="DT369" s="181"/>
    </row>
    <row r="370" spans="2:124" hidden="1" x14ac:dyDescent="0.3">
      <c r="B370" s="530">
        <v>43130</v>
      </c>
      <c r="C370" s="530" t="str">
        <f>MONTH(Table_NFI[[#This Row],[Distribution Date]]) &amp; "/" &amp; YEAR(Table_NFI[[#This Row],[Distribution Date]])</f>
        <v>1/2018</v>
      </c>
      <c r="D370" s="196" t="s">
        <v>1560</v>
      </c>
      <c r="E370" s="196"/>
      <c r="F370" s="196" t="s">
        <v>506</v>
      </c>
      <c r="G370" s="196" t="s">
        <v>288</v>
      </c>
      <c r="H370" s="175" t="s">
        <v>915</v>
      </c>
      <c r="I370" s="181"/>
      <c r="J370" s="531"/>
      <c r="K370" s="531"/>
      <c r="L370" s="531"/>
      <c r="M370" s="531"/>
      <c r="N370" s="531"/>
      <c r="O370" s="531"/>
      <c r="P370" s="531"/>
      <c r="Q370" s="531"/>
      <c r="R370" s="531"/>
      <c r="S370" s="531"/>
      <c r="T370" s="531"/>
      <c r="U370" s="531">
        <v>65</v>
      </c>
      <c r="V370" s="531">
        <v>1</v>
      </c>
      <c r="W370" s="531"/>
      <c r="X370" s="531"/>
      <c r="Y370" s="531"/>
      <c r="Z370" s="531"/>
      <c r="AA370" s="531"/>
      <c r="AB370" s="531"/>
      <c r="AC370" s="532" t="e">
        <f>IF(NFI_Expiration=1,IF(#REF!&lt;VLOOKUP(L$5,NFI,5,0),1,0)*Table_NFI[[#This Row],[NFI Core Kit]],Table_NFI[NFI Core Kit])</f>
        <v>#REF!</v>
      </c>
      <c r="AD370" s="532" t="e">
        <f>IF(NFI_Expiration=1,IF(#REF!&lt;VLOOKUP(M$5,NFI,5,0),1,0)*Table_NFI[[#This Row],[Sanitary Kit]],Table_NFI[Sanitary Kit])</f>
        <v>#REF!</v>
      </c>
      <c r="AE370" s="532" t="e">
        <f>IF(NFI_Expiration=1,IF(#REF!&lt;VLOOKUP(N$5,NFI,5,0),1,0)*Table_NFI[[#This Row],[Mosquito net]],Table_NFI[Mosquito net])</f>
        <v>#REF!</v>
      </c>
      <c r="AF370" s="532" t="e">
        <f>IF(NFI_Expiration=1,IF(#REF!&lt;VLOOKUP(O$5,NFI,5,0),1,0)*Table_NFI[[#This Row],[Tarpaulin]],Table_NFI[[#This Row],[Tarpaulin]])</f>
        <v>#REF!</v>
      </c>
      <c r="AG370" s="532" t="e">
        <f>IF(NFI_Expiration=1,IF(#REF!&lt;VLOOKUP(P$5,NFI,5,0),1,0)*Table_NFI[[#This Row],[Blanket]],Table_NFI[[#This Row],[Blanket]])</f>
        <v>#REF!</v>
      </c>
      <c r="AH370" s="532" t="e">
        <f>IF(NFI_Expiration=1,IF(#REF!&lt;VLOOKUP(Q$5,NFI,5,0),1,0)*Table_NFI[[#This Row],[Kitchen Set]],Table_NFI[Kitchen Set])</f>
        <v>#REF!</v>
      </c>
      <c r="AI370" s="532" t="e">
        <f>IF(NFI_Expiration=1,IF(#REF!&lt;VLOOKUP(R$5,NFI,5,0),1,0)*Table_NFI[[#This Row],[Clothes Kit]],Table_NFI[Clothes Kit])</f>
        <v>#REF!</v>
      </c>
      <c r="AJ370" s="532" t="e">
        <f>IF(NFI_Expiration=1,IF(#REF!&lt;VLOOKUP(S$5,NFI,5,0),1,0)*Table_NFI[[#This Row],[Plastic Bucket]],Table_NFI[Plastic Bucket])</f>
        <v>#REF!</v>
      </c>
      <c r="AK370" s="532" t="e">
        <f>IF(NFI_Expiration=1,IF(#REF!&lt;VLOOKUP(T$5,NFI,5,0),1,0)*Table_NFI[[#This Row],[Plastic Mat]],Table_NFI[Plastic Mat])*IF(Table_NFI[[#This Row],[Distribution Date]]&gt;"2014-04-01",1,2.5)</f>
        <v>#REF!</v>
      </c>
      <c r="AL370" s="532" t="e">
        <f>IF(NFI_Expiration=1,IF(#REF!&lt;VLOOKUP(U$5,NFI,5,0),1,0)*Table_NFI[[#This Row],[Winter Clothes Adult]],Table_NFI[Winter Clothes Adult])</f>
        <v>#REF!</v>
      </c>
      <c r="AM370" s="532"/>
      <c r="AN370" s="532"/>
      <c r="AO370" s="532"/>
      <c r="AP370" s="532">
        <f>IF(Table_NFI[[#This Row],[Winter Clothes Adult]]+Table_NFI[[#This Row],[Winter Clothes Children]]+Table_NFI[[#This Row],[Winter Items Other]]+Table_NFI[[#This Row],[Winter Blanket]]&gt;0,1,0)</f>
        <v>1</v>
      </c>
      <c r="AQ370" s="532"/>
      <c r="AR370" s="532"/>
      <c r="AS370" s="532"/>
      <c r="AT370" s="532"/>
      <c r="AU370" s="532"/>
      <c r="AV370" s="532"/>
      <c r="AW370" s="532"/>
      <c r="AX370" s="203" t="str">
        <f>IFERROR(VLOOKUP(Table_NFI[[#This Row],[Location]],CL,2,0),"")</f>
        <v>MMR015CMP215</v>
      </c>
      <c r="AZ370" s="524"/>
      <c r="DS370" s="181"/>
      <c r="DT370" s="181"/>
    </row>
    <row r="371" spans="2:124" hidden="1" x14ac:dyDescent="0.3">
      <c r="B371" s="698">
        <v>43129</v>
      </c>
      <c r="C371" s="530" t="str">
        <f>MONTH(Table_NFI[[#This Row],[Distribution Date]]) &amp; "/" &amp; YEAR(Table_NFI[[#This Row],[Distribution Date]])</f>
        <v>1/2018</v>
      </c>
      <c r="D371" s="196" t="s">
        <v>1560</v>
      </c>
      <c r="E371" s="196" t="s">
        <v>1732</v>
      </c>
      <c r="F371" s="196" t="s">
        <v>378</v>
      </c>
      <c r="G371" s="196" t="s">
        <v>151</v>
      </c>
      <c r="H371" s="175" t="s">
        <v>154</v>
      </c>
      <c r="I371" s="181"/>
      <c r="J371" s="531"/>
      <c r="K371" s="531"/>
      <c r="L371" s="531"/>
      <c r="M371" s="531"/>
      <c r="N371" s="531"/>
      <c r="O371" s="531"/>
      <c r="P371" s="531"/>
      <c r="Q371" s="531"/>
      <c r="R371" s="531"/>
      <c r="S371" s="531"/>
      <c r="T371" s="531"/>
      <c r="U371" s="531">
        <v>43</v>
      </c>
      <c r="V371" s="531">
        <v>4</v>
      </c>
      <c r="W371" s="531"/>
      <c r="X371" s="531"/>
      <c r="Y371" s="531"/>
      <c r="Z371" s="531"/>
      <c r="AA371" s="531"/>
      <c r="AB371" s="531"/>
      <c r="AC371" s="532" t="e">
        <f>IF(NFI_Expiration=1,IF(#REF!&lt;VLOOKUP(L$5,NFI,5,0),1,0)*Table_NFI[[#This Row],[NFI Core Kit]],Table_NFI[NFI Core Kit])</f>
        <v>#REF!</v>
      </c>
      <c r="AD371" s="532" t="e">
        <f>IF(NFI_Expiration=1,IF(#REF!&lt;VLOOKUP(M$5,NFI,5,0),1,0)*Table_NFI[[#This Row],[Sanitary Kit]],Table_NFI[Sanitary Kit])</f>
        <v>#REF!</v>
      </c>
      <c r="AE371" s="532" t="e">
        <f>IF(NFI_Expiration=1,IF(#REF!&lt;VLOOKUP(N$5,NFI,5,0),1,0)*Table_NFI[[#This Row],[Mosquito net]],Table_NFI[Mosquito net])</f>
        <v>#REF!</v>
      </c>
      <c r="AF371" s="532" t="e">
        <f>IF(NFI_Expiration=1,IF(#REF!&lt;VLOOKUP(O$5,NFI,5,0),1,0)*Table_NFI[[#This Row],[Tarpaulin]],Table_NFI[[#This Row],[Tarpaulin]])</f>
        <v>#REF!</v>
      </c>
      <c r="AG371" s="532" t="e">
        <f>IF(NFI_Expiration=1,IF(#REF!&lt;VLOOKUP(P$5,NFI,5,0),1,0)*Table_NFI[[#This Row],[Blanket]],Table_NFI[[#This Row],[Blanket]])</f>
        <v>#REF!</v>
      </c>
      <c r="AH371" s="532" t="e">
        <f>IF(NFI_Expiration=1,IF(#REF!&lt;VLOOKUP(Q$5,NFI,5,0),1,0)*Table_NFI[[#This Row],[Kitchen Set]],Table_NFI[Kitchen Set])</f>
        <v>#REF!</v>
      </c>
      <c r="AI371" s="532" t="e">
        <f>IF(NFI_Expiration=1,IF(#REF!&lt;VLOOKUP(R$5,NFI,5,0),1,0)*Table_NFI[[#This Row],[Clothes Kit]],Table_NFI[Clothes Kit])</f>
        <v>#REF!</v>
      </c>
      <c r="AJ371" s="532" t="e">
        <f>IF(NFI_Expiration=1,IF(#REF!&lt;VLOOKUP(S$5,NFI,5,0),1,0)*Table_NFI[[#This Row],[Plastic Bucket]],Table_NFI[Plastic Bucket])</f>
        <v>#REF!</v>
      </c>
      <c r="AK371" s="532" t="e">
        <f>IF(NFI_Expiration=1,IF(#REF!&lt;VLOOKUP(T$5,NFI,5,0),1,0)*Table_NFI[[#This Row],[Plastic Mat]],Table_NFI[Plastic Mat])*IF(Table_NFI[[#This Row],[Distribution Date]]&gt;"2014-04-01",1,2.5)</f>
        <v>#REF!</v>
      </c>
      <c r="AL371" s="532" t="e">
        <f>IF(NFI_Expiration=1,IF(#REF!&lt;VLOOKUP(U$5,NFI,5,0),1,0)*Table_NFI[[#This Row],[Winter Clothes Adult]],Table_NFI[Winter Clothes Adult])</f>
        <v>#REF!</v>
      </c>
      <c r="AM371" s="532"/>
      <c r="AN371" s="532"/>
      <c r="AO371" s="532"/>
      <c r="AP371" s="532">
        <f>IF(Table_NFI[[#This Row],[Winter Clothes Adult]]+Table_NFI[[#This Row],[Winter Clothes Children]]+Table_NFI[[#This Row],[Winter Items Other]]+Table_NFI[[#This Row],[Winter Blanket]]&gt;0,1,0)</f>
        <v>1</v>
      </c>
      <c r="AQ371" s="532"/>
      <c r="AR371" s="532"/>
      <c r="AS371" s="532"/>
      <c r="AT371" s="532"/>
      <c r="AU371" s="532"/>
      <c r="AV371" s="532"/>
      <c r="AW371" s="532"/>
      <c r="AX371" s="203" t="str">
        <f>IFERROR(VLOOKUP(Table_NFI[[#This Row],[Location]],CL,2,0),"")</f>
        <v>MMR001CMP132</v>
      </c>
      <c r="AZ371" s="524"/>
      <c r="DS371" s="181"/>
      <c r="DT371" s="181"/>
    </row>
    <row r="372" spans="2:124" hidden="1" x14ac:dyDescent="0.3">
      <c r="B372" s="530">
        <v>43131</v>
      </c>
      <c r="C372" s="530" t="str">
        <f>MONTH(Table_NFI[[#This Row],[Distribution Date]]) &amp; "/" &amp; YEAR(Table_NFI[[#This Row],[Distribution Date]])</f>
        <v>1/2018</v>
      </c>
      <c r="D372" s="196" t="s">
        <v>1560</v>
      </c>
      <c r="E372" s="196" t="s">
        <v>1732</v>
      </c>
      <c r="F372" s="196" t="s">
        <v>506</v>
      </c>
      <c r="G372" s="196" t="s">
        <v>288</v>
      </c>
      <c r="H372" s="175" t="s">
        <v>372</v>
      </c>
      <c r="I372" s="181"/>
      <c r="J372" s="531"/>
      <c r="K372" s="531"/>
      <c r="L372" s="531"/>
      <c r="M372" s="531"/>
      <c r="N372" s="531"/>
      <c r="O372" s="531"/>
      <c r="P372" s="531"/>
      <c r="Q372" s="531"/>
      <c r="R372" s="531"/>
      <c r="S372" s="531"/>
      <c r="T372" s="531"/>
      <c r="U372" s="531">
        <v>14</v>
      </c>
      <c r="V372" s="531"/>
      <c r="W372" s="531"/>
      <c r="X372" s="531"/>
      <c r="Y372" s="531"/>
      <c r="Z372" s="531"/>
      <c r="AA372" s="531"/>
      <c r="AB372" s="531"/>
      <c r="AC372" s="532" t="e">
        <f>IF(NFI_Expiration=1,IF(#REF!&lt;VLOOKUP(L$5,NFI,5,0),1,0)*Table_NFI[[#This Row],[NFI Core Kit]],Table_NFI[NFI Core Kit])</f>
        <v>#REF!</v>
      </c>
      <c r="AD372" s="532" t="e">
        <f>IF(NFI_Expiration=1,IF(#REF!&lt;VLOOKUP(M$5,NFI,5,0),1,0)*Table_NFI[[#This Row],[Sanitary Kit]],Table_NFI[Sanitary Kit])</f>
        <v>#REF!</v>
      </c>
      <c r="AE372" s="532" t="e">
        <f>IF(NFI_Expiration=1,IF(#REF!&lt;VLOOKUP(N$5,NFI,5,0),1,0)*Table_NFI[[#This Row],[Mosquito net]],Table_NFI[Mosquito net])</f>
        <v>#REF!</v>
      </c>
      <c r="AF372" s="532" t="e">
        <f>IF(NFI_Expiration=1,IF(#REF!&lt;VLOOKUP(O$5,NFI,5,0),1,0)*Table_NFI[[#This Row],[Tarpaulin]],Table_NFI[[#This Row],[Tarpaulin]])</f>
        <v>#REF!</v>
      </c>
      <c r="AG372" s="532" t="e">
        <f>IF(NFI_Expiration=1,IF(#REF!&lt;VLOOKUP(P$5,NFI,5,0),1,0)*Table_NFI[[#This Row],[Blanket]],Table_NFI[[#This Row],[Blanket]])</f>
        <v>#REF!</v>
      </c>
      <c r="AH372" s="532" t="e">
        <f>IF(NFI_Expiration=1,IF(#REF!&lt;VLOOKUP(Q$5,NFI,5,0),1,0)*Table_NFI[[#This Row],[Kitchen Set]],Table_NFI[Kitchen Set])</f>
        <v>#REF!</v>
      </c>
      <c r="AI372" s="532" t="e">
        <f>IF(NFI_Expiration=1,IF(#REF!&lt;VLOOKUP(R$5,NFI,5,0),1,0)*Table_NFI[[#This Row],[Clothes Kit]],Table_NFI[Clothes Kit])</f>
        <v>#REF!</v>
      </c>
      <c r="AJ372" s="532" t="e">
        <f>IF(NFI_Expiration=1,IF(#REF!&lt;VLOOKUP(S$5,NFI,5,0),1,0)*Table_NFI[[#This Row],[Plastic Bucket]],Table_NFI[Plastic Bucket])</f>
        <v>#REF!</v>
      </c>
      <c r="AK372" s="532" t="e">
        <f>IF(NFI_Expiration=1,IF(#REF!&lt;VLOOKUP(T$5,NFI,5,0),1,0)*Table_NFI[[#This Row],[Plastic Mat]],Table_NFI[Plastic Mat])*IF(Table_NFI[[#This Row],[Distribution Date]]&gt;"2014-04-01",1,2.5)</f>
        <v>#REF!</v>
      </c>
      <c r="AL372" s="532" t="e">
        <f>IF(NFI_Expiration=1,IF(#REF!&lt;VLOOKUP(U$5,NFI,5,0),1,0)*Table_NFI[[#This Row],[Winter Clothes Adult]],Table_NFI[Winter Clothes Adult])</f>
        <v>#REF!</v>
      </c>
      <c r="AM372" s="532"/>
      <c r="AN372" s="532"/>
      <c r="AO372" s="532"/>
      <c r="AP372" s="532">
        <f>IF(Table_NFI[[#This Row],[Winter Clothes Adult]]+Table_NFI[[#This Row],[Winter Clothes Children]]+Table_NFI[[#This Row],[Winter Items Other]]+Table_NFI[[#This Row],[Winter Blanket]]&gt;0,1,0)</f>
        <v>1</v>
      </c>
      <c r="AQ372" s="532"/>
      <c r="AR372" s="532"/>
      <c r="AS372" s="532"/>
      <c r="AT372" s="532"/>
      <c r="AU372" s="532"/>
      <c r="AV372" s="532"/>
      <c r="AW372" s="532"/>
      <c r="AX372" s="203" t="str">
        <f>IFERROR(VLOOKUP(Table_NFI[[#This Row],[Location]],CL,2,0),"")</f>
        <v>MMR015CMP003</v>
      </c>
      <c r="AZ372" s="524"/>
      <c r="DS372" s="181"/>
      <c r="DT372" s="181"/>
    </row>
    <row r="373" spans="2:124" hidden="1" x14ac:dyDescent="0.3">
      <c r="B373" s="530">
        <v>43131</v>
      </c>
      <c r="C373" s="530" t="str">
        <f>MONTH(Table_NFI[[#This Row],[Distribution Date]]) &amp; "/" &amp; YEAR(Table_NFI[[#This Row],[Distribution Date]])</f>
        <v>1/2018</v>
      </c>
      <c r="D373" s="196" t="s">
        <v>1560</v>
      </c>
      <c r="E373" s="196" t="s">
        <v>1732</v>
      </c>
      <c r="F373" s="196" t="s">
        <v>506</v>
      </c>
      <c r="G373" s="196" t="s">
        <v>288</v>
      </c>
      <c r="H373" s="175" t="s">
        <v>289</v>
      </c>
      <c r="I373" s="181"/>
      <c r="J373" s="531"/>
      <c r="K373" s="531"/>
      <c r="L373" s="531"/>
      <c r="M373" s="531"/>
      <c r="N373" s="531"/>
      <c r="O373" s="531"/>
      <c r="P373" s="531"/>
      <c r="Q373" s="531"/>
      <c r="R373" s="531"/>
      <c r="S373" s="531"/>
      <c r="T373" s="531"/>
      <c r="U373" s="531">
        <v>27</v>
      </c>
      <c r="V373" s="531"/>
      <c r="W373" s="531"/>
      <c r="X373" s="531"/>
      <c r="Y373" s="531"/>
      <c r="Z373" s="531"/>
      <c r="AA373" s="531"/>
      <c r="AB373" s="531"/>
      <c r="AC373" s="532" t="e">
        <f>IF(NFI_Expiration=1,IF(#REF!&lt;VLOOKUP(L$5,NFI,5,0),1,0)*Table_NFI[[#This Row],[NFI Core Kit]],Table_NFI[NFI Core Kit])</f>
        <v>#REF!</v>
      </c>
      <c r="AD373" s="532" t="e">
        <f>IF(NFI_Expiration=1,IF(#REF!&lt;VLOOKUP(M$5,NFI,5,0),1,0)*Table_NFI[[#This Row],[Sanitary Kit]],Table_NFI[Sanitary Kit])</f>
        <v>#REF!</v>
      </c>
      <c r="AE373" s="532" t="e">
        <f>IF(NFI_Expiration=1,IF(#REF!&lt;VLOOKUP(N$5,NFI,5,0),1,0)*Table_NFI[[#This Row],[Mosquito net]],Table_NFI[Mosquito net])</f>
        <v>#REF!</v>
      </c>
      <c r="AF373" s="532" t="e">
        <f>IF(NFI_Expiration=1,IF(#REF!&lt;VLOOKUP(O$5,NFI,5,0),1,0)*Table_NFI[[#This Row],[Tarpaulin]],Table_NFI[[#This Row],[Tarpaulin]])</f>
        <v>#REF!</v>
      </c>
      <c r="AG373" s="532" t="e">
        <f>IF(NFI_Expiration=1,IF(#REF!&lt;VLOOKUP(P$5,NFI,5,0),1,0)*Table_NFI[[#This Row],[Blanket]],Table_NFI[[#This Row],[Blanket]])</f>
        <v>#REF!</v>
      </c>
      <c r="AH373" s="532" t="e">
        <f>IF(NFI_Expiration=1,IF(#REF!&lt;VLOOKUP(Q$5,NFI,5,0),1,0)*Table_NFI[[#This Row],[Kitchen Set]],Table_NFI[Kitchen Set])</f>
        <v>#REF!</v>
      </c>
      <c r="AI373" s="532" t="e">
        <f>IF(NFI_Expiration=1,IF(#REF!&lt;VLOOKUP(R$5,NFI,5,0),1,0)*Table_NFI[[#This Row],[Clothes Kit]],Table_NFI[Clothes Kit])</f>
        <v>#REF!</v>
      </c>
      <c r="AJ373" s="532" t="e">
        <f>IF(NFI_Expiration=1,IF(#REF!&lt;VLOOKUP(S$5,NFI,5,0),1,0)*Table_NFI[[#This Row],[Plastic Bucket]],Table_NFI[Plastic Bucket])</f>
        <v>#REF!</v>
      </c>
      <c r="AK373" s="532" t="e">
        <f>IF(NFI_Expiration=1,IF(#REF!&lt;VLOOKUP(T$5,NFI,5,0),1,0)*Table_NFI[[#This Row],[Plastic Mat]],Table_NFI[Plastic Mat])*IF(Table_NFI[[#This Row],[Distribution Date]]&gt;"2014-04-01",1,2.5)</f>
        <v>#REF!</v>
      </c>
      <c r="AL373" s="532" t="e">
        <f>IF(NFI_Expiration=1,IF(#REF!&lt;VLOOKUP(U$5,NFI,5,0),1,0)*Table_NFI[[#This Row],[Winter Clothes Adult]],Table_NFI[Winter Clothes Adult])</f>
        <v>#REF!</v>
      </c>
      <c r="AM373" s="532"/>
      <c r="AN373" s="532"/>
      <c r="AO373" s="532"/>
      <c r="AP373" s="532">
        <f>IF(Table_NFI[[#This Row],[Winter Clothes Adult]]+Table_NFI[[#This Row],[Winter Clothes Children]]+Table_NFI[[#This Row],[Winter Items Other]]+Table_NFI[[#This Row],[Winter Blanket]]&gt;0,1,0)</f>
        <v>1</v>
      </c>
      <c r="AQ373" s="532"/>
      <c r="AR373" s="532"/>
      <c r="AS373" s="532"/>
      <c r="AT373" s="532"/>
      <c r="AU373" s="532"/>
      <c r="AV373" s="532"/>
      <c r="AW373" s="532"/>
      <c r="AX373" s="203" t="str">
        <f>IFERROR(VLOOKUP(Table_NFI[[#This Row],[Location]],CL,2,0),"")</f>
        <v>MMR015CMP001</v>
      </c>
      <c r="AZ373" s="524"/>
      <c r="DS373" s="181"/>
      <c r="DT373" s="181"/>
    </row>
    <row r="374" spans="2:124" hidden="1" x14ac:dyDescent="0.3">
      <c r="B374" s="530">
        <v>43130</v>
      </c>
      <c r="C374" s="530" t="str">
        <f>MONTH(Table_NFI[[#This Row],[Distribution Date]]) &amp; "/" &amp; YEAR(Table_NFI[[#This Row],[Distribution Date]])</f>
        <v>1/2018</v>
      </c>
      <c r="D374" s="196" t="s">
        <v>1560</v>
      </c>
      <c r="E374" s="196" t="s">
        <v>1732</v>
      </c>
      <c r="F374" s="196" t="s">
        <v>506</v>
      </c>
      <c r="G374" s="196" t="s">
        <v>146</v>
      </c>
      <c r="H374" s="175" t="s">
        <v>941</v>
      </c>
      <c r="I374" s="181"/>
      <c r="J374" s="531"/>
      <c r="K374" s="531"/>
      <c r="L374" s="531"/>
      <c r="M374" s="531"/>
      <c r="N374" s="531"/>
      <c r="O374" s="531"/>
      <c r="P374" s="531"/>
      <c r="Q374" s="531"/>
      <c r="R374" s="531"/>
      <c r="S374" s="531"/>
      <c r="T374" s="531"/>
      <c r="U374" s="531">
        <v>58</v>
      </c>
      <c r="V374" s="531"/>
      <c r="W374" s="531"/>
      <c r="X374" s="531"/>
      <c r="Y374" s="531"/>
      <c r="Z374" s="531"/>
      <c r="AA374" s="531"/>
      <c r="AB374" s="531"/>
      <c r="AC374" s="532" t="e">
        <f>IF(NFI_Expiration=1,IF(#REF!&lt;VLOOKUP(L$5,NFI,5,0),1,0)*Table_NFI[[#This Row],[NFI Core Kit]],Table_NFI[NFI Core Kit])</f>
        <v>#REF!</v>
      </c>
      <c r="AD374" s="532" t="e">
        <f>IF(NFI_Expiration=1,IF(#REF!&lt;VLOOKUP(M$5,NFI,5,0),1,0)*Table_NFI[[#This Row],[Sanitary Kit]],Table_NFI[Sanitary Kit])</f>
        <v>#REF!</v>
      </c>
      <c r="AE374" s="532" t="e">
        <f>IF(NFI_Expiration=1,IF(#REF!&lt;VLOOKUP(N$5,NFI,5,0),1,0)*Table_NFI[[#This Row],[Mosquito net]],Table_NFI[Mosquito net])</f>
        <v>#REF!</v>
      </c>
      <c r="AF374" s="532" t="e">
        <f>IF(NFI_Expiration=1,IF(#REF!&lt;VLOOKUP(O$5,NFI,5,0),1,0)*Table_NFI[[#This Row],[Tarpaulin]],Table_NFI[[#This Row],[Tarpaulin]])</f>
        <v>#REF!</v>
      </c>
      <c r="AG374" s="532" t="e">
        <f>IF(NFI_Expiration=1,IF(#REF!&lt;VLOOKUP(P$5,NFI,5,0),1,0)*Table_NFI[[#This Row],[Blanket]],Table_NFI[[#This Row],[Blanket]])</f>
        <v>#REF!</v>
      </c>
      <c r="AH374" s="532" t="e">
        <f>IF(NFI_Expiration=1,IF(#REF!&lt;VLOOKUP(Q$5,NFI,5,0),1,0)*Table_NFI[[#This Row],[Kitchen Set]],Table_NFI[Kitchen Set])</f>
        <v>#REF!</v>
      </c>
      <c r="AI374" s="532" t="e">
        <f>IF(NFI_Expiration=1,IF(#REF!&lt;VLOOKUP(R$5,NFI,5,0),1,0)*Table_NFI[[#This Row],[Clothes Kit]],Table_NFI[Clothes Kit])</f>
        <v>#REF!</v>
      </c>
      <c r="AJ374" s="532" t="e">
        <f>IF(NFI_Expiration=1,IF(#REF!&lt;VLOOKUP(S$5,NFI,5,0),1,0)*Table_NFI[[#This Row],[Plastic Bucket]],Table_NFI[Plastic Bucket])</f>
        <v>#REF!</v>
      </c>
      <c r="AK374" s="532" t="e">
        <f>IF(NFI_Expiration=1,IF(#REF!&lt;VLOOKUP(T$5,NFI,5,0),1,0)*Table_NFI[[#This Row],[Plastic Mat]],Table_NFI[Plastic Mat])*IF(Table_NFI[[#This Row],[Distribution Date]]&gt;"2014-04-01",1,2.5)</f>
        <v>#REF!</v>
      </c>
      <c r="AL374" s="532" t="e">
        <f>IF(NFI_Expiration=1,IF(#REF!&lt;VLOOKUP(U$5,NFI,5,0),1,0)*Table_NFI[[#This Row],[Winter Clothes Adult]],Table_NFI[Winter Clothes Adult])</f>
        <v>#REF!</v>
      </c>
      <c r="AM374" s="532"/>
      <c r="AN374" s="532"/>
      <c r="AO374" s="532"/>
      <c r="AP374" s="532">
        <f>IF(Table_NFI[[#This Row],[Winter Clothes Adult]]+Table_NFI[[#This Row],[Winter Clothes Children]]+Table_NFI[[#This Row],[Winter Items Other]]+Table_NFI[[#This Row],[Winter Blanket]]&gt;0,1,0)</f>
        <v>1</v>
      </c>
      <c r="AQ374" s="532"/>
      <c r="AR374" s="532"/>
      <c r="AS374" s="532"/>
      <c r="AT374" s="532"/>
      <c r="AU374" s="532"/>
      <c r="AV374" s="532"/>
      <c r="AW374" s="532"/>
      <c r="AX374" s="203" t="str">
        <f>IFERROR(VLOOKUP(Table_NFI[[#This Row],[Location]],CL,2,0),"")</f>
        <v>MMR015CMP217</v>
      </c>
      <c r="AZ374" s="524"/>
      <c r="DS374" s="181"/>
      <c r="DT374" s="181"/>
    </row>
    <row r="375" spans="2:124" hidden="1" x14ac:dyDescent="0.3">
      <c r="B375" s="530">
        <v>43129</v>
      </c>
      <c r="C375" s="530" t="str">
        <f>MONTH(Table_NFI[[#This Row],[Distribution Date]]) &amp; "/" &amp; YEAR(Table_NFI[[#This Row],[Distribution Date]])</f>
        <v>1/2018</v>
      </c>
      <c r="D375" s="196" t="s">
        <v>1560</v>
      </c>
      <c r="E375" s="196" t="s">
        <v>1732</v>
      </c>
      <c r="F375" s="196" t="s">
        <v>378</v>
      </c>
      <c r="G375" s="196" t="s">
        <v>151</v>
      </c>
      <c r="H375" s="175" t="s">
        <v>160</v>
      </c>
      <c r="I375" s="181"/>
      <c r="J375" s="531"/>
      <c r="K375" s="531"/>
      <c r="L375" s="531"/>
      <c r="M375" s="531"/>
      <c r="N375" s="531"/>
      <c r="O375" s="531"/>
      <c r="P375" s="531"/>
      <c r="Q375" s="531"/>
      <c r="R375" s="531"/>
      <c r="S375" s="531"/>
      <c r="T375" s="531"/>
      <c r="U375" s="531">
        <v>48</v>
      </c>
      <c r="V375" s="531">
        <v>4</v>
      </c>
      <c r="W375" s="531"/>
      <c r="X375" s="531"/>
      <c r="Y375" s="531"/>
      <c r="Z375" s="531"/>
      <c r="AA375" s="531"/>
      <c r="AB375" s="531"/>
      <c r="AC375" s="532" t="e">
        <f>IF(NFI_Expiration=1,IF(#REF!&lt;VLOOKUP(L$5,NFI,5,0),1,0)*Table_NFI[[#This Row],[NFI Core Kit]],Table_NFI[NFI Core Kit])</f>
        <v>#REF!</v>
      </c>
      <c r="AD375" s="532" t="e">
        <f>IF(NFI_Expiration=1,IF(#REF!&lt;VLOOKUP(M$5,NFI,5,0),1,0)*Table_NFI[[#This Row],[Sanitary Kit]],Table_NFI[Sanitary Kit])</f>
        <v>#REF!</v>
      </c>
      <c r="AE375" s="532" t="e">
        <f>IF(NFI_Expiration=1,IF(#REF!&lt;VLOOKUP(N$5,NFI,5,0),1,0)*Table_NFI[[#This Row],[Mosquito net]],Table_NFI[Mosquito net])</f>
        <v>#REF!</v>
      </c>
      <c r="AF375" s="532" t="e">
        <f>IF(NFI_Expiration=1,IF(#REF!&lt;VLOOKUP(O$5,NFI,5,0),1,0)*Table_NFI[[#This Row],[Tarpaulin]],Table_NFI[[#This Row],[Tarpaulin]])</f>
        <v>#REF!</v>
      </c>
      <c r="AG375" s="532" t="e">
        <f>IF(NFI_Expiration=1,IF(#REF!&lt;VLOOKUP(P$5,NFI,5,0),1,0)*Table_NFI[[#This Row],[Blanket]],Table_NFI[[#This Row],[Blanket]])</f>
        <v>#REF!</v>
      </c>
      <c r="AH375" s="532" t="e">
        <f>IF(NFI_Expiration=1,IF(#REF!&lt;VLOOKUP(Q$5,NFI,5,0),1,0)*Table_NFI[[#This Row],[Kitchen Set]],Table_NFI[Kitchen Set])</f>
        <v>#REF!</v>
      </c>
      <c r="AI375" s="532" t="e">
        <f>IF(NFI_Expiration=1,IF(#REF!&lt;VLOOKUP(R$5,NFI,5,0),1,0)*Table_NFI[[#This Row],[Clothes Kit]],Table_NFI[Clothes Kit])</f>
        <v>#REF!</v>
      </c>
      <c r="AJ375" s="532" t="e">
        <f>IF(NFI_Expiration=1,IF(#REF!&lt;VLOOKUP(S$5,NFI,5,0),1,0)*Table_NFI[[#This Row],[Plastic Bucket]],Table_NFI[Plastic Bucket])</f>
        <v>#REF!</v>
      </c>
      <c r="AK375" s="532" t="e">
        <f>IF(NFI_Expiration=1,IF(#REF!&lt;VLOOKUP(T$5,NFI,5,0),1,0)*Table_NFI[[#This Row],[Plastic Mat]],Table_NFI[Plastic Mat])*IF(Table_NFI[[#This Row],[Distribution Date]]&gt;"2014-04-01",1,2.5)</f>
        <v>#REF!</v>
      </c>
      <c r="AL375" s="532" t="e">
        <f>IF(NFI_Expiration=1,IF(#REF!&lt;VLOOKUP(U$5,NFI,5,0),1,0)*Table_NFI[[#This Row],[Winter Clothes Adult]],Table_NFI[Winter Clothes Adult])</f>
        <v>#REF!</v>
      </c>
      <c r="AM375" s="532"/>
      <c r="AN375" s="532"/>
      <c r="AO375" s="532"/>
      <c r="AP375" s="532">
        <f>IF(Table_NFI[[#This Row],[Winter Clothes Adult]]+Table_NFI[[#This Row],[Winter Clothes Children]]+Table_NFI[[#This Row],[Winter Items Other]]+Table_NFI[[#This Row],[Winter Blanket]]&gt;0,1,0)</f>
        <v>1</v>
      </c>
      <c r="AQ375" s="532"/>
      <c r="AR375" s="532"/>
      <c r="AS375" s="532"/>
      <c r="AT375" s="532"/>
      <c r="AU375" s="532"/>
      <c r="AV375" s="532"/>
      <c r="AW375" s="532"/>
      <c r="AX375" s="203" t="str">
        <f>IFERROR(VLOOKUP(Table_NFI[[#This Row],[Location]],CL,2,0),"")</f>
        <v>MMR001CMP133</v>
      </c>
      <c r="AZ375" s="524"/>
      <c r="DS375" s="181"/>
      <c r="DT375" s="181"/>
    </row>
    <row r="376" spans="2:124" hidden="1" x14ac:dyDescent="0.3">
      <c r="B376" s="530">
        <v>43129</v>
      </c>
      <c r="C376" s="530" t="str">
        <f>MONTH(Table_NFI[[#This Row],[Distribution Date]]) &amp; "/" &amp; YEAR(Table_NFI[[#This Row],[Distribution Date]])</f>
        <v>1/2018</v>
      </c>
      <c r="D376" s="196" t="s">
        <v>1560</v>
      </c>
      <c r="E376" s="196" t="s">
        <v>1732</v>
      </c>
      <c r="F376" s="196" t="s">
        <v>378</v>
      </c>
      <c r="G376" s="196" t="s">
        <v>151</v>
      </c>
      <c r="H376" s="175" t="s">
        <v>936</v>
      </c>
      <c r="I376" s="181"/>
      <c r="J376" s="531"/>
      <c r="K376" s="531"/>
      <c r="L376" s="531"/>
      <c r="M376" s="531"/>
      <c r="N376" s="531"/>
      <c r="O376" s="531"/>
      <c r="P376" s="531"/>
      <c r="Q376" s="531"/>
      <c r="R376" s="531"/>
      <c r="S376" s="531"/>
      <c r="T376" s="531"/>
      <c r="U376" s="531">
        <v>11</v>
      </c>
      <c r="V376" s="531">
        <v>1</v>
      </c>
      <c r="W376" s="531"/>
      <c r="X376" s="531"/>
      <c r="Y376" s="531"/>
      <c r="Z376" s="531"/>
      <c r="AA376" s="531"/>
      <c r="AB376" s="531"/>
      <c r="AC376" s="532" t="e">
        <f>IF(NFI_Expiration=1,IF(#REF!&lt;VLOOKUP(L$5,NFI,5,0),1,0)*Table_NFI[[#This Row],[NFI Core Kit]],Table_NFI[NFI Core Kit])</f>
        <v>#REF!</v>
      </c>
      <c r="AD376" s="532" t="e">
        <f>IF(NFI_Expiration=1,IF(#REF!&lt;VLOOKUP(M$5,NFI,5,0),1,0)*Table_NFI[[#This Row],[Sanitary Kit]],Table_NFI[Sanitary Kit])</f>
        <v>#REF!</v>
      </c>
      <c r="AE376" s="532" t="e">
        <f>IF(NFI_Expiration=1,IF(#REF!&lt;VLOOKUP(N$5,NFI,5,0),1,0)*Table_NFI[[#This Row],[Mosquito net]],Table_NFI[Mosquito net])</f>
        <v>#REF!</v>
      </c>
      <c r="AF376" s="532" t="e">
        <f>IF(NFI_Expiration=1,IF(#REF!&lt;VLOOKUP(O$5,NFI,5,0),1,0)*Table_NFI[[#This Row],[Tarpaulin]],Table_NFI[[#This Row],[Tarpaulin]])</f>
        <v>#REF!</v>
      </c>
      <c r="AG376" s="532" t="e">
        <f>IF(NFI_Expiration=1,IF(#REF!&lt;VLOOKUP(P$5,NFI,5,0),1,0)*Table_NFI[[#This Row],[Blanket]],Table_NFI[[#This Row],[Blanket]])</f>
        <v>#REF!</v>
      </c>
      <c r="AH376" s="532" t="e">
        <f>IF(NFI_Expiration=1,IF(#REF!&lt;VLOOKUP(Q$5,NFI,5,0),1,0)*Table_NFI[[#This Row],[Kitchen Set]],Table_NFI[Kitchen Set])</f>
        <v>#REF!</v>
      </c>
      <c r="AI376" s="532" t="e">
        <f>IF(NFI_Expiration=1,IF(#REF!&lt;VLOOKUP(R$5,NFI,5,0),1,0)*Table_NFI[[#This Row],[Clothes Kit]],Table_NFI[Clothes Kit])</f>
        <v>#REF!</v>
      </c>
      <c r="AJ376" s="532" t="e">
        <f>IF(NFI_Expiration=1,IF(#REF!&lt;VLOOKUP(S$5,NFI,5,0),1,0)*Table_NFI[[#This Row],[Plastic Bucket]],Table_NFI[Plastic Bucket])</f>
        <v>#REF!</v>
      </c>
      <c r="AK376" s="532" t="e">
        <f>IF(NFI_Expiration=1,IF(#REF!&lt;VLOOKUP(T$5,NFI,5,0),1,0)*Table_NFI[[#This Row],[Plastic Mat]],Table_NFI[Plastic Mat])*IF(Table_NFI[[#This Row],[Distribution Date]]&gt;"2014-04-01",1,2.5)</f>
        <v>#REF!</v>
      </c>
      <c r="AL376" s="532" t="e">
        <f>IF(NFI_Expiration=1,IF(#REF!&lt;VLOOKUP(U$5,NFI,5,0),1,0)*Table_NFI[[#This Row],[Winter Clothes Adult]],Table_NFI[Winter Clothes Adult])</f>
        <v>#REF!</v>
      </c>
      <c r="AM376" s="532"/>
      <c r="AN376" s="532"/>
      <c r="AO376" s="532"/>
      <c r="AP376" s="532">
        <f>IF(Table_NFI[[#This Row],[Winter Clothes Adult]]+Table_NFI[[#This Row],[Winter Clothes Children]]+Table_NFI[[#This Row],[Winter Items Other]]+Table_NFI[[#This Row],[Winter Blanket]]&gt;0,1,0)</f>
        <v>1</v>
      </c>
      <c r="AQ376" s="532"/>
      <c r="AR376" s="532"/>
      <c r="AS376" s="532"/>
      <c r="AT376" s="532"/>
      <c r="AU376" s="532"/>
      <c r="AV376" s="532"/>
      <c r="AW376" s="532"/>
      <c r="AX376" s="203" t="str">
        <f>IFERROR(VLOOKUP(Table_NFI[[#This Row],[Location]],CL,2,0),"")</f>
        <v>MMR001CMP230</v>
      </c>
      <c r="AZ376" s="524"/>
      <c r="DS376" s="181"/>
      <c r="DT376" s="181"/>
    </row>
    <row r="377" spans="2:124" hidden="1" x14ac:dyDescent="0.3">
      <c r="B377" s="530">
        <v>43129</v>
      </c>
      <c r="C377" s="530" t="str">
        <f>MONTH(Table_NFI[[#This Row],[Distribution Date]]) &amp; "/" &amp; YEAR(Table_NFI[[#This Row],[Distribution Date]])</f>
        <v>1/2018</v>
      </c>
      <c r="D377" s="196" t="s">
        <v>1560</v>
      </c>
      <c r="E377" s="196" t="s">
        <v>1732</v>
      </c>
      <c r="F377" s="196" t="s">
        <v>378</v>
      </c>
      <c r="G377" s="196" t="s">
        <v>151</v>
      </c>
      <c r="H377" s="175" t="s">
        <v>909</v>
      </c>
      <c r="I377" s="181"/>
      <c r="J377" s="531"/>
      <c r="K377" s="531"/>
      <c r="L377" s="531"/>
      <c r="M377" s="531"/>
      <c r="N377" s="531"/>
      <c r="O377" s="531"/>
      <c r="P377" s="531"/>
      <c r="Q377" s="531"/>
      <c r="R377" s="531"/>
      <c r="S377" s="531"/>
      <c r="T377" s="531"/>
      <c r="U377" s="531">
        <v>13</v>
      </c>
      <c r="V377" s="531">
        <v>2</v>
      </c>
      <c r="W377" s="531"/>
      <c r="X377" s="531"/>
      <c r="Y377" s="531"/>
      <c r="Z377" s="531"/>
      <c r="AA377" s="531"/>
      <c r="AB377" s="531"/>
      <c r="AC377" s="532" t="e">
        <f>IF(NFI_Expiration=1,IF(#REF!&lt;VLOOKUP(L$5,NFI,5,0),1,0)*Table_NFI[[#This Row],[NFI Core Kit]],Table_NFI[NFI Core Kit])</f>
        <v>#REF!</v>
      </c>
      <c r="AD377" s="532" t="e">
        <f>IF(NFI_Expiration=1,IF(#REF!&lt;VLOOKUP(M$5,NFI,5,0),1,0)*Table_NFI[[#This Row],[Sanitary Kit]],Table_NFI[Sanitary Kit])</f>
        <v>#REF!</v>
      </c>
      <c r="AE377" s="532" t="e">
        <f>IF(NFI_Expiration=1,IF(#REF!&lt;VLOOKUP(N$5,NFI,5,0),1,0)*Table_NFI[[#This Row],[Mosquito net]],Table_NFI[Mosquito net])</f>
        <v>#REF!</v>
      </c>
      <c r="AF377" s="532" t="e">
        <f>IF(NFI_Expiration=1,IF(#REF!&lt;VLOOKUP(O$5,NFI,5,0),1,0)*Table_NFI[[#This Row],[Tarpaulin]],Table_NFI[[#This Row],[Tarpaulin]])</f>
        <v>#REF!</v>
      </c>
      <c r="AG377" s="532" t="e">
        <f>IF(NFI_Expiration=1,IF(#REF!&lt;VLOOKUP(P$5,NFI,5,0),1,0)*Table_NFI[[#This Row],[Blanket]],Table_NFI[[#This Row],[Blanket]])</f>
        <v>#REF!</v>
      </c>
      <c r="AH377" s="532" t="e">
        <f>IF(NFI_Expiration=1,IF(#REF!&lt;VLOOKUP(Q$5,NFI,5,0),1,0)*Table_NFI[[#This Row],[Kitchen Set]],Table_NFI[Kitchen Set])</f>
        <v>#REF!</v>
      </c>
      <c r="AI377" s="532" t="e">
        <f>IF(NFI_Expiration=1,IF(#REF!&lt;VLOOKUP(R$5,NFI,5,0),1,0)*Table_NFI[[#This Row],[Clothes Kit]],Table_NFI[Clothes Kit])</f>
        <v>#REF!</v>
      </c>
      <c r="AJ377" s="532" t="e">
        <f>IF(NFI_Expiration=1,IF(#REF!&lt;VLOOKUP(S$5,NFI,5,0),1,0)*Table_NFI[[#This Row],[Plastic Bucket]],Table_NFI[Plastic Bucket])</f>
        <v>#REF!</v>
      </c>
      <c r="AK377" s="532" t="e">
        <f>IF(NFI_Expiration=1,IF(#REF!&lt;VLOOKUP(T$5,NFI,5,0),1,0)*Table_NFI[[#This Row],[Plastic Mat]],Table_NFI[Plastic Mat])*IF(Table_NFI[[#This Row],[Distribution Date]]&gt;"2014-04-01",1,2.5)</f>
        <v>#REF!</v>
      </c>
      <c r="AL377" s="532" t="e">
        <f>IF(NFI_Expiration=1,IF(#REF!&lt;VLOOKUP(U$5,NFI,5,0),1,0)*Table_NFI[[#This Row],[Winter Clothes Adult]],Table_NFI[Winter Clothes Adult])</f>
        <v>#REF!</v>
      </c>
      <c r="AM377" s="532"/>
      <c r="AN377" s="532"/>
      <c r="AO377" s="532"/>
      <c r="AP377" s="532">
        <f>IF(Table_NFI[[#This Row],[Winter Clothes Adult]]+Table_NFI[[#This Row],[Winter Clothes Children]]+Table_NFI[[#This Row],[Winter Items Other]]+Table_NFI[[#This Row],[Winter Blanket]]&gt;0,1,0)</f>
        <v>1</v>
      </c>
      <c r="AQ377" s="532"/>
      <c r="AR377" s="532"/>
      <c r="AS377" s="532"/>
      <c r="AT377" s="532"/>
      <c r="AU377" s="532"/>
      <c r="AV377" s="532"/>
      <c r="AW377" s="532"/>
      <c r="AX377" s="203" t="str">
        <f>IFERROR(VLOOKUP(Table_NFI[[#This Row],[Location]],CL,2,0),"")</f>
        <v>MMR001CMP228</v>
      </c>
      <c r="AZ377" s="524"/>
      <c r="DS377" s="181"/>
      <c r="DT377" s="181"/>
    </row>
    <row r="378" spans="2:124" hidden="1" x14ac:dyDescent="0.3">
      <c r="B378" s="530">
        <v>43131</v>
      </c>
      <c r="C378" s="530" t="str">
        <f>MONTH(Table_NFI[[#This Row],[Distribution Date]]) &amp; "/" &amp; YEAR(Table_NFI[[#This Row],[Distribution Date]])</f>
        <v>1/2018</v>
      </c>
      <c r="D378" s="196" t="s">
        <v>1560</v>
      </c>
      <c r="E378" s="196" t="s">
        <v>1732</v>
      </c>
      <c r="F378" s="196" t="s">
        <v>506</v>
      </c>
      <c r="G378" s="196" t="s">
        <v>288</v>
      </c>
      <c r="H378" s="175" t="s">
        <v>291</v>
      </c>
      <c r="I378" s="181"/>
      <c r="J378" s="531"/>
      <c r="K378" s="531"/>
      <c r="L378" s="531"/>
      <c r="M378" s="531"/>
      <c r="N378" s="531"/>
      <c r="O378" s="531"/>
      <c r="P378" s="531"/>
      <c r="Q378" s="531"/>
      <c r="R378" s="531"/>
      <c r="S378" s="531"/>
      <c r="T378" s="531"/>
      <c r="U378" s="531">
        <v>26</v>
      </c>
      <c r="V378" s="531"/>
      <c r="W378" s="531"/>
      <c r="X378" s="531"/>
      <c r="Y378" s="531"/>
      <c r="Z378" s="531"/>
      <c r="AA378" s="531"/>
      <c r="AB378" s="531"/>
      <c r="AC378" s="532" t="e">
        <f>IF(NFI_Expiration=1,IF(#REF!&lt;VLOOKUP(L$5,NFI,5,0),1,0)*Table_NFI[[#This Row],[NFI Core Kit]],Table_NFI[NFI Core Kit])</f>
        <v>#REF!</v>
      </c>
      <c r="AD378" s="532" t="e">
        <f>IF(NFI_Expiration=1,IF(#REF!&lt;VLOOKUP(M$5,NFI,5,0),1,0)*Table_NFI[[#This Row],[Sanitary Kit]],Table_NFI[Sanitary Kit])</f>
        <v>#REF!</v>
      </c>
      <c r="AE378" s="532" t="e">
        <f>IF(NFI_Expiration=1,IF(#REF!&lt;VLOOKUP(N$5,NFI,5,0),1,0)*Table_NFI[[#This Row],[Mosquito net]],Table_NFI[Mosquito net])</f>
        <v>#REF!</v>
      </c>
      <c r="AF378" s="532" t="e">
        <f>IF(NFI_Expiration=1,IF(#REF!&lt;VLOOKUP(O$5,NFI,5,0),1,0)*Table_NFI[[#This Row],[Tarpaulin]],Table_NFI[[#This Row],[Tarpaulin]])</f>
        <v>#REF!</v>
      </c>
      <c r="AG378" s="532" t="e">
        <f>IF(NFI_Expiration=1,IF(#REF!&lt;VLOOKUP(P$5,NFI,5,0),1,0)*Table_NFI[[#This Row],[Blanket]],Table_NFI[[#This Row],[Blanket]])</f>
        <v>#REF!</v>
      </c>
      <c r="AH378" s="532" t="e">
        <f>IF(NFI_Expiration=1,IF(#REF!&lt;VLOOKUP(Q$5,NFI,5,0),1,0)*Table_NFI[[#This Row],[Kitchen Set]],Table_NFI[Kitchen Set])</f>
        <v>#REF!</v>
      </c>
      <c r="AI378" s="532" t="e">
        <f>IF(NFI_Expiration=1,IF(#REF!&lt;VLOOKUP(R$5,NFI,5,0),1,0)*Table_NFI[[#This Row],[Clothes Kit]],Table_NFI[Clothes Kit])</f>
        <v>#REF!</v>
      </c>
      <c r="AJ378" s="532" t="e">
        <f>IF(NFI_Expiration=1,IF(#REF!&lt;VLOOKUP(S$5,NFI,5,0),1,0)*Table_NFI[[#This Row],[Plastic Bucket]],Table_NFI[Plastic Bucket])</f>
        <v>#REF!</v>
      </c>
      <c r="AK378" s="532" t="e">
        <f>IF(NFI_Expiration=1,IF(#REF!&lt;VLOOKUP(T$5,NFI,5,0),1,0)*Table_NFI[[#This Row],[Plastic Mat]],Table_NFI[Plastic Mat])*IF(Table_NFI[[#This Row],[Distribution Date]]&gt;"2014-04-01",1,2.5)</f>
        <v>#REF!</v>
      </c>
      <c r="AL378" s="532" t="e">
        <f>IF(NFI_Expiration=1,IF(#REF!&lt;VLOOKUP(U$5,NFI,5,0),1,0)*Table_NFI[[#This Row],[Winter Clothes Adult]],Table_NFI[Winter Clothes Adult])</f>
        <v>#REF!</v>
      </c>
      <c r="AM378" s="532"/>
      <c r="AN378" s="532"/>
      <c r="AO378" s="532"/>
      <c r="AP378" s="532">
        <f>IF(Table_NFI[[#This Row],[Winter Clothes Adult]]+Table_NFI[[#This Row],[Winter Clothes Children]]+Table_NFI[[#This Row],[Winter Items Other]]+Table_NFI[[#This Row],[Winter Blanket]]&gt;0,1,0)</f>
        <v>1</v>
      </c>
      <c r="AQ378" s="532"/>
      <c r="AR378" s="532"/>
      <c r="AS378" s="532"/>
      <c r="AT378" s="532"/>
      <c r="AU378" s="532"/>
      <c r="AV378" s="532"/>
      <c r="AW378" s="532"/>
      <c r="AX378" s="203" t="str">
        <f>IFERROR(VLOOKUP(Table_NFI[[#This Row],[Location]],CL,2,0),"")</f>
        <v>MMR015CMP004</v>
      </c>
      <c r="AZ378" s="524"/>
      <c r="DS378" s="181"/>
      <c r="DT378" s="181"/>
    </row>
    <row r="379" spans="2:124" hidden="1" x14ac:dyDescent="0.3">
      <c r="B379" s="530">
        <v>43130</v>
      </c>
      <c r="C379" s="530" t="str">
        <f>MONTH(Table_NFI[[#This Row],[Distribution Date]]) &amp; "/" &amp; YEAR(Table_NFI[[#This Row],[Distribution Date]])</f>
        <v>1/2018</v>
      </c>
      <c r="D379" s="196" t="s">
        <v>1560</v>
      </c>
      <c r="E379" s="196" t="s">
        <v>1732</v>
      </c>
      <c r="F379" s="196" t="s">
        <v>506</v>
      </c>
      <c r="G379" s="196" t="s">
        <v>288</v>
      </c>
      <c r="H379" s="175" t="s">
        <v>903</v>
      </c>
      <c r="I379" s="181"/>
      <c r="J379" s="531"/>
      <c r="K379" s="531"/>
      <c r="L379" s="531"/>
      <c r="M379" s="531"/>
      <c r="N379" s="531"/>
      <c r="O379" s="531"/>
      <c r="P379" s="531"/>
      <c r="Q379" s="531"/>
      <c r="R379" s="531"/>
      <c r="S379" s="531"/>
      <c r="T379" s="531"/>
      <c r="U379" s="531">
        <v>17</v>
      </c>
      <c r="V379" s="531">
        <v>1</v>
      </c>
      <c r="W379" s="531"/>
      <c r="X379" s="531"/>
      <c r="Y379" s="531"/>
      <c r="Z379" s="531"/>
      <c r="AA379" s="531"/>
      <c r="AB379" s="531"/>
      <c r="AC379" s="532" t="e">
        <f>IF(NFI_Expiration=1,IF(#REF!&lt;VLOOKUP(L$5,NFI,5,0),1,0)*Table_NFI[[#This Row],[NFI Core Kit]],Table_NFI[NFI Core Kit])</f>
        <v>#REF!</v>
      </c>
      <c r="AD379" s="532" t="e">
        <f>IF(NFI_Expiration=1,IF(#REF!&lt;VLOOKUP(M$5,NFI,5,0),1,0)*Table_NFI[[#This Row],[Sanitary Kit]],Table_NFI[Sanitary Kit])</f>
        <v>#REF!</v>
      </c>
      <c r="AE379" s="532" t="e">
        <f>IF(NFI_Expiration=1,IF(#REF!&lt;VLOOKUP(N$5,NFI,5,0),1,0)*Table_NFI[[#This Row],[Mosquito net]],Table_NFI[Mosquito net])</f>
        <v>#REF!</v>
      </c>
      <c r="AF379" s="532" t="e">
        <f>IF(NFI_Expiration=1,IF(#REF!&lt;VLOOKUP(O$5,NFI,5,0),1,0)*Table_NFI[[#This Row],[Tarpaulin]],Table_NFI[[#This Row],[Tarpaulin]])</f>
        <v>#REF!</v>
      </c>
      <c r="AG379" s="532" t="e">
        <f>IF(NFI_Expiration=1,IF(#REF!&lt;VLOOKUP(P$5,NFI,5,0),1,0)*Table_NFI[[#This Row],[Blanket]],Table_NFI[[#This Row],[Blanket]])</f>
        <v>#REF!</v>
      </c>
      <c r="AH379" s="532" t="e">
        <f>IF(NFI_Expiration=1,IF(#REF!&lt;VLOOKUP(Q$5,NFI,5,0),1,0)*Table_NFI[[#This Row],[Kitchen Set]],Table_NFI[Kitchen Set])</f>
        <v>#REF!</v>
      </c>
      <c r="AI379" s="532" t="e">
        <f>IF(NFI_Expiration=1,IF(#REF!&lt;VLOOKUP(R$5,NFI,5,0),1,0)*Table_NFI[[#This Row],[Clothes Kit]],Table_NFI[Clothes Kit])</f>
        <v>#REF!</v>
      </c>
      <c r="AJ379" s="532" t="e">
        <f>IF(NFI_Expiration=1,IF(#REF!&lt;VLOOKUP(S$5,NFI,5,0),1,0)*Table_NFI[[#This Row],[Plastic Bucket]],Table_NFI[Plastic Bucket])</f>
        <v>#REF!</v>
      </c>
      <c r="AK379" s="532" t="e">
        <f>IF(NFI_Expiration=1,IF(#REF!&lt;VLOOKUP(T$5,NFI,5,0),1,0)*Table_NFI[[#This Row],[Plastic Mat]],Table_NFI[Plastic Mat])*IF(Table_NFI[[#This Row],[Distribution Date]]&gt;"2014-04-01",1,2.5)</f>
        <v>#REF!</v>
      </c>
      <c r="AL379" s="532" t="e">
        <f>IF(NFI_Expiration=1,IF(#REF!&lt;VLOOKUP(U$5,NFI,5,0),1,0)*Table_NFI[[#This Row],[Winter Clothes Adult]],Table_NFI[Winter Clothes Adult])</f>
        <v>#REF!</v>
      </c>
      <c r="AM379" s="532"/>
      <c r="AN379" s="532"/>
      <c r="AO379" s="532"/>
      <c r="AP379" s="532">
        <f>IF(Table_NFI[[#This Row],[Winter Clothes Adult]]+Table_NFI[[#This Row],[Winter Clothes Children]]+Table_NFI[[#This Row],[Winter Items Other]]+Table_NFI[[#This Row],[Winter Blanket]]&gt;0,1,0)</f>
        <v>1</v>
      </c>
      <c r="AQ379" s="532"/>
      <c r="AR379" s="532"/>
      <c r="AS379" s="532"/>
      <c r="AT379" s="532"/>
      <c r="AU379" s="532"/>
      <c r="AV379" s="532"/>
      <c r="AW379" s="532"/>
      <c r="AX379" s="203" t="str">
        <f>IFERROR(VLOOKUP(Table_NFI[[#This Row],[Location]],CL,2,0),"")</f>
        <v>MMR015CMP214</v>
      </c>
      <c r="AZ379" s="524"/>
      <c r="DS379" s="181"/>
      <c r="DT379" s="181"/>
    </row>
    <row r="380" spans="2:124" hidden="1" x14ac:dyDescent="0.3">
      <c r="B380" s="530">
        <v>43117</v>
      </c>
      <c r="C380" s="530" t="str">
        <f>MONTH(Table_NFI[[#This Row],[Distribution Date]]) &amp; "/" &amp; YEAR(Table_NFI[[#This Row],[Distribution Date]])</f>
        <v>1/2018</v>
      </c>
      <c r="D380" s="196" t="s">
        <v>1560</v>
      </c>
      <c r="E380" s="196" t="s">
        <v>1732</v>
      </c>
      <c r="F380" s="196" t="s">
        <v>378</v>
      </c>
      <c r="G380" s="196" t="s">
        <v>151</v>
      </c>
      <c r="H380" s="175" t="s">
        <v>154</v>
      </c>
      <c r="I380" s="181"/>
      <c r="J380" s="531"/>
      <c r="K380" s="531">
        <v>47</v>
      </c>
      <c r="L380" s="531"/>
      <c r="M380" s="531"/>
      <c r="N380" s="531"/>
      <c r="O380" s="531"/>
      <c r="P380" s="531"/>
      <c r="Q380" s="531"/>
      <c r="R380" s="531"/>
      <c r="S380" s="531"/>
      <c r="T380" s="531"/>
      <c r="U380" s="531"/>
      <c r="V380" s="531"/>
      <c r="W380" s="531"/>
      <c r="X380" s="531"/>
      <c r="Y380" s="531"/>
      <c r="Z380" s="531"/>
      <c r="AA380" s="531"/>
      <c r="AB380" s="531"/>
      <c r="AC380" s="532" t="e">
        <f>IF(NFI_Expiration=1,IF(#REF!&lt;VLOOKUP(L$5,NFI,5,0),1,0)*Table_NFI[[#This Row],[NFI Core Kit]],Table_NFI[NFI Core Kit])</f>
        <v>#REF!</v>
      </c>
      <c r="AD380" s="532" t="e">
        <f>IF(NFI_Expiration=1,IF(#REF!&lt;VLOOKUP(M$5,NFI,5,0),1,0)*Table_NFI[[#This Row],[Sanitary Kit]],Table_NFI[Sanitary Kit])</f>
        <v>#REF!</v>
      </c>
      <c r="AE380" s="532" t="e">
        <f>IF(NFI_Expiration=1,IF(#REF!&lt;VLOOKUP(N$5,NFI,5,0),1,0)*Table_NFI[[#This Row],[Mosquito net]],Table_NFI[Mosquito net])</f>
        <v>#REF!</v>
      </c>
      <c r="AF380" s="532" t="e">
        <f>IF(NFI_Expiration=1,IF(#REF!&lt;VLOOKUP(O$5,NFI,5,0),1,0)*Table_NFI[[#This Row],[Tarpaulin]],Table_NFI[[#This Row],[Tarpaulin]])</f>
        <v>#REF!</v>
      </c>
      <c r="AG380" s="532" t="e">
        <f>IF(NFI_Expiration=1,IF(#REF!&lt;VLOOKUP(P$5,NFI,5,0),1,0)*Table_NFI[[#This Row],[Blanket]],Table_NFI[[#This Row],[Blanket]])</f>
        <v>#REF!</v>
      </c>
      <c r="AH380" s="532" t="e">
        <f>IF(NFI_Expiration=1,IF(#REF!&lt;VLOOKUP(Q$5,NFI,5,0),1,0)*Table_NFI[[#This Row],[Kitchen Set]],Table_NFI[Kitchen Set])</f>
        <v>#REF!</v>
      </c>
      <c r="AI380" s="532" t="e">
        <f>IF(NFI_Expiration=1,IF(#REF!&lt;VLOOKUP(R$5,NFI,5,0),1,0)*Table_NFI[[#This Row],[Clothes Kit]],Table_NFI[Clothes Kit])</f>
        <v>#REF!</v>
      </c>
      <c r="AJ380" s="532" t="e">
        <f>IF(NFI_Expiration=1,IF(#REF!&lt;VLOOKUP(S$5,NFI,5,0),1,0)*Table_NFI[[#This Row],[Plastic Bucket]],Table_NFI[Plastic Bucket])</f>
        <v>#REF!</v>
      </c>
      <c r="AK380" s="532" t="e">
        <f>IF(NFI_Expiration=1,IF(#REF!&lt;VLOOKUP(T$5,NFI,5,0),1,0)*Table_NFI[[#This Row],[Plastic Mat]],Table_NFI[Plastic Mat])*IF(Table_NFI[[#This Row],[Distribution Date]]&gt;"2014-04-01",1,2.5)</f>
        <v>#REF!</v>
      </c>
      <c r="AL380" s="532" t="e">
        <f>IF(NFI_Expiration=1,IF(#REF!&lt;VLOOKUP(U$5,NFI,5,0),1,0)*Table_NFI[[#This Row],[Winter Clothes Adult]],Table_NFI[Winter Clothes Adult])</f>
        <v>#REF!</v>
      </c>
      <c r="AM380" s="532"/>
      <c r="AN380" s="532"/>
      <c r="AO380" s="532"/>
      <c r="AP380" s="532">
        <f>IF(Table_NFI[[#This Row],[Winter Clothes Adult]]+Table_NFI[[#This Row],[Winter Clothes Children]]+Table_NFI[[#This Row],[Winter Items Other]]+Table_NFI[[#This Row],[Winter Blanket]]&gt;0,1,0)</f>
        <v>0</v>
      </c>
      <c r="AQ380" s="532"/>
      <c r="AR380" s="532"/>
      <c r="AS380" s="532"/>
      <c r="AT380" s="532"/>
      <c r="AU380" s="532"/>
      <c r="AV380" s="532"/>
      <c r="AW380" s="532"/>
      <c r="AX380" s="203" t="str">
        <f>IFERROR(VLOOKUP(Table_NFI[[#This Row],[Location]],CL,2,0),"")</f>
        <v>MMR001CMP132</v>
      </c>
      <c r="AZ380" s="524"/>
      <c r="DS380" s="181"/>
      <c r="DT380" s="181"/>
    </row>
    <row r="381" spans="2:124" hidden="1" x14ac:dyDescent="0.3">
      <c r="B381" s="530">
        <v>43111</v>
      </c>
      <c r="C381" s="530" t="str">
        <f>MONTH(Table_NFI[[#This Row],[Distribution Date]]) &amp; "/" &amp; YEAR(Table_NFI[[#This Row],[Distribution Date]])</f>
        <v>1/2018</v>
      </c>
      <c r="D381" s="196" t="s">
        <v>1560</v>
      </c>
      <c r="E381" s="196" t="s">
        <v>1732</v>
      </c>
      <c r="F381" s="196" t="s">
        <v>378</v>
      </c>
      <c r="G381" s="196" t="s">
        <v>151</v>
      </c>
      <c r="H381" s="175" t="s">
        <v>160</v>
      </c>
      <c r="I381" s="181"/>
      <c r="J381" s="531"/>
      <c r="K381" s="531">
        <v>46</v>
      </c>
      <c r="L381" s="531"/>
      <c r="M381" s="531"/>
      <c r="N381" s="531"/>
      <c r="O381" s="531"/>
      <c r="P381" s="531"/>
      <c r="Q381" s="531"/>
      <c r="R381" s="531"/>
      <c r="S381" s="531"/>
      <c r="T381" s="531"/>
      <c r="U381" s="531"/>
      <c r="V381" s="531"/>
      <c r="W381" s="531"/>
      <c r="X381" s="531"/>
      <c r="Y381" s="531"/>
      <c r="Z381" s="531"/>
      <c r="AA381" s="531"/>
      <c r="AB381" s="531"/>
      <c r="AC381" s="532" t="e">
        <f>IF(NFI_Expiration=1,IF(#REF!&lt;VLOOKUP(L$5,NFI,5,0),1,0)*Table_NFI[[#This Row],[NFI Core Kit]],Table_NFI[NFI Core Kit])</f>
        <v>#REF!</v>
      </c>
      <c r="AD381" s="532" t="e">
        <f>IF(NFI_Expiration=1,IF(#REF!&lt;VLOOKUP(M$5,NFI,5,0),1,0)*Table_NFI[[#This Row],[Sanitary Kit]],Table_NFI[Sanitary Kit])</f>
        <v>#REF!</v>
      </c>
      <c r="AE381" s="532" t="e">
        <f>IF(NFI_Expiration=1,IF(#REF!&lt;VLOOKUP(N$5,NFI,5,0),1,0)*Table_NFI[[#This Row],[Mosquito net]],Table_NFI[Mosquito net])</f>
        <v>#REF!</v>
      </c>
      <c r="AF381" s="532" t="e">
        <f>IF(NFI_Expiration=1,IF(#REF!&lt;VLOOKUP(O$5,NFI,5,0),1,0)*Table_NFI[[#This Row],[Tarpaulin]],Table_NFI[[#This Row],[Tarpaulin]])</f>
        <v>#REF!</v>
      </c>
      <c r="AG381" s="532" t="e">
        <f>IF(NFI_Expiration=1,IF(#REF!&lt;VLOOKUP(P$5,NFI,5,0),1,0)*Table_NFI[[#This Row],[Blanket]],Table_NFI[[#This Row],[Blanket]])</f>
        <v>#REF!</v>
      </c>
      <c r="AH381" s="532" t="e">
        <f>IF(NFI_Expiration=1,IF(#REF!&lt;VLOOKUP(Q$5,NFI,5,0),1,0)*Table_NFI[[#This Row],[Kitchen Set]],Table_NFI[Kitchen Set])</f>
        <v>#REF!</v>
      </c>
      <c r="AI381" s="532" t="e">
        <f>IF(NFI_Expiration=1,IF(#REF!&lt;VLOOKUP(R$5,NFI,5,0),1,0)*Table_NFI[[#This Row],[Clothes Kit]],Table_NFI[Clothes Kit])</f>
        <v>#REF!</v>
      </c>
      <c r="AJ381" s="532" t="e">
        <f>IF(NFI_Expiration=1,IF(#REF!&lt;VLOOKUP(S$5,NFI,5,0),1,0)*Table_NFI[[#This Row],[Plastic Bucket]],Table_NFI[Plastic Bucket])</f>
        <v>#REF!</v>
      </c>
      <c r="AK381" s="532" t="e">
        <f>IF(NFI_Expiration=1,IF(#REF!&lt;VLOOKUP(T$5,NFI,5,0),1,0)*Table_NFI[[#This Row],[Plastic Mat]],Table_NFI[Plastic Mat])*IF(Table_NFI[[#This Row],[Distribution Date]]&gt;"2014-04-01",1,2.5)</f>
        <v>#REF!</v>
      </c>
      <c r="AL381" s="532" t="e">
        <f>IF(NFI_Expiration=1,IF(#REF!&lt;VLOOKUP(U$5,NFI,5,0),1,0)*Table_NFI[[#This Row],[Winter Clothes Adult]],Table_NFI[Winter Clothes Adult])</f>
        <v>#REF!</v>
      </c>
      <c r="AM381" s="532"/>
      <c r="AN381" s="532"/>
      <c r="AO381" s="532"/>
      <c r="AP381" s="532">
        <f>IF(Table_NFI[[#This Row],[Winter Clothes Adult]]+Table_NFI[[#This Row],[Winter Clothes Children]]+Table_NFI[[#This Row],[Winter Items Other]]+Table_NFI[[#This Row],[Winter Blanket]]&gt;0,1,0)</f>
        <v>0</v>
      </c>
      <c r="AQ381" s="532"/>
      <c r="AR381" s="532"/>
      <c r="AS381" s="532"/>
      <c r="AT381" s="532"/>
      <c r="AU381" s="532"/>
      <c r="AV381" s="532"/>
      <c r="AW381" s="532"/>
      <c r="AX381" s="203" t="str">
        <f>IFERROR(VLOOKUP(Table_NFI[[#This Row],[Location]],CL,2,0),"")</f>
        <v>MMR001CMP133</v>
      </c>
      <c r="AZ381" s="524"/>
      <c r="DS381" s="181"/>
      <c r="DT381" s="181"/>
    </row>
    <row r="382" spans="2:124" hidden="1" x14ac:dyDescent="0.3">
      <c r="B382" s="530">
        <v>43111</v>
      </c>
      <c r="C382" s="530" t="str">
        <f>MONTH(Table_NFI[[#This Row],[Distribution Date]]) &amp; "/" &amp; YEAR(Table_NFI[[#This Row],[Distribution Date]])</f>
        <v>1/2018</v>
      </c>
      <c r="D382" s="196" t="s">
        <v>1560</v>
      </c>
      <c r="E382" s="196" t="s">
        <v>1732</v>
      </c>
      <c r="F382" s="196" t="s">
        <v>378</v>
      </c>
      <c r="G382" s="196" t="s">
        <v>151</v>
      </c>
      <c r="H382" s="175" t="s">
        <v>909</v>
      </c>
      <c r="I382" s="181"/>
      <c r="J382" s="531"/>
      <c r="K382" s="531">
        <v>14</v>
      </c>
      <c r="L382" s="531"/>
      <c r="M382" s="531"/>
      <c r="N382" s="531"/>
      <c r="O382" s="531"/>
      <c r="P382" s="531"/>
      <c r="Q382" s="531"/>
      <c r="R382" s="531"/>
      <c r="S382" s="531"/>
      <c r="T382" s="531"/>
      <c r="U382" s="531"/>
      <c r="V382" s="531"/>
      <c r="W382" s="531"/>
      <c r="X382" s="531"/>
      <c r="Y382" s="531"/>
      <c r="Z382" s="531"/>
      <c r="AA382" s="531"/>
      <c r="AB382" s="531"/>
      <c r="AC382" s="532" t="e">
        <f>IF(NFI_Expiration=1,IF(#REF!&lt;VLOOKUP(L$5,NFI,5,0),1,0)*Table_NFI[[#This Row],[NFI Core Kit]],Table_NFI[NFI Core Kit])</f>
        <v>#REF!</v>
      </c>
      <c r="AD382" s="532" t="e">
        <f>IF(NFI_Expiration=1,IF(#REF!&lt;VLOOKUP(M$5,NFI,5,0),1,0)*Table_NFI[[#This Row],[Sanitary Kit]],Table_NFI[Sanitary Kit])</f>
        <v>#REF!</v>
      </c>
      <c r="AE382" s="532" t="e">
        <f>IF(NFI_Expiration=1,IF(#REF!&lt;VLOOKUP(N$5,NFI,5,0),1,0)*Table_NFI[[#This Row],[Mosquito net]],Table_NFI[Mosquito net])</f>
        <v>#REF!</v>
      </c>
      <c r="AF382" s="532" t="e">
        <f>IF(NFI_Expiration=1,IF(#REF!&lt;VLOOKUP(O$5,NFI,5,0),1,0)*Table_NFI[[#This Row],[Tarpaulin]],Table_NFI[[#This Row],[Tarpaulin]])</f>
        <v>#REF!</v>
      </c>
      <c r="AG382" s="532" t="e">
        <f>IF(NFI_Expiration=1,IF(#REF!&lt;VLOOKUP(P$5,NFI,5,0),1,0)*Table_NFI[[#This Row],[Blanket]],Table_NFI[[#This Row],[Blanket]])</f>
        <v>#REF!</v>
      </c>
      <c r="AH382" s="532" t="e">
        <f>IF(NFI_Expiration=1,IF(#REF!&lt;VLOOKUP(Q$5,NFI,5,0),1,0)*Table_NFI[[#This Row],[Kitchen Set]],Table_NFI[Kitchen Set])</f>
        <v>#REF!</v>
      </c>
      <c r="AI382" s="532" t="e">
        <f>IF(NFI_Expiration=1,IF(#REF!&lt;VLOOKUP(R$5,NFI,5,0),1,0)*Table_NFI[[#This Row],[Clothes Kit]],Table_NFI[Clothes Kit])</f>
        <v>#REF!</v>
      </c>
      <c r="AJ382" s="532" t="e">
        <f>IF(NFI_Expiration=1,IF(#REF!&lt;VLOOKUP(S$5,NFI,5,0),1,0)*Table_NFI[[#This Row],[Plastic Bucket]],Table_NFI[Plastic Bucket])</f>
        <v>#REF!</v>
      </c>
      <c r="AK382" s="532" t="e">
        <f>IF(NFI_Expiration=1,IF(#REF!&lt;VLOOKUP(T$5,NFI,5,0),1,0)*Table_NFI[[#This Row],[Plastic Mat]],Table_NFI[Plastic Mat])*IF(Table_NFI[[#This Row],[Distribution Date]]&gt;"2014-04-01",1,2.5)</f>
        <v>#REF!</v>
      </c>
      <c r="AL382" s="532" t="e">
        <f>IF(NFI_Expiration=1,IF(#REF!&lt;VLOOKUP(U$5,NFI,5,0),1,0)*Table_NFI[[#This Row],[Winter Clothes Adult]],Table_NFI[Winter Clothes Adult])</f>
        <v>#REF!</v>
      </c>
      <c r="AM382" s="532"/>
      <c r="AN382" s="532"/>
      <c r="AO382" s="532"/>
      <c r="AP382" s="532">
        <f>IF(Table_NFI[[#This Row],[Winter Clothes Adult]]+Table_NFI[[#This Row],[Winter Clothes Children]]+Table_NFI[[#This Row],[Winter Items Other]]+Table_NFI[[#This Row],[Winter Blanket]]&gt;0,1,0)</f>
        <v>0</v>
      </c>
      <c r="AQ382" s="532"/>
      <c r="AR382" s="532"/>
      <c r="AS382" s="532"/>
      <c r="AT382" s="532"/>
      <c r="AU382" s="532"/>
      <c r="AV382" s="532"/>
      <c r="AW382" s="532"/>
      <c r="AX382" s="203" t="str">
        <f>IFERROR(VLOOKUP(Table_NFI[[#This Row],[Location]],CL,2,0),"")</f>
        <v>MMR001CMP228</v>
      </c>
      <c r="AZ382" s="524"/>
      <c r="DS382" s="181"/>
      <c r="DT382" s="181"/>
    </row>
    <row r="383" spans="2:124" hidden="1" x14ac:dyDescent="0.3">
      <c r="B383" s="530">
        <v>43111</v>
      </c>
      <c r="C383" s="530" t="str">
        <f>MONTH(Table_NFI[[#This Row],[Distribution Date]]) &amp; "/" &amp; YEAR(Table_NFI[[#This Row],[Distribution Date]])</f>
        <v>1/2018</v>
      </c>
      <c r="D383" s="196" t="s">
        <v>1560</v>
      </c>
      <c r="E383" s="196" t="s">
        <v>1560</v>
      </c>
      <c r="F383" s="196" t="s">
        <v>506</v>
      </c>
      <c r="G383" s="196" t="s">
        <v>719</v>
      </c>
      <c r="H383" s="268" t="s">
        <v>1733</v>
      </c>
      <c r="I383" s="181"/>
      <c r="J383" s="531"/>
      <c r="K383" s="531">
        <v>63</v>
      </c>
      <c r="L383" s="531"/>
      <c r="M383" s="531"/>
      <c r="N383" s="531"/>
      <c r="O383" s="531"/>
      <c r="P383" s="531"/>
      <c r="Q383" s="531"/>
      <c r="R383" s="531"/>
      <c r="S383" s="531"/>
      <c r="T383" s="531"/>
      <c r="U383" s="531"/>
      <c r="V383" s="531"/>
      <c r="W383" s="531"/>
      <c r="X383" s="531"/>
      <c r="Y383" s="531"/>
      <c r="Z383" s="531"/>
      <c r="AA383" s="531"/>
      <c r="AB383" s="531"/>
      <c r="AC383" s="532" t="e">
        <f>IF(NFI_Expiration=1,IF(#REF!&lt;VLOOKUP(L$5,NFI,5,0),1,0)*Table_NFI[[#This Row],[NFI Core Kit]],Table_NFI[NFI Core Kit])</f>
        <v>#REF!</v>
      </c>
      <c r="AD383" s="532" t="e">
        <f>IF(NFI_Expiration=1,IF(#REF!&lt;VLOOKUP(M$5,NFI,5,0),1,0)*Table_NFI[[#This Row],[Sanitary Kit]],Table_NFI[Sanitary Kit])</f>
        <v>#REF!</v>
      </c>
      <c r="AE383" s="532" t="e">
        <f>IF(NFI_Expiration=1,IF(#REF!&lt;VLOOKUP(N$5,NFI,5,0),1,0)*Table_NFI[[#This Row],[Mosquito net]],Table_NFI[Mosquito net])</f>
        <v>#REF!</v>
      </c>
      <c r="AF383" s="532" t="e">
        <f>IF(NFI_Expiration=1,IF(#REF!&lt;VLOOKUP(O$5,NFI,5,0),1,0)*Table_NFI[[#This Row],[Tarpaulin]],Table_NFI[[#This Row],[Tarpaulin]])</f>
        <v>#REF!</v>
      </c>
      <c r="AG383" s="532" t="e">
        <f>IF(NFI_Expiration=1,IF(#REF!&lt;VLOOKUP(P$5,NFI,5,0),1,0)*Table_NFI[[#This Row],[Blanket]],Table_NFI[[#This Row],[Blanket]])</f>
        <v>#REF!</v>
      </c>
      <c r="AH383" s="532" t="e">
        <f>IF(NFI_Expiration=1,IF(#REF!&lt;VLOOKUP(Q$5,NFI,5,0),1,0)*Table_NFI[[#This Row],[Kitchen Set]],Table_NFI[Kitchen Set])</f>
        <v>#REF!</v>
      </c>
      <c r="AI383" s="532" t="e">
        <f>IF(NFI_Expiration=1,IF(#REF!&lt;VLOOKUP(R$5,NFI,5,0),1,0)*Table_NFI[[#This Row],[Clothes Kit]],Table_NFI[Clothes Kit])</f>
        <v>#REF!</v>
      </c>
      <c r="AJ383" s="532" t="e">
        <f>IF(NFI_Expiration=1,IF(#REF!&lt;VLOOKUP(S$5,NFI,5,0),1,0)*Table_NFI[[#This Row],[Plastic Bucket]],Table_NFI[Plastic Bucket])</f>
        <v>#REF!</v>
      </c>
      <c r="AK383" s="532" t="e">
        <f>IF(NFI_Expiration=1,IF(#REF!&lt;VLOOKUP(T$5,NFI,5,0),1,0)*Table_NFI[[#This Row],[Plastic Mat]],Table_NFI[Plastic Mat])*IF(Table_NFI[[#This Row],[Distribution Date]]&gt;"2014-04-01",1,2.5)</f>
        <v>#REF!</v>
      </c>
      <c r="AL383" s="532" t="e">
        <f>IF(NFI_Expiration=1,IF(#REF!&lt;VLOOKUP(U$5,NFI,5,0),1,0)*Table_NFI[[#This Row],[Winter Clothes Adult]],Table_NFI[Winter Clothes Adult])</f>
        <v>#REF!</v>
      </c>
      <c r="AM383" s="532"/>
      <c r="AN383" s="532"/>
      <c r="AO383" s="532"/>
      <c r="AP383" s="532">
        <f>IF(Table_NFI[[#This Row],[Winter Clothes Adult]]+Table_NFI[[#This Row],[Winter Clothes Children]]+Table_NFI[[#This Row],[Winter Items Other]]+Table_NFI[[#This Row],[Winter Blanket]]&gt;0,1,0)</f>
        <v>0</v>
      </c>
      <c r="AQ383" s="532"/>
      <c r="AR383" s="532"/>
      <c r="AS383" s="532"/>
      <c r="AT383" s="532"/>
      <c r="AU383" s="532"/>
      <c r="AV383" s="532"/>
      <c r="AW383" s="532"/>
      <c r="AX383" s="203" t="str">
        <f>IFERROR(VLOOKUP(Table_NFI[[#This Row],[Location]],CL,2,0),"")</f>
        <v/>
      </c>
      <c r="AZ383" s="524"/>
      <c r="DS383" s="181"/>
      <c r="DT383" s="181"/>
    </row>
    <row r="384" spans="2:124" hidden="1" x14ac:dyDescent="0.3">
      <c r="B384" s="530">
        <v>43139</v>
      </c>
      <c r="C384" s="530" t="str">
        <f>MONTH(Table_NFI[[#This Row],[Distribution Date]]) &amp; "/" &amp; YEAR(Table_NFI[[#This Row],[Distribution Date]])</f>
        <v>2/2018</v>
      </c>
      <c r="D384" s="196" t="s">
        <v>1560</v>
      </c>
      <c r="E384" s="196" t="s">
        <v>1560</v>
      </c>
      <c r="F384" s="196" t="s">
        <v>506</v>
      </c>
      <c r="G384" s="196" t="s">
        <v>146</v>
      </c>
      <c r="H384" s="175" t="s">
        <v>367</v>
      </c>
      <c r="I384" s="181"/>
      <c r="J384" s="531"/>
      <c r="K384" s="531"/>
      <c r="L384" s="531"/>
      <c r="M384" s="531"/>
      <c r="N384" s="531"/>
      <c r="O384" s="531"/>
      <c r="P384" s="531"/>
      <c r="Q384" s="531"/>
      <c r="R384" s="531"/>
      <c r="S384" s="531"/>
      <c r="T384" s="531"/>
      <c r="U384" s="531">
        <v>42</v>
      </c>
      <c r="V384" s="531"/>
      <c r="W384" s="531"/>
      <c r="X384" s="531"/>
      <c r="Y384" s="531"/>
      <c r="Z384" s="531"/>
      <c r="AA384" s="531"/>
      <c r="AB384" s="531"/>
      <c r="AC384" s="532" t="e">
        <f>IF(NFI_Expiration=1,IF(#REF!&lt;VLOOKUP(L$5,NFI,5,0),1,0)*Table_NFI[[#This Row],[NFI Core Kit]],Table_NFI[NFI Core Kit])</f>
        <v>#REF!</v>
      </c>
      <c r="AD384" s="532" t="e">
        <f>IF(NFI_Expiration=1,IF(#REF!&lt;VLOOKUP(M$5,NFI,5,0),1,0)*Table_NFI[[#This Row],[Sanitary Kit]],Table_NFI[Sanitary Kit])</f>
        <v>#REF!</v>
      </c>
      <c r="AE384" s="532" t="e">
        <f>IF(NFI_Expiration=1,IF(#REF!&lt;VLOOKUP(N$5,NFI,5,0),1,0)*Table_NFI[[#This Row],[Mosquito net]],Table_NFI[Mosquito net])</f>
        <v>#REF!</v>
      </c>
      <c r="AF384" s="532" t="e">
        <f>IF(NFI_Expiration=1,IF(#REF!&lt;VLOOKUP(O$5,NFI,5,0),1,0)*Table_NFI[[#This Row],[Tarpaulin]],Table_NFI[[#This Row],[Tarpaulin]])</f>
        <v>#REF!</v>
      </c>
      <c r="AG384" s="532" t="e">
        <f>IF(NFI_Expiration=1,IF(#REF!&lt;VLOOKUP(P$5,NFI,5,0),1,0)*Table_NFI[[#This Row],[Blanket]],Table_NFI[[#This Row],[Blanket]])</f>
        <v>#REF!</v>
      </c>
      <c r="AH384" s="532" t="e">
        <f>IF(NFI_Expiration=1,IF(#REF!&lt;VLOOKUP(Q$5,NFI,5,0),1,0)*Table_NFI[[#This Row],[Kitchen Set]],Table_NFI[Kitchen Set])</f>
        <v>#REF!</v>
      </c>
      <c r="AI384" s="532" t="e">
        <f>IF(NFI_Expiration=1,IF(#REF!&lt;VLOOKUP(R$5,NFI,5,0),1,0)*Table_NFI[[#This Row],[Clothes Kit]],Table_NFI[Clothes Kit])</f>
        <v>#REF!</v>
      </c>
      <c r="AJ384" s="532" t="e">
        <f>IF(NFI_Expiration=1,IF(#REF!&lt;VLOOKUP(S$5,NFI,5,0),1,0)*Table_NFI[[#This Row],[Plastic Bucket]],Table_NFI[Plastic Bucket])</f>
        <v>#REF!</v>
      </c>
      <c r="AK384" s="532" t="e">
        <f>IF(NFI_Expiration=1,IF(#REF!&lt;VLOOKUP(T$5,NFI,5,0),1,0)*Table_NFI[[#This Row],[Plastic Mat]],Table_NFI[Plastic Mat])*IF(Table_NFI[[#This Row],[Distribution Date]]&gt;"2014-04-01",1,2.5)</f>
        <v>#REF!</v>
      </c>
      <c r="AL384" s="532" t="e">
        <f>IF(NFI_Expiration=1,IF(#REF!&lt;VLOOKUP(U$5,NFI,5,0),1,0)*Table_NFI[[#This Row],[Winter Clothes Adult]],Table_NFI[Winter Clothes Adult])</f>
        <v>#REF!</v>
      </c>
      <c r="AM384" s="532"/>
      <c r="AN384" s="532"/>
      <c r="AO384" s="532"/>
      <c r="AP384" s="532">
        <f>IF(Table_NFI[[#This Row],[Winter Clothes Adult]]+Table_NFI[[#This Row],[Winter Clothes Children]]+Table_NFI[[#This Row],[Winter Items Other]]+Table_NFI[[#This Row],[Winter Blanket]]&gt;0,1,0)</f>
        <v>1</v>
      </c>
      <c r="AQ384" s="532"/>
      <c r="AR384" s="532"/>
      <c r="AS384" s="532"/>
      <c r="AT384" s="532"/>
      <c r="AU384" s="532"/>
      <c r="AV384" s="532"/>
      <c r="AW384" s="532"/>
      <c r="AX384" s="203" t="str">
        <f>IFERROR(VLOOKUP(Table_NFI[[#This Row],[Location]],CL,2,0),"")</f>
        <v>MMR015CMP016</v>
      </c>
      <c r="AZ384" s="524"/>
      <c r="DS384" s="181"/>
      <c r="DT384" s="181"/>
    </row>
    <row r="385" spans="2:124" hidden="1" x14ac:dyDescent="0.3">
      <c r="B385" s="530">
        <v>43133</v>
      </c>
      <c r="C385" s="530" t="str">
        <f>MONTH(Table_NFI[[#This Row],[Distribution Date]]) &amp; "/" &amp; YEAR(Table_NFI[[#This Row],[Distribution Date]])</f>
        <v>2/2018</v>
      </c>
      <c r="D385" s="196" t="s">
        <v>1560</v>
      </c>
      <c r="E385" s="196" t="s">
        <v>1560</v>
      </c>
      <c r="F385" s="196" t="s">
        <v>506</v>
      </c>
      <c r="G385" s="196" t="s">
        <v>146</v>
      </c>
      <c r="H385" s="175" t="s">
        <v>1589</v>
      </c>
      <c r="I385" s="181"/>
      <c r="J385" s="531"/>
      <c r="K385" s="531"/>
      <c r="L385" s="531"/>
      <c r="M385" s="531"/>
      <c r="N385" s="531"/>
      <c r="O385" s="531"/>
      <c r="P385" s="531"/>
      <c r="Q385" s="531"/>
      <c r="R385" s="531"/>
      <c r="S385" s="531"/>
      <c r="T385" s="531"/>
      <c r="U385" s="531">
        <v>38</v>
      </c>
      <c r="V385" s="531"/>
      <c r="W385" s="531"/>
      <c r="X385" s="531"/>
      <c r="Y385" s="531"/>
      <c r="Z385" s="531"/>
      <c r="AA385" s="531"/>
      <c r="AB385" s="531"/>
      <c r="AC385" s="532" t="e">
        <f>IF(NFI_Expiration=1,IF(#REF!&lt;VLOOKUP(L$5,NFI,5,0),1,0)*Table_NFI[[#This Row],[NFI Core Kit]],Table_NFI[NFI Core Kit])</f>
        <v>#REF!</v>
      </c>
      <c r="AD385" s="532" t="e">
        <f>IF(NFI_Expiration=1,IF(#REF!&lt;VLOOKUP(M$5,NFI,5,0),1,0)*Table_NFI[[#This Row],[Sanitary Kit]],Table_NFI[Sanitary Kit])</f>
        <v>#REF!</v>
      </c>
      <c r="AE385" s="532" t="e">
        <f>IF(NFI_Expiration=1,IF(#REF!&lt;VLOOKUP(N$5,NFI,5,0),1,0)*Table_NFI[[#This Row],[Mosquito net]],Table_NFI[Mosquito net])</f>
        <v>#REF!</v>
      </c>
      <c r="AF385" s="532" t="e">
        <f>IF(NFI_Expiration=1,IF(#REF!&lt;VLOOKUP(O$5,NFI,5,0),1,0)*Table_NFI[[#This Row],[Tarpaulin]],Table_NFI[[#This Row],[Tarpaulin]])</f>
        <v>#REF!</v>
      </c>
      <c r="AG385" s="532" t="e">
        <f>IF(NFI_Expiration=1,IF(#REF!&lt;VLOOKUP(P$5,NFI,5,0),1,0)*Table_NFI[[#This Row],[Blanket]],Table_NFI[[#This Row],[Blanket]])</f>
        <v>#REF!</v>
      </c>
      <c r="AH385" s="532" t="e">
        <f>IF(NFI_Expiration=1,IF(#REF!&lt;VLOOKUP(Q$5,NFI,5,0),1,0)*Table_NFI[[#This Row],[Kitchen Set]],Table_NFI[Kitchen Set])</f>
        <v>#REF!</v>
      </c>
      <c r="AI385" s="532" t="e">
        <f>IF(NFI_Expiration=1,IF(#REF!&lt;VLOOKUP(R$5,NFI,5,0),1,0)*Table_NFI[[#This Row],[Clothes Kit]],Table_NFI[Clothes Kit])</f>
        <v>#REF!</v>
      </c>
      <c r="AJ385" s="532" t="e">
        <f>IF(NFI_Expiration=1,IF(#REF!&lt;VLOOKUP(S$5,NFI,5,0),1,0)*Table_NFI[[#This Row],[Plastic Bucket]],Table_NFI[Plastic Bucket])</f>
        <v>#REF!</v>
      </c>
      <c r="AK385" s="532" t="e">
        <f>IF(NFI_Expiration=1,IF(#REF!&lt;VLOOKUP(T$5,NFI,5,0),1,0)*Table_NFI[[#This Row],[Plastic Mat]],Table_NFI[Plastic Mat])*IF(Table_NFI[[#This Row],[Distribution Date]]&gt;"2014-04-01",1,2.5)</f>
        <v>#REF!</v>
      </c>
      <c r="AL385" s="532" t="e">
        <f>IF(NFI_Expiration=1,IF(#REF!&lt;VLOOKUP(U$5,NFI,5,0),1,0)*Table_NFI[[#This Row],[Winter Clothes Adult]],Table_NFI[Winter Clothes Adult])</f>
        <v>#REF!</v>
      </c>
      <c r="AM385" s="532"/>
      <c r="AN385" s="532"/>
      <c r="AO385" s="532"/>
      <c r="AP385" s="532">
        <f>IF(Table_NFI[[#This Row],[Winter Clothes Adult]]+Table_NFI[[#This Row],[Winter Clothes Children]]+Table_NFI[[#This Row],[Winter Items Other]]+Table_NFI[[#This Row],[Winter Blanket]]&gt;0,1,0)</f>
        <v>1</v>
      </c>
      <c r="AQ385" s="532"/>
      <c r="AR385" s="532"/>
      <c r="AS385" s="532"/>
      <c r="AT385" s="532"/>
      <c r="AU385" s="532"/>
      <c r="AV385" s="532"/>
      <c r="AW385" s="532"/>
      <c r="AX385" s="203" t="str">
        <f>IFERROR(VLOOKUP(Table_NFI[[#This Row],[Location]],CL,2,0),"")</f>
        <v>MMR015CMP018</v>
      </c>
      <c r="AZ385" s="524"/>
      <c r="DS385" s="181"/>
      <c r="DT385" s="181"/>
    </row>
    <row r="386" spans="2:124" hidden="1" x14ac:dyDescent="0.3">
      <c r="B386" s="530">
        <v>43133</v>
      </c>
      <c r="C386" s="530" t="str">
        <f>MONTH(Table_NFI[[#This Row],[Distribution Date]]) &amp; "/" &amp; YEAR(Table_NFI[[#This Row],[Distribution Date]])</f>
        <v>2/2018</v>
      </c>
      <c r="D386" s="196" t="s">
        <v>1560</v>
      </c>
      <c r="E386" s="196" t="s">
        <v>1560</v>
      </c>
      <c r="F386" s="196" t="s">
        <v>506</v>
      </c>
      <c r="G386" s="196" t="s">
        <v>146</v>
      </c>
      <c r="H386" s="175" t="s">
        <v>1590</v>
      </c>
      <c r="I386" s="181"/>
      <c r="J386" s="531"/>
      <c r="K386" s="531"/>
      <c r="L386" s="531"/>
      <c r="M386" s="531"/>
      <c r="N386" s="531"/>
      <c r="O386" s="531"/>
      <c r="P386" s="531"/>
      <c r="Q386" s="531"/>
      <c r="R386" s="531"/>
      <c r="S386" s="531"/>
      <c r="T386" s="531"/>
      <c r="U386" s="531">
        <v>112</v>
      </c>
      <c r="V386" s="531"/>
      <c r="W386" s="531"/>
      <c r="X386" s="531"/>
      <c r="Y386" s="531"/>
      <c r="Z386" s="531"/>
      <c r="AA386" s="531"/>
      <c r="AB386" s="531"/>
      <c r="AC386" s="532" t="e">
        <f>IF(NFI_Expiration=1,IF(#REF!&lt;VLOOKUP(L$5,NFI,5,0),1,0)*Table_NFI[[#This Row],[NFI Core Kit]],Table_NFI[NFI Core Kit])</f>
        <v>#REF!</v>
      </c>
      <c r="AD386" s="532" t="e">
        <f>IF(NFI_Expiration=1,IF(#REF!&lt;VLOOKUP(M$5,NFI,5,0),1,0)*Table_NFI[[#This Row],[Sanitary Kit]],Table_NFI[Sanitary Kit])</f>
        <v>#REF!</v>
      </c>
      <c r="AE386" s="532" t="e">
        <f>IF(NFI_Expiration=1,IF(#REF!&lt;VLOOKUP(N$5,NFI,5,0),1,0)*Table_NFI[[#This Row],[Mosquito net]],Table_NFI[Mosquito net])</f>
        <v>#REF!</v>
      </c>
      <c r="AF386" s="532" t="e">
        <f>IF(NFI_Expiration=1,IF(#REF!&lt;VLOOKUP(O$5,NFI,5,0),1,0)*Table_NFI[[#This Row],[Tarpaulin]],Table_NFI[[#This Row],[Tarpaulin]])</f>
        <v>#REF!</v>
      </c>
      <c r="AG386" s="532" t="e">
        <f>IF(NFI_Expiration=1,IF(#REF!&lt;VLOOKUP(P$5,NFI,5,0),1,0)*Table_NFI[[#This Row],[Blanket]],Table_NFI[[#This Row],[Blanket]])</f>
        <v>#REF!</v>
      </c>
      <c r="AH386" s="532" t="e">
        <f>IF(NFI_Expiration=1,IF(#REF!&lt;VLOOKUP(Q$5,NFI,5,0),1,0)*Table_NFI[[#This Row],[Kitchen Set]],Table_NFI[Kitchen Set])</f>
        <v>#REF!</v>
      </c>
      <c r="AI386" s="532" t="e">
        <f>IF(NFI_Expiration=1,IF(#REF!&lt;VLOOKUP(R$5,NFI,5,0),1,0)*Table_NFI[[#This Row],[Clothes Kit]],Table_NFI[Clothes Kit])</f>
        <v>#REF!</v>
      </c>
      <c r="AJ386" s="532" t="e">
        <f>IF(NFI_Expiration=1,IF(#REF!&lt;VLOOKUP(S$5,NFI,5,0),1,0)*Table_NFI[[#This Row],[Plastic Bucket]],Table_NFI[Plastic Bucket])</f>
        <v>#REF!</v>
      </c>
      <c r="AK386" s="532" t="e">
        <f>IF(NFI_Expiration=1,IF(#REF!&lt;VLOOKUP(T$5,NFI,5,0),1,0)*Table_NFI[[#This Row],[Plastic Mat]],Table_NFI[Plastic Mat])*IF(Table_NFI[[#This Row],[Distribution Date]]&gt;"2014-04-01",1,2.5)</f>
        <v>#REF!</v>
      </c>
      <c r="AL386" s="532" t="e">
        <f>IF(NFI_Expiration=1,IF(#REF!&lt;VLOOKUP(U$5,NFI,5,0),1,0)*Table_NFI[[#This Row],[Winter Clothes Adult]],Table_NFI[Winter Clothes Adult])</f>
        <v>#REF!</v>
      </c>
      <c r="AM386" s="532"/>
      <c r="AN386" s="532"/>
      <c r="AO386" s="532"/>
      <c r="AP386" s="532">
        <f>IF(Table_NFI[[#This Row],[Winter Clothes Adult]]+Table_NFI[[#This Row],[Winter Clothes Children]]+Table_NFI[[#This Row],[Winter Items Other]]+Table_NFI[[#This Row],[Winter Blanket]]&gt;0,1,0)</f>
        <v>1</v>
      </c>
      <c r="AQ386" s="532"/>
      <c r="AR386" s="532"/>
      <c r="AS386" s="532"/>
      <c r="AT386" s="532"/>
      <c r="AU386" s="532"/>
      <c r="AV386" s="532"/>
      <c r="AW386" s="532"/>
      <c r="AX386" s="203" t="str">
        <f>IFERROR(VLOOKUP(Table_NFI[[#This Row],[Location]],CL,2,0),"")</f>
        <v>MMR015CMP220</v>
      </c>
      <c r="AZ386" s="524"/>
      <c r="DS386" s="181"/>
      <c r="DT386" s="181"/>
    </row>
    <row r="387" spans="2:124" hidden="1" x14ac:dyDescent="0.3">
      <c r="B387" s="530">
        <v>43133</v>
      </c>
      <c r="C387" s="530" t="str">
        <f>MONTH(Table_NFI[[#This Row],[Distribution Date]]) &amp; "/" &amp; YEAR(Table_NFI[[#This Row],[Distribution Date]])</f>
        <v>2/2018</v>
      </c>
      <c r="D387" s="196" t="s">
        <v>1560</v>
      </c>
      <c r="E387" s="196" t="s">
        <v>1560</v>
      </c>
      <c r="F387" s="196" t="s">
        <v>506</v>
      </c>
      <c r="G387" s="196" t="s">
        <v>297</v>
      </c>
      <c r="H387" s="175" t="s">
        <v>1734</v>
      </c>
      <c r="I387" s="181"/>
      <c r="J387" s="531"/>
      <c r="K387" s="175">
        <v>72</v>
      </c>
      <c r="L387" s="531"/>
      <c r="M387" s="531"/>
      <c r="N387" s="531"/>
      <c r="O387" s="531"/>
      <c r="P387" s="531"/>
      <c r="Q387" s="531"/>
      <c r="R387" s="531"/>
      <c r="S387" s="531"/>
      <c r="T387" s="531"/>
      <c r="U387" s="531"/>
      <c r="V387" s="531"/>
      <c r="W387" s="531"/>
      <c r="X387" s="531"/>
      <c r="Y387" s="531"/>
      <c r="Z387" s="531"/>
      <c r="AA387" s="531"/>
      <c r="AB387" s="531"/>
      <c r="AC387" s="532" t="e">
        <f>IF(NFI_Expiration=1,IF(#REF!&lt;VLOOKUP(L$5,NFI,5,0),1,0)*Table_NFI[[#This Row],[NFI Core Kit]],Table_NFI[NFI Core Kit])</f>
        <v>#REF!</v>
      </c>
      <c r="AD387" s="532" t="e">
        <f>IF(NFI_Expiration=1,IF(#REF!&lt;VLOOKUP(M$5,NFI,5,0),1,0)*Table_NFI[[#This Row],[Sanitary Kit]],Table_NFI[Sanitary Kit])</f>
        <v>#REF!</v>
      </c>
      <c r="AE387" s="532" t="e">
        <f>IF(NFI_Expiration=1,IF(#REF!&lt;VLOOKUP(N$5,NFI,5,0),1,0)*Table_NFI[[#This Row],[Mosquito net]],Table_NFI[Mosquito net])</f>
        <v>#REF!</v>
      </c>
      <c r="AF387" s="532" t="e">
        <f>IF(NFI_Expiration=1,IF(#REF!&lt;VLOOKUP(O$5,NFI,5,0),1,0)*Table_NFI[[#This Row],[Tarpaulin]],Table_NFI[[#This Row],[Tarpaulin]])</f>
        <v>#REF!</v>
      </c>
      <c r="AG387" s="532" t="e">
        <f>IF(NFI_Expiration=1,IF(#REF!&lt;VLOOKUP(P$5,NFI,5,0),1,0)*Table_NFI[[#This Row],[Blanket]],Table_NFI[[#This Row],[Blanket]])</f>
        <v>#REF!</v>
      </c>
      <c r="AH387" s="532" t="e">
        <f>IF(NFI_Expiration=1,IF(#REF!&lt;VLOOKUP(Q$5,NFI,5,0),1,0)*Table_NFI[[#This Row],[Kitchen Set]],Table_NFI[Kitchen Set])</f>
        <v>#REF!</v>
      </c>
      <c r="AI387" s="532" t="e">
        <f>IF(NFI_Expiration=1,IF(#REF!&lt;VLOOKUP(R$5,NFI,5,0),1,0)*Table_NFI[[#This Row],[Clothes Kit]],Table_NFI[Clothes Kit])</f>
        <v>#REF!</v>
      </c>
      <c r="AJ387" s="532" t="e">
        <f>IF(NFI_Expiration=1,IF(#REF!&lt;VLOOKUP(S$5,NFI,5,0),1,0)*Table_NFI[[#This Row],[Plastic Bucket]],Table_NFI[Plastic Bucket])</f>
        <v>#REF!</v>
      </c>
      <c r="AK387" s="532" t="e">
        <f>IF(NFI_Expiration=1,IF(#REF!&lt;VLOOKUP(T$5,NFI,5,0),1,0)*Table_NFI[[#This Row],[Plastic Mat]],Table_NFI[Plastic Mat])*IF(Table_NFI[[#This Row],[Distribution Date]]&gt;"2014-04-01",1,2.5)</f>
        <v>#REF!</v>
      </c>
      <c r="AL387" s="532" t="e">
        <f>IF(NFI_Expiration=1,IF(#REF!&lt;VLOOKUP(U$5,NFI,5,0),1,0)*Table_NFI[[#This Row],[Winter Clothes Adult]],Table_NFI[Winter Clothes Adult])</f>
        <v>#REF!</v>
      </c>
      <c r="AM387" s="532"/>
      <c r="AN387" s="532"/>
      <c r="AO387" s="532"/>
      <c r="AP387" s="532">
        <f>IF(Table_NFI[[#This Row],[Winter Clothes Adult]]+Table_NFI[[#This Row],[Winter Clothes Children]]+Table_NFI[[#This Row],[Winter Items Other]]+Table_NFI[[#This Row],[Winter Blanket]]&gt;0,1,0)</f>
        <v>0</v>
      </c>
      <c r="AQ387" s="532"/>
      <c r="AR387" s="532"/>
      <c r="AS387" s="532"/>
      <c r="AT387" s="532"/>
      <c r="AU387" s="532"/>
      <c r="AV387" s="532"/>
      <c r="AW387" s="532"/>
      <c r="AX387" s="203" t="str">
        <f>IFERROR(VLOOKUP(Table_NFI[[#This Row],[Location]],CL,2,0),"")</f>
        <v/>
      </c>
      <c r="AZ387" s="524"/>
      <c r="DS387" s="181"/>
      <c r="DT387" s="181"/>
    </row>
    <row r="388" spans="2:124" hidden="1" x14ac:dyDescent="0.3">
      <c r="B388" s="530">
        <v>43175</v>
      </c>
      <c r="C388" s="530" t="str">
        <f>MONTH(Table_NFI[[#This Row],[Distribution Date]]) &amp; "/" &amp; YEAR(Table_NFI[[#This Row],[Distribution Date]])</f>
        <v>3/2018</v>
      </c>
      <c r="D388" s="196" t="s">
        <v>1560</v>
      </c>
      <c r="E388" s="196" t="s">
        <v>1560</v>
      </c>
      <c r="F388" s="196" t="s">
        <v>506</v>
      </c>
      <c r="G388" s="196" t="s">
        <v>297</v>
      </c>
      <c r="H388" s="175" t="s">
        <v>1735</v>
      </c>
      <c r="I388" s="181"/>
      <c r="J388" s="531"/>
      <c r="K388" s="175">
        <v>12</v>
      </c>
      <c r="L388" s="531"/>
      <c r="M388" s="531"/>
      <c r="N388" s="531"/>
      <c r="O388" s="531"/>
      <c r="P388" s="531"/>
      <c r="Q388" s="531"/>
      <c r="R388" s="531"/>
      <c r="S388" s="531"/>
      <c r="T388" s="531"/>
      <c r="U388" s="531"/>
      <c r="V388" s="531"/>
      <c r="W388" s="531"/>
      <c r="X388" s="531"/>
      <c r="Y388" s="531"/>
      <c r="Z388" s="531"/>
      <c r="AA388" s="531"/>
      <c r="AB388" s="531"/>
      <c r="AC388" s="532" t="e">
        <f>IF(NFI_Expiration=1,IF(#REF!&lt;VLOOKUP(L$5,NFI,5,0),1,0)*Table_NFI[[#This Row],[NFI Core Kit]],Table_NFI[NFI Core Kit])</f>
        <v>#REF!</v>
      </c>
      <c r="AD388" s="532" t="e">
        <f>IF(NFI_Expiration=1,IF(#REF!&lt;VLOOKUP(M$5,NFI,5,0),1,0)*Table_NFI[[#This Row],[Sanitary Kit]],Table_NFI[Sanitary Kit])</f>
        <v>#REF!</v>
      </c>
      <c r="AE388" s="532" t="e">
        <f>IF(NFI_Expiration=1,IF(#REF!&lt;VLOOKUP(N$5,NFI,5,0),1,0)*Table_NFI[[#This Row],[Mosquito net]],Table_NFI[Mosquito net])</f>
        <v>#REF!</v>
      </c>
      <c r="AF388" s="532" t="e">
        <f>IF(NFI_Expiration=1,IF(#REF!&lt;VLOOKUP(O$5,NFI,5,0),1,0)*Table_NFI[[#This Row],[Tarpaulin]],Table_NFI[[#This Row],[Tarpaulin]])</f>
        <v>#REF!</v>
      </c>
      <c r="AG388" s="532" t="e">
        <f>IF(NFI_Expiration=1,IF(#REF!&lt;VLOOKUP(P$5,NFI,5,0),1,0)*Table_NFI[[#This Row],[Blanket]],Table_NFI[[#This Row],[Blanket]])</f>
        <v>#REF!</v>
      </c>
      <c r="AH388" s="532" t="e">
        <f>IF(NFI_Expiration=1,IF(#REF!&lt;VLOOKUP(Q$5,NFI,5,0),1,0)*Table_NFI[[#This Row],[Kitchen Set]],Table_NFI[Kitchen Set])</f>
        <v>#REF!</v>
      </c>
      <c r="AI388" s="532" t="e">
        <f>IF(NFI_Expiration=1,IF(#REF!&lt;VLOOKUP(R$5,NFI,5,0),1,0)*Table_NFI[[#This Row],[Clothes Kit]],Table_NFI[Clothes Kit])</f>
        <v>#REF!</v>
      </c>
      <c r="AJ388" s="532" t="e">
        <f>IF(NFI_Expiration=1,IF(#REF!&lt;VLOOKUP(S$5,NFI,5,0),1,0)*Table_NFI[[#This Row],[Plastic Bucket]],Table_NFI[Plastic Bucket])</f>
        <v>#REF!</v>
      </c>
      <c r="AK388" s="532" t="e">
        <f>IF(NFI_Expiration=1,IF(#REF!&lt;VLOOKUP(T$5,NFI,5,0),1,0)*Table_NFI[[#This Row],[Plastic Mat]],Table_NFI[Plastic Mat])*IF(Table_NFI[[#This Row],[Distribution Date]]&gt;"2014-04-01",1,2.5)</f>
        <v>#REF!</v>
      </c>
      <c r="AL388" s="532" t="e">
        <f>IF(NFI_Expiration=1,IF(#REF!&lt;VLOOKUP(U$5,NFI,5,0),1,0)*Table_NFI[[#This Row],[Winter Clothes Adult]],Table_NFI[Winter Clothes Adult])</f>
        <v>#REF!</v>
      </c>
      <c r="AM388" s="532"/>
      <c r="AN388" s="532"/>
      <c r="AO388" s="532"/>
      <c r="AP388" s="532">
        <f>IF(Table_NFI[[#This Row],[Winter Clothes Adult]]+Table_NFI[[#This Row],[Winter Clothes Children]]+Table_NFI[[#This Row],[Winter Items Other]]+Table_NFI[[#This Row],[Winter Blanket]]&gt;0,1,0)</f>
        <v>0</v>
      </c>
      <c r="AQ388" s="532"/>
      <c r="AR388" s="532"/>
      <c r="AS388" s="532"/>
      <c r="AT388" s="532"/>
      <c r="AU388" s="532"/>
      <c r="AV388" s="532"/>
      <c r="AW388" s="532"/>
      <c r="AX388" s="203" t="str">
        <f>IFERROR(VLOOKUP(Table_NFI[[#This Row],[Location]],CL,2,0),"")</f>
        <v/>
      </c>
      <c r="AZ388" s="524"/>
      <c r="DS388" s="181"/>
      <c r="DT388" s="181"/>
    </row>
    <row r="389" spans="2:124" hidden="1" x14ac:dyDescent="0.3">
      <c r="B389" s="530">
        <v>43175</v>
      </c>
      <c r="C389" s="530" t="str">
        <f>MONTH(Table_NFI[[#This Row],[Distribution Date]]) &amp; "/" &amp; YEAR(Table_NFI[[#This Row],[Distribution Date]])</f>
        <v>3/2018</v>
      </c>
      <c r="D389" s="196" t="s">
        <v>1560</v>
      </c>
      <c r="E389" s="196" t="s">
        <v>1560</v>
      </c>
      <c r="F389" s="196" t="s">
        <v>506</v>
      </c>
      <c r="G389" s="196" t="s">
        <v>297</v>
      </c>
      <c r="H389" s="175" t="s">
        <v>1736</v>
      </c>
      <c r="I389" s="181"/>
      <c r="J389" s="531"/>
      <c r="K389" s="175">
        <v>46</v>
      </c>
      <c r="L389" s="531"/>
      <c r="M389" s="531"/>
      <c r="N389" s="531"/>
      <c r="O389" s="531"/>
      <c r="P389" s="531"/>
      <c r="Q389" s="531"/>
      <c r="R389" s="531"/>
      <c r="S389" s="531"/>
      <c r="T389" s="531"/>
      <c r="U389" s="531"/>
      <c r="V389" s="531"/>
      <c r="W389" s="531"/>
      <c r="X389" s="531"/>
      <c r="Y389" s="531"/>
      <c r="Z389" s="531"/>
      <c r="AA389" s="531"/>
      <c r="AB389" s="531"/>
      <c r="AC389" s="532" t="e">
        <f>IF(NFI_Expiration=1,IF(#REF!&lt;VLOOKUP(L$5,NFI,5,0),1,0)*Table_NFI[[#This Row],[NFI Core Kit]],Table_NFI[NFI Core Kit])</f>
        <v>#REF!</v>
      </c>
      <c r="AD389" s="532" t="e">
        <f>IF(NFI_Expiration=1,IF(#REF!&lt;VLOOKUP(M$5,NFI,5,0),1,0)*Table_NFI[[#This Row],[Sanitary Kit]],Table_NFI[Sanitary Kit])</f>
        <v>#REF!</v>
      </c>
      <c r="AE389" s="532" t="e">
        <f>IF(NFI_Expiration=1,IF(#REF!&lt;VLOOKUP(N$5,NFI,5,0),1,0)*Table_NFI[[#This Row],[Mosquito net]],Table_NFI[Mosquito net])</f>
        <v>#REF!</v>
      </c>
      <c r="AF389" s="532" t="e">
        <f>IF(NFI_Expiration=1,IF(#REF!&lt;VLOOKUP(O$5,NFI,5,0),1,0)*Table_NFI[[#This Row],[Tarpaulin]],Table_NFI[[#This Row],[Tarpaulin]])</f>
        <v>#REF!</v>
      </c>
      <c r="AG389" s="532" t="e">
        <f>IF(NFI_Expiration=1,IF(#REF!&lt;VLOOKUP(P$5,NFI,5,0),1,0)*Table_NFI[[#This Row],[Blanket]],Table_NFI[[#This Row],[Blanket]])</f>
        <v>#REF!</v>
      </c>
      <c r="AH389" s="532" t="e">
        <f>IF(NFI_Expiration=1,IF(#REF!&lt;VLOOKUP(Q$5,NFI,5,0),1,0)*Table_NFI[[#This Row],[Kitchen Set]],Table_NFI[Kitchen Set])</f>
        <v>#REF!</v>
      </c>
      <c r="AI389" s="532" t="e">
        <f>IF(NFI_Expiration=1,IF(#REF!&lt;VLOOKUP(R$5,NFI,5,0),1,0)*Table_NFI[[#This Row],[Clothes Kit]],Table_NFI[Clothes Kit])</f>
        <v>#REF!</v>
      </c>
      <c r="AJ389" s="532" t="e">
        <f>IF(NFI_Expiration=1,IF(#REF!&lt;VLOOKUP(S$5,NFI,5,0),1,0)*Table_NFI[[#This Row],[Plastic Bucket]],Table_NFI[Plastic Bucket])</f>
        <v>#REF!</v>
      </c>
      <c r="AK389" s="532" t="e">
        <f>IF(NFI_Expiration=1,IF(#REF!&lt;VLOOKUP(T$5,NFI,5,0),1,0)*Table_NFI[[#This Row],[Plastic Mat]],Table_NFI[Plastic Mat])*IF(Table_NFI[[#This Row],[Distribution Date]]&gt;"2014-04-01",1,2.5)</f>
        <v>#REF!</v>
      </c>
      <c r="AL389" s="532" t="e">
        <f>IF(NFI_Expiration=1,IF(#REF!&lt;VLOOKUP(U$5,NFI,5,0),1,0)*Table_NFI[[#This Row],[Winter Clothes Adult]],Table_NFI[Winter Clothes Adult])</f>
        <v>#REF!</v>
      </c>
      <c r="AM389" s="532"/>
      <c r="AN389" s="532"/>
      <c r="AO389" s="532"/>
      <c r="AP389" s="532">
        <f>IF(Table_NFI[[#This Row],[Winter Clothes Adult]]+Table_NFI[[#This Row],[Winter Clothes Children]]+Table_NFI[[#This Row],[Winter Items Other]]+Table_NFI[[#This Row],[Winter Blanket]]&gt;0,1,0)</f>
        <v>0</v>
      </c>
      <c r="AQ389" s="532"/>
      <c r="AR389" s="532"/>
      <c r="AS389" s="532"/>
      <c r="AT389" s="532"/>
      <c r="AU389" s="532"/>
      <c r="AV389" s="532"/>
      <c r="AW389" s="532"/>
      <c r="AX389" s="203" t="str">
        <f>IFERROR(VLOOKUP(Table_NFI[[#This Row],[Location]],CL,2,0),"")</f>
        <v/>
      </c>
      <c r="AZ389" s="524"/>
      <c r="DS389" s="181"/>
      <c r="DT389" s="181"/>
    </row>
    <row r="390" spans="2:124" hidden="1" x14ac:dyDescent="0.3">
      <c r="B390" s="530">
        <v>43175</v>
      </c>
      <c r="C390" s="530" t="str">
        <f>MONTH(Table_NFI[[#This Row],[Distribution Date]]) &amp; "/" &amp; YEAR(Table_NFI[[#This Row],[Distribution Date]])</f>
        <v>3/2018</v>
      </c>
      <c r="D390" s="196" t="s">
        <v>1560</v>
      </c>
      <c r="E390" s="196" t="s">
        <v>1560</v>
      </c>
      <c r="F390" s="196" t="s">
        <v>506</v>
      </c>
      <c r="G390" s="196" t="s">
        <v>297</v>
      </c>
      <c r="H390" s="175" t="s">
        <v>1273</v>
      </c>
      <c r="I390" s="181"/>
      <c r="J390" s="531"/>
      <c r="K390" s="175"/>
      <c r="L390" s="531"/>
      <c r="M390" s="531"/>
      <c r="N390" s="531"/>
      <c r="O390" s="531"/>
      <c r="P390" s="531"/>
      <c r="Q390" s="531"/>
      <c r="R390" s="531">
        <v>32</v>
      </c>
      <c r="S390" s="531"/>
      <c r="T390" s="531"/>
      <c r="U390" s="531"/>
      <c r="V390" s="531"/>
      <c r="W390" s="531"/>
      <c r="X390" s="531"/>
      <c r="Y390" s="531"/>
      <c r="Z390" s="531"/>
      <c r="AA390" s="531"/>
      <c r="AB390" s="531"/>
      <c r="AC390" s="532" t="e">
        <f>IF(NFI_Expiration=1,IF(#REF!&lt;VLOOKUP(L$5,NFI,5,0),1,0)*Table_NFI[[#This Row],[NFI Core Kit]],Table_NFI[NFI Core Kit])</f>
        <v>#REF!</v>
      </c>
      <c r="AD390" s="532" t="e">
        <f>IF(NFI_Expiration=1,IF(#REF!&lt;VLOOKUP(M$5,NFI,5,0),1,0)*Table_NFI[[#This Row],[Sanitary Kit]],Table_NFI[Sanitary Kit])</f>
        <v>#REF!</v>
      </c>
      <c r="AE390" s="532" t="e">
        <f>IF(NFI_Expiration=1,IF(#REF!&lt;VLOOKUP(N$5,NFI,5,0),1,0)*Table_NFI[[#This Row],[Mosquito net]],Table_NFI[Mosquito net])</f>
        <v>#REF!</v>
      </c>
      <c r="AF390" s="532" t="e">
        <f>IF(NFI_Expiration=1,IF(#REF!&lt;VLOOKUP(O$5,NFI,5,0),1,0)*Table_NFI[[#This Row],[Tarpaulin]],Table_NFI[[#This Row],[Tarpaulin]])</f>
        <v>#REF!</v>
      </c>
      <c r="AG390" s="532" t="e">
        <f>IF(NFI_Expiration=1,IF(#REF!&lt;VLOOKUP(P$5,NFI,5,0),1,0)*Table_NFI[[#This Row],[Blanket]],Table_NFI[[#This Row],[Blanket]])</f>
        <v>#REF!</v>
      </c>
      <c r="AH390" s="532" t="e">
        <f>IF(NFI_Expiration=1,IF(#REF!&lt;VLOOKUP(Q$5,NFI,5,0),1,0)*Table_NFI[[#This Row],[Kitchen Set]],Table_NFI[Kitchen Set])</f>
        <v>#REF!</v>
      </c>
      <c r="AI390" s="532" t="e">
        <f>IF(NFI_Expiration=1,IF(#REF!&lt;VLOOKUP(R$5,NFI,5,0),1,0)*Table_NFI[[#This Row],[Clothes Kit]],Table_NFI[Clothes Kit])</f>
        <v>#REF!</v>
      </c>
      <c r="AJ390" s="532" t="e">
        <f>IF(NFI_Expiration=1,IF(#REF!&lt;VLOOKUP(S$5,NFI,5,0),1,0)*Table_NFI[[#This Row],[Plastic Bucket]],Table_NFI[Plastic Bucket])</f>
        <v>#REF!</v>
      </c>
      <c r="AK390" s="532" t="e">
        <f>IF(NFI_Expiration=1,IF(#REF!&lt;VLOOKUP(T$5,NFI,5,0),1,0)*Table_NFI[[#This Row],[Plastic Mat]],Table_NFI[Plastic Mat])*IF(Table_NFI[[#This Row],[Distribution Date]]&gt;"2014-04-01",1,2.5)</f>
        <v>#REF!</v>
      </c>
      <c r="AL390" s="532" t="e">
        <f>IF(NFI_Expiration=1,IF(#REF!&lt;VLOOKUP(U$5,NFI,5,0),1,0)*Table_NFI[[#This Row],[Winter Clothes Adult]],Table_NFI[Winter Clothes Adult])</f>
        <v>#REF!</v>
      </c>
      <c r="AM390" s="532"/>
      <c r="AN390" s="532"/>
      <c r="AO390" s="532"/>
      <c r="AP390" s="532">
        <f>IF(Table_NFI[[#This Row],[Winter Clothes Adult]]+Table_NFI[[#This Row],[Winter Clothes Children]]+Table_NFI[[#This Row],[Winter Items Other]]+Table_NFI[[#This Row],[Winter Blanket]]&gt;0,1,0)</f>
        <v>0</v>
      </c>
      <c r="AQ390" s="532"/>
      <c r="AR390" s="532"/>
      <c r="AS390" s="532"/>
      <c r="AT390" s="532"/>
      <c r="AU390" s="532"/>
      <c r="AV390" s="532"/>
      <c r="AW390" s="532"/>
      <c r="AX390" s="203" t="str">
        <f>IFERROR(VLOOKUP(Table_NFI[[#This Row],[Location]],CL,2,0),"")</f>
        <v>MMR015CMP248</v>
      </c>
      <c r="AZ390" s="524"/>
      <c r="DS390" s="181"/>
      <c r="DT390" s="181"/>
    </row>
    <row r="391" spans="2:124" hidden="1" x14ac:dyDescent="0.3">
      <c r="B391" s="530">
        <v>43128</v>
      </c>
      <c r="C391" s="530" t="str">
        <f>MONTH(Table_NFI[[#This Row],[Distribution Date]]) &amp; "/" &amp; YEAR(Table_NFI[[#This Row],[Distribution Date]])</f>
        <v>1/2018</v>
      </c>
      <c r="D391" s="196" t="s">
        <v>1560</v>
      </c>
      <c r="E391" s="196" t="s">
        <v>1560</v>
      </c>
      <c r="F391" s="196" t="s">
        <v>506</v>
      </c>
      <c r="G391" s="196" t="s">
        <v>297</v>
      </c>
      <c r="H391" s="175" t="s">
        <v>1737</v>
      </c>
      <c r="I391" s="181"/>
      <c r="J391" s="531"/>
      <c r="K391" s="175">
        <v>50</v>
      </c>
      <c r="L391" s="531"/>
      <c r="M391" s="531"/>
      <c r="N391" s="531"/>
      <c r="O391" s="531"/>
      <c r="P391" s="531"/>
      <c r="Q391" s="531"/>
      <c r="R391" s="531"/>
      <c r="S391" s="531"/>
      <c r="T391" s="531"/>
      <c r="U391" s="531"/>
      <c r="V391" s="531"/>
      <c r="W391" s="531"/>
      <c r="X391" s="531"/>
      <c r="Y391" s="531"/>
      <c r="Z391" s="531"/>
      <c r="AA391" s="531"/>
      <c r="AB391" s="531"/>
      <c r="AC391" s="532" t="e">
        <f>IF(NFI_Expiration=1,IF(#REF!&lt;VLOOKUP(L$5,NFI,5,0),1,0)*Table_NFI[[#This Row],[NFI Core Kit]],Table_NFI[NFI Core Kit])</f>
        <v>#REF!</v>
      </c>
      <c r="AD391" s="532" t="e">
        <f>IF(NFI_Expiration=1,IF(#REF!&lt;VLOOKUP(M$5,NFI,5,0),1,0)*Table_NFI[[#This Row],[Sanitary Kit]],Table_NFI[Sanitary Kit])</f>
        <v>#REF!</v>
      </c>
      <c r="AE391" s="532" t="e">
        <f>IF(NFI_Expiration=1,IF(#REF!&lt;VLOOKUP(N$5,NFI,5,0),1,0)*Table_NFI[[#This Row],[Mosquito net]],Table_NFI[Mosquito net])</f>
        <v>#REF!</v>
      </c>
      <c r="AF391" s="532" t="e">
        <f>IF(NFI_Expiration=1,IF(#REF!&lt;VLOOKUP(O$5,NFI,5,0),1,0)*Table_NFI[[#This Row],[Tarpaulin]],Table_NFI[[#This Row],[Tarpaulin]])</f>
        <v>#REF!</v>
      </c>
      <c r="AG391" s="532" t="e">
        <f>IF(NFI_Expiration=1,IF(#REF!&lt;VLOOKUP(P$5,NFI,5,0),1,0)*Table_NFI[[#This Row],[Blanket]],Table_NFI[[#This Row],[Blanket]])</f>
        <v>#REF!</v>
      </c>
      <c r="AH391" s="532" t="e">
        <f>IF(NFI_Expiration=1,IF(#REF!&lt;VLOOKUP(Q$5,NFI,5,0),1,0)*Table_NFI[[#This Row],[Kitchen Set]],Table_NFI[Kitchen Set])</f>
        <v>#REF!</v>
      </c>
      <c r="AI391" s="532" t="e">
        <f>IF(NFI_Expiration=1,IF(#REF!&lt;VLOOKUP(R$5,NFI,5,0),1,0)*Table_NFI[[#This Row],[Clothes Kit]],Table_NFI[Clothes Kit])</f>
        <v>#REF!</v>
      </c>
      <c r="AJ391" s="532" t="e">
        <f>IF(NFI_Expiration=1,IF(#REF!&lt;VLOOKUP(S$5,NFI,5,0),1,0)*Table_NFI[[#This Row],[Plastic Bucket]],Table_NFI[Plastic Bucket])</f>
        <v>#REF!</v>
      </c>
      <c r="AK391" s="532" t="e">
        <f>IF(NFI_Expiration=1,IF(#REF!&lt;VLOOKUP(T$5,NFI,5,0),1,0)*Table_NFI[[#This Row],[Plastic Mat]],Table_NFI[Plastic Mat])*IF(Table_NFI[[#This Row],[Distribution Date]]&gt;"2014-04-01",1,2.5)</f>
        <v>#REF!</v>
      </c>
      <c r="AL391" s="532" t="e">
        <f>IF(NFI_Expiration=1,IF(#REF!&lt;VLOOKUP(U$5,NFI,5,0),1,0)*Table_NFI[[#This Row],[Winter Clothes Adult]],Table_NFI[Winter Clothes Adult])</f>
        <v>#REF!</v>
      </c>
      <c r="AM391" s="532"/>
      <c r="AN391" s="532"/>
      <c r="AO391" s="532"/>
      <c r="AP391" s="532">
        <f>IF(Table_NFI[[#This Row],[Winter Clothes Adult]]+Table_NFI[[#This Row],[Winter Clothes Children]]+Table_NFI[[#This Row],[Winter Items Other]]+Table_NFI[[#This Row],[Winter Blanket]]&gt;0,1,0)</f>
        <v>0</v>
      </c>
      <c r="AQ391" s="532"/>
      <c r="AR391" s="532"/>
      <c r="AS391" s="532"/>
      <c r="AT391" s="532"/>
      <c r="AU391" s="532"/>
      <c r="AV391" s="532"/>
      <c r="AW391" s="532"/>
      <c r="AX391" s="203" t="str">
        <f>IFERROR(VLOOKUP(Table_NFI[[#This Row],[Location]],CL,2,0),"")</f>
        <v/>
      </c>
      <c r="AZ391" s="524"/>
      <c r="DS391" s="181"/>
      <c r="DT391" s="181"/>
    </row>
    <row r="392" spans="2:124" hidden="1" x14ac:dyDescent="0.3">
      <c r="B392" s="530">
        <v>43228</v>
      </c>
      <c r="C392" s="530" t="str">
        <f>MONTH(Table_NFI[[#This Row],[Distribution Date]]) &amp; "/" &amp; YEAR(Table_NFI[[#This Row],[Distribution Date]])</f>
        <v>5/2018</v>
      </c>
      <c r="D392" s="196" t="s">
        <v>1560</v>
      </c>
      <c r="E392" s="196" t="s">
        <v>1560</v>
      </c>
      <c r="F392" s="196" t="s">
        <v>506</v>
      </c>
      <c r="G392" s="196" t="s">
        <v>297</v>
      </c>
      <c r="H392" s="175" t="s">
        <v>1738</v>
      </c>
      <c r="I392" s="181"/>
      <c r="J392" s="531"/>
      <c r="K392" s="175">
        <v>70</v>
      </c>
      <c r="L392" s="531"/>
      <c r="M392" s="531"/>
      <c r="N392" s="531"/>
      <c r="O392" s="531"/>
      <c r="P392" s="531"/>
      <c r="Q392" s="531"/>
      <c r="R392" s="531"/>
      <c r="S392" s="531"/>
      <c r="T392" s="531"/>
      <c r="U392" s="531"/>
      <c r="V392" s="531"/>
      <c r="W392" s="531"/>
      <c r="X392" s="531"/>
      <c r="Y392" s="531"/>
      <c r="Z392" s="531"/>
      <c r="AA392" s="531"/>
      <c r="AB392" s="531"/>
      <c r="AC392" s="532" t="e">
        <f>IF(NFI_Expiration=1,IF(#REF!&lt;VLOOKUP(L$5,NFI,5,0),1,0)*Table_NFI[[#This Row],[NFI Core Kit]],Table_NFI[NFI Core Kit])</f>
        <v>#REF!</v>
      </c>
      <c r="AD392" s="532" t="e">
        <f>IF(NFI_Expiration=1,IF(#REF!&lt;VLOOKUP(M$5,NFI,5,0),1,0)*Table_NFI[[#This Row],[Sanitary Kit]],Table_NFI[Sanitary Kit])</f>
        <v>#REF!</v>
      </c>
      <c r="AE392" s="532" t="e">
        <f>IF(NFI_Expiration=1,IF(#REF!&lt;VLOOKUP(N$5,NFI,5,0),1,0)*Table_NFI[[#This Row],[Mosquito net]],Table_NFI[Mosquito net])</f>
        <v>#REF!</v>
      </c>
      <c r="AF392" s="532" t="e">
        <f>IF(NFI_Expiration=1,IF(#REF!&lt;VLOOKUP(O$5,NFI,5,0),1,0)*Table_NFI[[#This Row],[Tarpaulin]],Table_NFI[[#This Row],[Tarpaulin]])</f>
        <v>#REF!</v>
      </c>
      <c r="AG392" s="532" t="e">
        <f>IF(NFI_Expiration=1,IF(#REF!&lt;VLOOKUP(P$5,NFI,5,0),1,0)*Table_NFI[[#This Row],[Blanket]],Table_NFI[[#This Row],[Blanket]])</f>
        <v>#REF!</v>
      </c>
      <c r="AH392" s="532" t="e">
        <f>IF(NFI_Expiration=1,IF(#REF!&lt;VLOOKUP(Q$5,NFI,5,0),1,0)*Table_NFI[[#This Row],[Kitchen Set]],Table_NFI[Kitchen Set])</f>
        <v>#REF!</v>
      </c>
      <c r="AI392" s="532" t="e">
        <f>IF(NFI_Expiration=1,IF(#REF!&lt;VLOOKUP(R$5,NFI,5,0),1,0)*Table_NFI[[#This Row],[Clothes Kit]],Table_NFI[Clothes Kit])</f>
        <v>#REF!</v>
      </c>
      <c r="AJ392" s="532" t="e">
        <f>IF(NFI_Expiration=1,IF(#REF!&lt;VLOOKUP(S$5,NFI,5,0),1,0)*Table_NFI[[#This Row],[Plastic Bucket]],Table_NFI[Plastic Bucket])</f>
        <v>#REF!</v>
      </c>
      <c r="AK392" s="532" t="e">
        <f>IF(NFI_Expiration=1,IF(#REF!&lt;VLOOKUP(T$5,NFI,5,0),1,0)*Table_NFI[[#This Row],[Plastic Mat]],Table_NFI[Plastic Mat])*IF(Table_NFI[[#This Row],[Distribution Date]]&gt;"2014-04-01",1,2.5)</f>
        <v>#REF!</v>
      </c>
      <c r="AL392" s="532" t="e">
        <f>IF(NFI_Expiration=1,IF(#REF!&lt;VLOOKUP(U$5,NFI,5,0),1,0)*Table_NFI[[#This Row],[Winter Clothes Adult]],Table_NFI[Winter Clothes Adult])</f>
        <v>#REF!</v>
      </c>
      <c r="AM392" s="532"/>
      <c r="AN392" s="532"/>
      <c r="AO392" s="532"/>
      <c r="AP392" s="532">
        <f>IF(Table_NFI[[#This Row],[Winter Clothes Adult]]+Table_NFI[[#This Row],[Winter Clothes Children]]+Table_NFI[[#This Row],[Winter Items Other]]+Table_NFI[[#This Row],[Winter Blanket]]&gt;0,1,0)</f>
        <v>0</v>
      </c>
      <c r="AQ392" s="532"/>
      <c r="AR392" s="532"/>
      <c r="AS392" s="532"/>
      <c r="AT392" s="532"/>
      <c r="AU392" s="532"/>
      <c r="AV392" s="532"/>
      <c r="AW392" s="532"/>
      <c r="AX392" s="203" t="str">
        <f>IFERROR(VLOOKUP(Table_NFI[[#This Row],[Location]],CL,2,0),"")</f>
        <v/>
      </c>
      <c r="AZ392" s="524"/>
      <c r="DS392" s="181"/>
      <c r="DT392" s="181"/>
    </row>
    <row r="393" spans="2:124" hidden="1" x14ac:dyDescent="0.3">
      <c r="B393" s="530">
        <v>43228</v>
      </c>
      <c r="C393" s="530" t="str">
        <f>MONTH(Table_NFI[[#This Row],[Distribution Date]]) &amp; "/" &amp; YEAR(Table_NFI[[#This Row],[Distribution Date]])</f>
        <v>5/2018</v>
      </c>
      <c r="D393" s="196" t="s">
        <v>1560</v>
      </c>
      <c r="E393" s="196" t="s">
        <v>1560</v>
      </c>
      <c r="F393" s="196" t="s">
        <v>506</v>
      </c>
      <c r="G393" s="196" t="s">
        <v>297</v>
      </c>
      <c r="H393" s="175" t="s">
        <v>1739</v>
      </c>
      <c r="I393" s="181"/>
      <c r="J393" s="531"/>
      <c r="K393" s="175">
        <v>103</v>
      </c>
      <c r="L393" s="531"/>
      <c r="M393" s="531"/>
      <c r="N393" s="531"/>
      <c r="O393" s="531"/>
      <c r="P393" s="531"/>
      <c r="Q393" s="531"/>
      <c r="R393" s="531"/>
      <c r="S393" s="531"/>
      <c r="T393" s="531"/>
      <c r="U393" s="531"/>
      <c r="V393" s="531"/>
      <c r="W393" s="531"/>
      <c r="X393" s="531"/>
      <c r="Y393" s="531"/>
      <c r="Z393" s="531"/>
      <c r="AA393" s="531"/>
      <c r="AB393" s="531"/>
      <c r="AC393" s="532" t="e">
        <f>IF(NFI_Expiration=1,IF(#REF!&lt;VLOOKUP(L$5,NFI,5,0),1,0)*Table_NFI[[#This Row],[NFI Core Kit]],Table_NFI[NFI Core Kit])</f>
        <v>#REF!</v>
      </c>
      <c r="AD393" s="532" t="e">
        <f>IF(NFI_Expiration=1,IF(#REF!&lt;VLOOKUP(M$5,NFI,5,0),1,0)*Table_NFI[[#This Row],[Sanitary Kit]],Table_NFI[Sanitary Kit])</f>
        <v>#REF!</v>
      </c>
      <c r="AE393" s="532" t="e">
        <f>IF(NFI_Expiration=1,IF(#REF!&lt;VLOOKUP(N$5,NFI,5,0),1,0)*Table_NFI[[#This Row],[Mosquito net]],Table_NFI[Mosquito net])</f>
        <v>#REF!</v>
      </c>
      <c r="AF393" s="532" t="e">
        <f>IF(NFI_Expiration=1,IF(#REF!&lt;VLOOKUP(O$5,NFI,5,0),1,0)*Table_NFI[[#This Row],[Tarpaulin]],Table_NFI[[#This Row],[Tarpaulin]])</f>
        <v>#REF!</v>
      </c>
      <c r="AG393" s="532" t="e">
        <f>IF(NFI_Expiration=1,IF(#REF!&lt;VLOOKUP(P$5,NFI,5,0),1,0)*Table_NFI[[#This Row],[Blanket]],Table_NFI[[#This Row],[Blanket]])</f>
        <v>#REF!</v>
      </c>
      <c r="AH393" s="532" t="e">
        <f>IF(NFI_Expiration=1,IF(#REF!&lt;VLOOKUP(Q$5,NFI,5,0),1,0)*Table_NFI[[#This Row],[Kitchen Set]],Table_NFI[Kitchen Set])</f>
        <v>#REF!</v>
      </c>
      <c r="AI393" s="532" t="e">
        <f>IF(NFI_Expiration=1,IF(#REF!&lt;VLOOKUP(R$5,NFI,5,0),1,0)*Table_NFI[[#This Row],[Clothes Kit]],Table_NFI[Clothes Kit])</f>
        <v>#REF!</v>
      </c>
      <c r="AJ393" s="532" t="e">
        <f>IF(NFI_Expiration=1,IF(#REF!&lt;VLOOKUP(S$5,NFI,5,0),1,0)*Table_NFI[[#This Row],[Plastic Bucket]],Table_NFI[Plastic Bucket])</f>
        <v>#REF!</v>
      </c>
      <c r="AK393" s="532" t="e">
        <f>IF(NFI_Expiration=1,IF(#REF!&lt;VLOOKUP(T$5,NFI,5,0),1,0)*Table_NFI[[#This Row],[Plastic Mat]],Table_NFI[Plastic Mat])*IF(Table_NFI[[#This Row],[Distribution Date]]&gt;"2014-04-01",1,2.5)</f>
        <v>#REF!</v>
      </c>
      <c r="AL393" s="532" t="e">
        <f>IF(NFI_Expiration=1,IF(#REF!&lt;VLOOKUP(U$5,NFI,5,0),1,0)*Table_NFI[[#This Row],[Winter Clothes Adult]],Table_NFI[Winter Clothes Adult])</f>
        <v>#REF!</v>
      </c>
      <c r="AM393" s="532"/>
      <c r="AN393" s="532"/>
      <c r="AO393" s="532"/>
      <c r="AP393" s="532">
        <f>IF(Table_NFI[[#This Row],[Winter Clothes Adult]]+Table_NFI[[#This Row],[Winter Clothes Children]]+Table_NFI[[#This Row],[Winter Items Other]]+Table_NFI[[#This Row],[Winter Blanket]]&gt;0,1,0)</f>
        <v>0</v>
      </c>
      <c r="AQ393" s="532"/>
      <c r="AR393" s="532"/>
      <c r="AS393" s="532"/>
      <c r="AT393" s="532"/>
      <c r="AU393" s="532"/>
      <c r="AV393" s="532"/>
      <c r="AW393" s="532"/>
      <c r="AX393" s="203" t="str">
        <f>IFERROR(VLOOKUP(Table_NFI[[#This Row],[Location]],CL,2,0),"")</f>
        <v/>
      </c>
      <c r="AZ393" s="524"/>
      <c r="DS393" s="181"/>
      <c r="DT393" s="181"/>
    </row>
    <row r="394" spans="2:124" hidden="1" x14ac:dyDescent="0.3">
      <c r="B394" s="530">
        <v>43248</v>
      </c>
      <c r="C394" s="530" t="str">
        <f>MONTH(Table_NFI[[#This Row],[Distribution Date]]) &amp; "/" &amp; YEAR(Table_NFI[[#This Row],[Distribution Date]])</f>
        <v>5/2018</v>
      </c>
      <c r="D394" s="196" t="s">
        <v>1560</v>
      </c>
      <c r="E394" s="196" t="s">
        <v>1560</v>
      </c>
      <c r="F394" s="196" t="s">
        <v>506</v>
      </c>
      <c r="G394" s="196" t="s">
        <v>146</v>
      </c>
      <c r="H394" s="175" t="s">
        <v>1523</v>
      </c>
      <c r="I394" s="181"/>
      <c r="J394" s="531"/>
      <c r="K394" s="531">
        <v>44</v>
      </c>
      <c r="L394" s="531"/>
      <c r="M394" s="531"/>
      <c r="N394" s="531"/>
      <c r="O394" s="531"/>
      <c r="P394" s="531"/>
      <c r="Q394" s="531"/>
      <c r="R394" s="531"/>
      <c r="S394" s="531"/>
      <c r="T394" s="531"/>
      <c r="U394" s="531"/>
      <c r="V394" s="531"/>
      <c r="W394" s="531"/>
      <c r="X394" s="531"/>
      <c r="Y394" s="531"/>
      <c r="Z394" s="531"/>
      <c r="AA394" s="531"/>
      <c r="AB394" s="531"/>
      <c r="AC394" s="532" t="e">
        <f>IF(NFI_Expiration=1,IF(#REF!&lt;VLOOKUP(L$5,NFI,5,0),1,0)*Table_NFI[[#This Row],[NFI Core Kit]],Table_NFI[NFI Core Kit])</f>
        <v>#REF!</v>
      </c>
      <c r="AD394" s="532" t="e">
        <f>IF(NFI_Expiration=1,IF(#REF!&lt;VLOOKUP(M$5,NFI,5,0),1,0)*Table_NFI[[#This Row],[Sanitary Kit]],Table_NFI[Sanitary Kit])</f>
        <v>#REF!</v>
      </c>
      <c r="AE394" s="532" t="e">
        <f>IF(NFI_Expiration=1,IF(#REF!&lt;VLOOKUP(N$5,NFI,5,0),1,0)*Table_NFI[[#This Row],[Mosquito net]],Table_NFI[Mosquito net])</f>
        <v>#REF!</v>
      </c>
      <c r="AF394" s="532" t="e">
        <f>IF(NFI_Expiration=1,IF(#REF!&lt;VLOOKUP(O$5,NFI,5,0),1,0)*Table_NFI[[#This Row],[Tarpaulin]],Table_NFI[[#This Row],[Tarpaulin]])</f>
        <v>#REF!</v>
      </c>
      <c r="AG394" s="532" t="e">
        <f>IF(NFI_Expiration=1,IF(#REF!&lt;VLOOKUP(P$5,NFI,5,0),1,0)*Table_NFI[[#This Row],[Blanket]],Table_NFI[[#This Row],[Blanket]])</f>
        <v>#REF!</v>
      </c>
      <c r="AH394" s="532" t="e">
        <f>IF(NFI_Expiration=1,IF(#REF!&lt;VLOOKUP(Q$5,NFI,5,0),1,0)*Table_NFI[[#This Row],[Kitchen Set]],Table_NFI[Kitchen Set])</f>
        <v>#REF!</v>
      </c>
      <c r="AI394" s="532" t="e">
        <f>IF(NFI_Expiration=1,IF(#REF!&lt;VLOOKUP(R$5,NFI,5,0),1,0)*Table_NFI[[#This Row],[Clothes Kit]],Table_NFI[Clothes Kit])</f>
        <v>#REF!</v>
      </c>
      <c r="AJ394" s="532" t="e">
        <f>IF(NFI_Expiration=1,IF(#REF!&lt;VLOOKUP(S$5,NFI,5,0),1,0)*Table_NFI[[#This Row],[Plastic Bucket]],Table_NFI[Plastic Bucket])</f>
        <v>#REF!</v>
      </c>
      <c r="AK394" s="532" t="e">
        <f>IF(NFI_Expiration=1,IF(#REF!&lt;VLOOKUP(T$5,NFI,5,0),1,0)*Table_NFI[[#This Row],[Plastic Mat]],Table_NFI[Plastic Mat])*IF(Table_NFI[[#This Row],[Distribution Date]]&gt;"2014-04-01",1,2.5)</f>
        <v>#REF!</v>
      </c>
      <c r="AL394" s="532" t="e">
        <f>IF(NFI_Expiration=1,IF(#REF!&lt;VLOOKUP(U$5,NFI,5,0),1,0)*Table_NFI[[#This Row],[Winter Clothes Adult]],Table_NFI[Winter Clothes Adult])</f>
        <v>#REF!</v>
      </c>
      <c r="AM394" s="532"/>
      <c r="AN394" s="532"/>
      <c r="AO394" s="532"/>
      <c r="AP394" s="532">
        <f>IF(Table_NFI[[#This Row],[Winter Clothes Adult]]+Table_NFI[[#This Row],[Winter Clothes Children]]+Table_NFI[[#This Row],[Winter Items Other]]+Table_NFI[[#This Row],[Winter Blanket]]&gt;0,1,0)</f>
        <v>0</v>
      </c>
      <c r="AQ394" s="532"/>
      <c r="AR394" s="532"/>
      <c r="AS394" s="532"/>
      <c r="AT394" s="532"/>
      <c r="AU394" s="532"/>
      <c r="AV394" s="532"/>
      <c r="AW394" s="532"/>
      <c r="AX394" s="203" t="str">
        <f>IFERROR(VLOOKUP(Table_NFI[[#This Row],[Location]],CL,2,0),"")</f>
        <v>MMR015CMP249</v>
      </c>
      <c r="AZ394" s="524"/>
      <c r="DS394" s="181"/>
      <c r="DT394" s="181"/>
    </row>
    <row r="395" spans="2:124" hidden="1" x14ac:dyDescent="0.3">
      <c r="B395" s="530">
        <v>43277</v>
      </c>
      <c r="C395" s="530" t="str">
        <f>MONTH(Table_NFI[[#This Row],[Distribution Date]]) &amp; "/" &amp; YEAR(Table_NFI[[#This Row],[Distribution Date]])</f>
        <v>6/2018</v>
      </c>
      <c r="D395" s="196" t="s">
        <v>1560</v>
      </c>
      <c r="E395" s="196" t="s">
        <v>1560</v>
      </c>
      <c r="F395" s="196" t="s">
        <v>506</v>
      </c>
      <c r="G395" s="196" t="s">
        <v>297</v>
      </c>
      <c r="H395" s="175" t="s">
        <v>1734</v>
      </c>
      <c r="I395" s="181"/>
      <c r="J395" s="531"/>
      <c r="K395" s="531"/>
      <c r="L395" s="531"/>
      <c r="M395" s="531"/>
      <c r="N395" s="531"/>
      <c r="O395" s="531"/>
      <c r="P395" s="531"/>
      <c r="Q395" s="531"/>
      <c r="R395" s="531"/>
      <c r="S395" s="531"/>
      <c r="T395" s="531"/>
      <c r="U395" s="531"/>
      <c r="V395" s="531"/>
      <c r="W395" s="531"/>
      <c r="X395" s="531"/>
      <c r="Y395" s="531"/>
      <c r="Z395" s="531"/>
      <c r="AA395" s="531"/>
      <c r="AB395" s="531"/>
      <c r="AC395" s="532" t="e">
        <f>IF(NFI_Expiration=1,IF(#REF!&lt;VLOOKUP(L$5,NFI,5,0),1,0)*Table_NFI[[#This Row],[NFI Core Kit]],Table_NFI[NFI Core Kit])</f>
        <v>#REF!</v>
      </c>
      <c r="AD395" s="532" t="e">
        <f>IF(NFI_Expiration=1,IF(#REF!&lt;VLOOKUP(M$5,NFI,5,0),1,0)*Table_NFI[[#This Row],[Sanitary Kit]],Table_NFI[Sanitary Kit])</f>
        <v>#REF!</v>
      </c>
      <c r="AE395" s="532" t="e">
        <f>IF(NFI_Expiration=1,IF(#REF!&lt;VLOOKUP(N$5,NFI,5,0),1,0)*Table_NFI[[#This Row],[Mosquito net]],Table_NFI[Mosquito net])</f>
        <v>#REF!</v>
      </c>
      <c r="AF395" s="532" t="e">
        <f>IF(NFI_Expiration=1,IF(#REF!&lt;VLOOKUP(O$5,NFI,5,0),1,0)*Table_NFI[[#This Row],[Tarpaulin]],Table_NFI[[#This Row],[Tarpaulin]])</f>
        <v>#REF!</v>
      </c>
      <c r="AG395" s="532" t="e">
        <f>IF(NFI_Expiration=1,IF(#REF!&lt;VLOOKUP(P$5,NFI,5,0),1,0)*Table_NFI[[#This Row],[Blanket]],Table_NFI[[#This Row],[Blanket]])</f>
        <v>#REF!</v>
      </c>
      <c r="AH395" s="532" t="e">
        <f>IF(NFI_Expiration=1,IF(#REF!&lt;VLOOKUP(Q$5,NFI,5,0),1,0)*Table_NFI[[#This Row],[Kitchen Set]],Table_NFI[Kitchen Set])</f>
        <v>#REF!</v>
      </c>
      <c r="AI395" s="532" t="e">
        <f>IF(NFI_Expiration=1,IF(#REF!&lt;VLOOKUP(R$5,NFI,5,0),1,0)*Table_NFI[[#This Row],[Clothes Kit]],Table_NFI[Clothes Kit])</f>
        <v>#REF!</v>
      </c>
      <c r="AJ395" s="532" t="e">
        <f>IF(NFI_Expiration=1,IF(#REF!&lt;VLOOKUP(S$5,NFI,5,0),1,0)*Table_NFI[[#This Row],[Plastic Bucket]],Table_NFI[Plastic Bucket])</f>
        <v>#REF!</v>
      </c>
      <c r="AK395" s="532" t="e">
        <f>IF(NFI_Expiration=1,IF(#REF!&lt;VLOOKUP(T$5,NFI,5,0),1,0)*Table_NFI[[#This Row],[Plastic Mat]],Table_NFI[Plastic Mat])*IF(Table_NFI[[#This Row],[Distribution Date]]&gt;"2014-04-01",1,2.5)</f>
        <v>#REF!</v>
      </c>
      <c r="AL395" s="532" t="e">
        <f>IF(NFI_Expiration=1,IF(#REF!&lt;VLOOKUP(U$5,NFI,5,0),1,0)*Table_NFI[[#This Row],[Winter Clothes Adult]],Table_NFI[Winter Clothes Adult])</f>
        <v>#REF!</v>
      </c>
      <c r="AM395" s="532"/>
      <c r="AN395" s="532"/>
      <c r="AO395" s="532"/>
      <c r="AP395" s="532">
        <f>IF(Table_NFI[[#This Row],[Winter Clothes Adult]]+Table_NFI[[#This Row],[Winter Clothes Children]]+Table_NFI[[#This Row],[Winter Items Other]]+Table_NFI[[#This Row],[Winter Blanket]]&gt;0,1,0)</f>
        <v>0</v>
      </c>
      <c r="AQ395" s="532"/>
      <c r="AR395" s="532"/>
      <c r="AS395" s="532"/>
      <c r="AT395" s="532"/>
      <c r="AU395" s="532"/>
      <c r="AV395" s="532"/>
      <c r="AW395" s="532"/>
      <c r="AX395" s="203" t="str">
        <f>IFERROR(VLOOKUP(Table_NFI[[#This Row],[Location]],CL,2,0),"")</f>
        <v/>
      </c>
      <c r="AZ395" s="524"/>
      <c r="DS395" s="181"/>
      <c r="DT395" s="181"/>
    </row>
    <row r="396" spans="2:124" hidden="1" x14ac:dyDescent="0.3">
      <c r="B396" s="530">
        <v>43320</v>
      </c>
      <c r="C396" s="530" t="str">
        <f>MONTH(Table_NFI[[#This Row],[Distribution Date]]) &amp; "/" &amp; YEAR(Table_NFI[[#This Row],[Distribution Date]])</f>
        <v>8/2018</v>
      </c>
      <c r="D396" s="196" t="s">
        <v>1560</v>
      </c>
      <c r="E396" s="196" t="s">
        <v>1560</v>
      </c>
      <c r="F396" s="196" t="s">
        <v>506</v>
      </c>
      <c r="G396" s="196" t="s">
        <v>297</v>
      </c>
      <c r="H396" s="175" t="s">
        <v>1740</v>
      </c>
      <c r="I396" s="181"/>
      <c r="J396" s="531"/>
      <c r="K396" s="531"/>
      <c r="L396" s="531"/>
      <c r="M396" s="531"/>
      <c r="N396" s="531"/>
      <c r="O396" s="531"/>
      <c r="P396" s="531"/>
      <c r="Q396" s="531"/>
      <c r="R396" s="531"/>
      <c r="S396" s="531"/>
      <c r="T396" s="531"/>
      <c r="U396" s="531"/>
      <c r="V396" s="531"/>
      <c r="W396" s="531"/>
      <c r="X396" s="531"/>
      <c r="Y396" s="531"/>
      <c r="Z396" s="531"/>
      <c r="AA396" s="531"/>
      <c r="AB396" s="531"/>
      <c r="AC396" s="532" t="e">
        <f>IF(NFI_Expiration=1,IF(#REF!&lt;VLOOKUP(L$5,NFI,5,0),1,0)*Table_NFI[[#This Row],[NFI Core Kit]],Table_NFI[NFI Core Kit])</f>
        <v>#REF!</v>
      </c>
      <c r="AD396" s="532" t="e">
        <f>IF(NFI_Expiration=1,IF(#REF!&lt;VLOOKUP(M$5,NFI,5,0),1,0)*Table_NFI[[#This Row],[Sanitary Kit]],Table_NFI[Sanitary Kit])</f>
        <v>#REF!</v>
      </c>
      <c r="AE396" s="532" t="e">
        <f>IF(NFI_Expiration=1,IF(#REF!&lt;VLOOKUP(N$5,NFI,5,0),1,0)*Table_NFI[[#This Row],[Mosquito net]],Table_NFI[Mosquito net])</f>
        <v>#REF!</v>
      </c>
      <c r="AF396" s="532" t="e">
        <f>IF(NFI_Expiration=1,IF(#REF!&lt;VLOOKUP(O$5,NFI,5,0),1,0)*Table_NFI[[#This Row],[Tarpaulin]],Table_NFI[[#This Row],[Tarpaulin]])</f>
        <v>#REF!</v>
      </c>
      <c r="AG396" s="532" t="e">
        <f>IF(NFI_Expiration=1,IF(#REF!&lt;VLOOKUP(P$5,NFI,5,0),1,0)*Table_NFI[[#This Row],[Blanket]],Table_NFI[[#This Row],[Blanket]])</f>
        <v>#REF!</v>
      </c>
      <c r="AH396" s="532" t="e">
        <f>IF(NFI_Expiration=1,IF(#REF!&lt;VLOOKUP(Q$5,NFI,5,0),1,0)*Table_NFI[[#This Row],[Kitchen Set]],Table_NFI[Kitchen Set])</f>
        <v>#REF!</v>
      </c>
      <c r="AI396" s="532" t="e">
        <f>IF(NFI_Expiration=1,IF(#REF!&lt;VLOOKUP(R$5,NFI,5,0),1,0)*Table_NFI[[#This Row],[Clothes Kit]],Table_NFI[Clothes Kit])</f>
        <v>#REF!</v>
      </c>
      <c r="AJ396" s="532" t="e">
        <f>IF(NFI_Expiration=1,IF(#REF!&lt;VLOOKUP(S$5,NFI,5,0),1,0)*Table_NFI[[#This Row],[Plastic Bucket]],Table_NFI[Plastic Bucket])</f>
        <v>#REF!</v>
      </c>
      <c r="AK396" s="532" t="e">
        <f>IF(NFI_Expiration=1,IF(#REF!&lt;VLOOKUP(T$5,NFI,5,0),1,0)*Table_NFI[[#This Row],[Plastic Mat]],Table_NFI[Plastic Mat])*IF(Table_NFI[[#This Row],[Distribution Date]]&gt;"2014-04-01",1,2.5)</f>
        <v>#REF!</v>
      </c>
      <c r="AL396" s="532" t="e">
        <f>IF(NFI_Expiration=1,IF(#REF!&lt;VLOOKUP(U$5,NFI,5,0),1,0)*Table_NFI[[#This Row],[Winter Clothes Adult]],Table_NFI[Winter Clothes Adult])</f>
        <v>#REF!</v>
      </c>
      <c r="AM396" s="532"/>
      <c r="AN396" s="532"/>
      <c r="AO396" s="532"/>
      <c r="AP396" s="532">
        <f>IF(Table_NFI[[#This Row],[Winter Clothes Adult]]+Table_NFI[[#This Row],[Winter Clothes Children]]+Table_NFI[[#This Row],[Winter Items Other]]+Table_NFI[[#This Row],[Winter Blanket]]&gt;0,1,0)</f>
        <v>0</v>
      </c>
      <c r="AQ396" s="532"/>
      <c r="AR396" s="532"/>
      <c r="AS396" s="532"/>
      <c r="AT396" s="532"/>
      <c r="AU396" s="532"/>
      <c r="AV396" s="532"/>
      <c r="AW396" s="532"/>
      <c r="AX396" s="203" t="str">
        <f>IFERROR(VLOOKUP(Table_NFI[[#This Row],[Location]],CL,2,0),"")</f>
        <v/>
      </c>
      <c r="AZ396" s="524"/>
      <c r="DS396" s="181"/>
      <c r="DT396" s="181"/>
    </row>
    <row r="397" spans="2:124" hidden="1" x14ac:dyDescent="0.3">
      <c r="B397" s="530">
        <v>43320</v>
      </c>
      <c r="C397" s="530" t="str">
        <f>MONTH(Table_NFI[[#This Row],[Distribution Date]]) &amp; "/" &amp; YEAR(Table_NFI[[#This Row],[Distribution Date]])</f>
        <v>8/2018</v>
      </c>
      <c r="D397" s="196" t="s">
        <v>1560</v>
      </c>
      <c r="E397" s="196" t="s">
        <v>1560</v>
      </c>
      <c r="F397" s="196" t="s">
        <v>506</v>
      </c>
      <c r="G397" s="196" t="s">
        <v>297</v>
      </c>
      <c r="H397" s="175" t="s">
        <v>1741</v>
      </c>
      <c r="I397" s="181"/>
      <c r="J397" s="531"/>
      <c r="K397" s="531"/>
      <c r="L397" s="531"/>
      <c r="M397" s="531"/>
      <c r="N397" s="531"/>
      <c r="O397" s="531"/>
      <c r="P397" s="531"/>
      <c r="Q397" s="531"/>
      <c r="R397" s="531"/>
      <c r="S397" s="531"/>
      <c r="T397" s="531"/>
      <c r="U397" s="531"/>
      <c r="V397" s="531"/>
      <c r="W397" s="531"/>
      <c r="X397" s="531"/>
      <c r="Y397" s="531"/>
      <c r="Z397" s="531"/>
      <c r="AA397" s="531"/>
      <c r="AB397" s="531"/>
      <c r="AC397" s="532" t="e">
        <f>IF(NFI_Expiration=1,IF(#REF!&lt;VLOOKUP(L$5,NFI,5,0),1,0)*Table_NFI[[#This Row],[NFI Core Kit]],Table_NFI[NFI Core Kit])</f>
        <v>#REF!</v>
      </c>
      <c r="AD397" s="532" t="e">
        <f>IF(NFI_Expiration=1,IF(#REF!&lt;VLOOKUP(M$5,NFI,5,0),1,0)*Table_NFI[[#This Row],[Sanitary Kit]],Table_NFI[Sanitary Kit])</f>
        <v>#REF!</v>
      </c>
      <c r="AE397" s="532" t="e">
        <f>IF(NFI_Expiration=1,IF(#REF!&lt;VLOOKUP(N$5,NFI,5,0),1,0)*Table_NFI[[#This Row],[Mosquito net]],Table_NFI[Mosquito net])</f>
        <v>#REF!</v>
      </c>
      <c r="AF397" s="532" t="e">
        <f>IF(NFI_Expiration=1,IF(#REF!&lt;VLOOKUP(O$5,NFI,5,0),1,0)*Table_NFI[[#This Row],[Tarpaulin]],Table_NFI[[#This Row],[Tarpaulin]])</f>
        <v>#REF!</v>
      </c>
      <c r="AG397" s="532" t="e">
        <f>IF(NFI_Expiration=1,IF(#REF!&lt;VLOOKUP(P$5,NFI,5,0),1,0)*Table_NFI[[#This Row],[Blanket]],Table_NFI[[#This Row],[Blanket]])</f>
        <v>#REF!</v>
      </c>
      <c r="AH397" s="532" t="e">
        <f>IF(NFI_Expiration=1,IF(#REF!&lt;VLOOKUP(Q$5,NFI,5,0),1,0)*Table_NFI[[#This Row],[Kitchen Set]],Table_NFI[Kitchen Set])</f>
        <v>#REF!</v>
      </c>
      <c r="AI397" s="532" t="e">
        <f>IF(NFI_Expiration=1,IF(#REF!&lt;VLOOKUP(R$5,NFI,5,0),1,0)*Table_NFI[[#This Row],[Clothes Kit]],Table_NFI[Clothes Kit])</f>
        <v>#REF!</v>
      </c>
      <c r="AJ397" s="532" t="e">
        <f>IF(NFI_Expiration=1,IF(#REF!&lt;VLOOKUP(S$5,NFI,5,0),1,0)*Table_NFI[[#This Row],[Plastic Bucket]],Table_NFI[Plastic Bucket])</f>
        <v>#REF!</v>
      </c>
      <c r="AK397" s="532" t="e">
        <f>IF(NFI_Expiration=1,IF(#REF!&lt;VLOOKUP(T$5,NFI,5,0),1,0)*Table_NFI[[#This Row],[Plastic Mat]],Table_NFI[Plastic Mat])*IF(Table_NFI[[#This Row],[Distribution Date]]&gt;"2014-04-01",1,2.5)</f>
        <v>#REF!</v>
      </c>
      <c r="AL397" s="532" t="e">
        <f>IF(NFI_Expiration=1,IF(#REF!&lt;VLOOKUP(U$5,NFI,5,0),1,0)*Table_NFI[[#This Row],[Winter Clothes Adult]],Table_NFI[Winter Clothes Adult])</f>
        <v>#REF!</v>
      </c>
      <c r="AM397" s="532"/>
      <c r="AN397" s="532"/>
      <c r="AO397" s="532"/>
      <c r="AP397" s="532">
        <f>IF(Table_NFI[[#This Row],[Winter Clothes Adult]]+Table_NFI[[#This Row],[Winter Clothes Children]]+Table_NFI[[#This Row],[Winter Items Other]]+Table_NFI[[#This Row],[Winter Blanket]]&gt;0,1,0)</f>
        <v>0</v>
      </c>
      <c r="AQ397" s="532"/>
      <c r="AR397" s="532"/>
      <c r="AS397" s="532"/>
      <c r="AT397" s="532"/>
      <c r="AU397" s="532"/>
      <c r="AV397" s="532"/>
      <c r="AW397" s="532"/>
      <c r="AX397" s="203" t="str">
        <f>IFERROR(VLOOKUP(Table_NFI[[#This Row],[Location]],CL,2,0),"")</f>
        <v/>
      </c>
      <c r="AZ397" s="524"/>
      <c r="DS397" s="181"/>
      <c r="DT397" s="181"/>
    </row>
    <row r="398" spans="2:124" hidden="1" x14ac:dyDescent="0.3">
      <c r="B398" s="530">
        <v>43320</v>
      </c>
      <c r="C398" s="530" t="str">
        <f>MONTH(Table_NFI[[#This Row],[Distribution Date]]) &amp; "/" &amp; YEAR(Table_NFI[[#This Row],[Distribution Date]])</f>
        <v>8/2018</v>
      </c>
      <c r="D398" s="196" t="s">
        <v>1560</v>
      </c>
      <c r="E398" s="196" t="s">
        <v>1560</v>
      </c>
      <c r="F398" s="196" t="s">
        <v>506</v>
      </c>
      <c r="G398" s="699" t="s">
        <v>1198</v>
      </c>
      <c r="H398" s="175" t="s">
        <v>1742</v>
      </c>
      <c r="I398" s="181"/>
      <c r="J398" s="531"/>
      <c r="K398" s="531"/>
      <c r="L398" s="531"/>
      <c r="M398" s="531"/>
      <c r="N398" s="531"/>
      <c r="O398" s="531"/>
      <c r="P398" s="531"/>
      <c r="Q398" s="531"/>
      <c r="R398" s="531"/>
      <c r="S398" s="531"/>
      <c r="T398" s="531"/>
      <c r="U398" s="531"/>
      <c r="V398" s="531"/>
      <c r="W398" s="531"/>
      <c r="X398" s="531"/>
      <c r="Y398" s="531"/>
      <c r="Z398" s="531"/>
      <c r="AA398" s="531"/>
      <c r="AB398" s="531"/>
      <c r="AC398" s="532" t="e">
        <f>IF(NFI_Expiration=1,IF(#REF!&lt;VLOOKUP(L$5,NFI,5,0),1,0)*Table_NFI[[#This Row],[NFI Core Kit]],Table_NFI[NFI Core Kit])</f>
        <v>#REF!</v>
      </c>
      <c r="AD398" s="532" t="e">
        <f>IF(NFI_Expiration=1,IF(#REF!&lt;VLOOKUP(M$5,NFI,5,0),1,0)*Table_NFI[[#This Row],[Sanitary Kit]],Table_NFI[Sanitary Kit])</f>
        <v>#REF!</v>
      </c>
      <c r="AE398" s="532" t="e">
        <f>IF(NFI_Expiration=1,IF(#REF!&lt;VLOOKUP(N$5,NFI,5,0),1,0)*Table_NFI[[#This Row],[Mosquito net]],Table_NFI[Mosquito net])</f>
        <v>#REF!</v>
      </c>
      <c r="AF398" s="532" t="e">
        <f>IF(NFI_Expiration=1,IF(#REF!&lt;VLOOKUP(O$5,NFI,5,0),1,0)*Table_NFI[[#This Row],[Tarpaulin]],Table_NFI[[#This Row],[Tarpaulin]])</f>
        <v>#REF!</v>
      </c>
      <c r="AG398" s="532" t="e">
        <f>IF(NFI_Expiration=1,IF(#REF!&lt;VLOOKUP(P$5,NFI,5,0),1,0)*Table_NFI[[#This Row],[Blanket]],Table_NFI[[#This Row],[Blanket]])</f>
        <v>#REF!</v>
      </c>
      <c r="AH398" s="532" t="e">
        <f>IF(NFI_Expiration=1,IF(#REF!&lt;VLOOKUP(Q$5,NFI,5,0),1,0)*Table_NFI[[#This Row],[Kitchen Set]],Table_NFI[Kitchen Set])</f>
        <v>#REF!</v>
      </c>
      <c r="AI398" s="532" t="e">
        <f>IF(NFI_Expiration=1,IF(#REF!&lt;VLOOKUP(R$5,NFI,5,0),1,0)*Table_NFI[[#This Row],[Clothes Kit]],Table_NFI[Clothes Kit])</f>
        <v>#REF!</v>
      </c>
      <c r="AJ398" s="532" t="e">
        <f>IF(NFI_Expiration=1,IF(#REF!&lt;VLOOKUP(S$5,NFI,5,0),1,0)*Table_NFI[[#This Row],[Plastic Bucket]],Table_NFI[Plastic Bucket])</f>
        <v>#REF!</v>
      </c>
      <c r="AK398" s="532" t="e">
        <f>IF(NFI_Expiration=1,IF(#REF!&lt;VLOOKUP(T$5,NFI,5,0),1,0)*Table_NFI[[#This Row],[Plastic Mat]],Table_NFI[Plastic Mat])*IF(Table_NFI[[#This Row],[Distribution Date]]&gt;"2014-04-01",1,2.5)</f>
        <v>#REF!</v>
      </c>
      <c r="AL398" s="532" t="e">
        <f>IF(NFI_Expiration=1,IF(#REF!&lt;VLOOKUP(U$5,NFI,5,0),1,0)*Table_NFI[[#This Row],[Winter Clothes Adult]],Table_NFI[Winter Clothes Adult])</f>
        <v>#REF!</v>
      </c>
      <c r="AM398" s="532"/>
      <c r="AN398" s="532"/>
      <c r="AO398" s="532"/>
      <c r="AP398" s="532">
        <f>IF(Table_NFI[[#This Row],[Winter Clothes Adult]]+Table_NFI[[#This Row],[Winter Clothes Children]]+Table_NFI[[#This Row],[Winter Items Other]]+Table_NFI[[#This Row],[Winter Blanket]]&gt;0,1,0)</f>
        <v>0</v>
      </c>
      <c r="AQ398" s="532"/>
      <c r="AR398" s="532"/>
      <c r="AS398" s="532"/>
      <c r="AT398" s="532"/>
      <c r="AU398" s="532"/>
      <c r="AV398" s="532"/>
      <c r="AW398" s="532"/>
      <c r="AX398" s="203" t="str">
        <f>IFERROR(VLOOKUP(Table_NFI[[#This Row],[Location]],CL,2,0),"")</f>
        <v/>
      </c>
      <c r="AZ398" s="524"/>
      <c r="DS398" s="181"/>
      <c r="DT398" s="181"/>
    </row>
    <row r="399" spans="2:124" hidden="1" x14ac:dyDescent="0.3">
      <c r="B399" s="530">
        <v>43347</v>
      </c>
      <c r="C399" s="530" t="str">
        <f>MONTH(Table_NFI[[#This Row],[Distribution Date]]) &amp; "/" &amp; YEAR(Table_NFI[[#This Row],[Distribution Date]])</f>
        <v>9/2018</v>
      </c>
      <c r="D399" s="196" t="s">
        <v>1560</v>
      </c>
      <c r="E399" s="196" t="s">
        <v>1732</v>
      </c>
      <c r="F399" s="196" t="s">
        <v>506</v>
      </c>
      <c r="G399" s="196" t="s">
        <v>146</v>
      </c>
      <c r="H399" s="175" t="s">
        <v>368</v>
      </c>
      <c r="I399" s="181"/>
      <c r="J399" s="531"/>
      <c r="K399" s="531">
        <v>1</v>
      </c>
      <c r="L399" s="531"/>
      <c r="M399" s="531"/>
      <c r="N399" s="531"/>
      <c r="O399" s="531"/>
      <c r="P399" s="531"/>
      <c r="Q399" s="531"/>
      <c r="R399" s="531"/>
      <c r="S399" s="531"/>
      <c r="T399" s="531"/>
      <c r="U399" s="531"/>
      <c r="V399" s="531"/>
      <c r="W399" s="531"/>
      <c r="X399" s="531"/>
      <c r="Y399" s="531"/>
      <c r="Z399" s="531"/>
      <c r="AA399" s="531"/>
      <c r="AB399" s="531"/>
      <c r="AC399" s="532" t="e">
        <f>IF(NFI_Expiration=1,IF(#REF!&lt;VLOOKUP(L$5,NFI,5,0),1,0)*Table_NFI[[#This Row],[NFI Core Kit]],Table_NFI[NFI Core Kit])</f>
        <v>#REF!</v>
      </c>
      <c r="AD399" s="532" t="e">
        <f>IF(NFI_Expiration=1,IF(#REF!&lt;VLOOKUP(M$5,NFI,5,0),1,0)*Table_NFI[[#This Row],[Sanitary Kit]],Table_NFI[Sanitary Kit])</f>
        <v>#REF!</v>
      </c>
      <c r="AE399" s="532" t="e">
        <f>IF(NFI_Expiration=1,IF(#REF!&lt;VLOOKUP(N$5,NFI,5,0),1,0)*Table_NFI[[#This Row],[Mosquito net]],Table_NFI[Mosquito net])</f>
        <v>#REF!</v>
      </c>
      <c r="AF399" s="532" t="e">
        <f>IF(NFI_Expiration=1,IF(#REF!&lt;VLOOKUP(O$5,NFI,5,0),1,0)*Table_NFI[[#This Row],[Tarpaulin]],Table_NFI[[#This Row],[Tarpaulin]])</f>
        <v>#REF!</v>
      </c>
      <c r="AG399" s="532" t="e">
        <f>IF(NFI_Expiration=1,IF(#REF!&lt;VLOOKUP(P$5,NFI,5,0),1,0)*Table_NFI[[#This Row],[Blanket]],Table_NFI[[#This Row],[Blanket]])</f>
        <v>#REF!</v>
      </c>
      <c r="AH399" s="532" t="e">
        <f>IF(NFI_Expiration=1,IF(#REF!&lt;VLOOKUP(Q$5,NFI,5,0),1,0)*Table_NFI[[#This Row],[Kitchen Set]],Table_NFI[Kitchen Set])</f>
        <v>#REF!</v>
      </c>
      <c r="AI399" s="532" t="e">
        <f>IF(NFI_Expiration=1,IF(#REF!&lt;VLOOKUP(R$5,NFI,5,0),1,0)*Table_NFI[[#This Row],[Clothes Kit]],Table_NFI[Clothes Kit])</f>
        <v>#REF!</v>
      </c>
      <c r="AJ399" s="532" t="e">
        <f>IF(NFI_Expiration=1,IF(#REF!&lt;VLOOKUP(S$5,NFI,5,0),1,0)*Table_NFI[[#This Row],[Plastic Bucket]],Table_NFI[Plastic Bucket])</f>
        <v>#REF!</v>
      </c>
      <c r="AK399" s="532" t="e">
        <f>IF(NFI_Expiration=1,IF(#REF!&lt;VLOOKUP(T$5,NFI,5,0),1,0)*Table_NFI[[#This Row],[Plastic Mat]],Table_NFI[Plastic Mat])*IF(Table_NFI[[#This Row],[Distribution Date]]&gt;"2014-04-01",1,2.5)</f>
        <v>#REF!</v>
      </c>
      <c r="AL399" s="532" t="e">
        <f>IF(NFI_Expiration=1,IF(#REF!&lt;VLOOKUP(U$5,NFI,5,0),1,0)*Table_NFI[[#This Row],[Winter Clothes Adult]],Table_NFI[Winter Clothes Adult])</f>
        <v>#REF!</v>
      </c>
      <c r="AM399" s="532"/>
      <c r="AN399" s="532"/>
      <c r="AO399" s="532"/>
      <c r="AP399" s="532">
        <f>IF(Table_NFI[[#This Row],[Winter Clothes Adult]]+Table_NFI[[#This Row],[Winter Clothes Children]]+Table_NFI[[#This Row],[Winter Items Other]]+Table_NFI[[#This Row],[Winter Blanket]]&gt;0,1,0)</f>
        <v>0</v>
      </c>
      <c r="AQ399" s="532"/>
      <c r="AR399" s="532"/>
      <c r="AS399" s="532"/>
      <c r="AT399" s="532"/>
      <c r="AU399" s="532"/>
      <c r="AV399" s="532"/>
      <c r="AW399" s="532"/>
      <c r="AX399" s="203" t="str">
        <f>IFERROR(VLOOKUP(Table_NFI[[#This Row],[Location]],CL,2,0),"")</f>
        <v>MMR015CMP017</v>
      </c>
      <c r="AZ399" s="524"/>
      <c r="DS399" s="181"/>
      <c r="DT399" s="181"/>
    </row>
    <row r="400" spans="2:124" hidden="1" x14ac:dyDescent="0.3">
      <c r="B400" s="530">
        <v>43324</v>
      </c>
      <c r="C400" s="530" t="str">
        <f>MONTH(Table_NFI[[#This Row],[Distribution Date]]) &amp; "/" &amp; YEAR(Table_NFI[[#This Row],[Distribution Date]])</f>
        <v>8/2018</v>
      </c>
      <c r="D400" s="196" t="s">
        <v>1560</v>
      </c>
      <c r="E400" s="196" t="s">
        <v>1560</v>
      </c>
      <c r="F400" s="196" t="s">
        <v>506</v>
      </c>
      <c r="G400" s="196" t="s">
        <v>297</v>
      </c>
      <c r="H400" s="175" t="s">
        <v>1734</v>
      </c>
      <c r="I400" s="181"/>
      <c r="J400" s="531"/>
      <c r="K400" s="531">
        <v>45</v>
      </c>
      <c r="L400" s="531">
        <v>47</v>
      </c>
      <c r="M400" s="531"/>
      <c r="N400" s="531"/>
      <c r="O400" s="531"/>
      <c r="P400" s="531"/>
      <c r="Q400" s="531"/>
      <c r="R400" s="531"/>
      <c r="S400" s="531"/>
      <c r="T400" s="531"/>
      <c r="U400" s="531"/>
      <c r="V400" s="531"/>
      <c r="W400" s="531"/>
      <c r="X400" s="531"/>
      <c r="Y400" s="531"/>
      <c r="Z400" s="531"/>
      <c r="AA400" s="531"/>
      <c r="AB400" s="531"/>
      <c r="AC400" s="532" t="e">
        <f>IF(NFI_Expiration=1,IF(#REF!&lt;VLOOKUP(L$5,NFI,5,0),1,0)*Table_NFI[[#This Row],[NFI Core Kit]],Table_NFI[NFI Core Kit])</f>
        <v>#REF!</v>
      </c>
      <c r="AD400" s="532" t="e">
        <f>IF(NFI_Expiration=1,IF(#REF!&lt;VLOOKUP(M$5,NFI,5,0),1,0)*Table_NFI[[#This Row],[Sanitary Kit]],Table_NFI[Sanitary Kit])</f>
        <v>#REF!</v>
      </c>
      <c r="AE400" s="532" t="e">
        <f>IF(NFI_Expiration=1,IF(#REF!&lt;VLOOKUP(N$5,NFI,5,0),1,0)*Table_NFI[[#This Row],[Mosquito net]],Table_NFI[Mosquito net])</f>
        <v>#REF!</v>
      </c>
      <c r="AF400" s="532" t="e">
        <f>IF(NFI_Expiration=1,IF(#REF!&lt;VLOOKUP(O$5,NFI,5,0),1,0)*Table_NFI[[#This Row],[Tarpaulin]],Table_NFI[[#This Row],[Tarpaulin]])</f>
        <v>#REF!</v>
      </c>
      <c r="AG400" s="532" t="e">
        <f>IF(NFI_Expiration=1,IF(#REF!&lt;VLOOKUP(P$5,NFI,5,0),1,0)*Table_NFI[[#This Row],[Blanket]],Table_NFI[[#This Row],[Blanket]])</f>
        <v>#REF!</v>
      </c>
      <c r="AH400" s="532" t="e">
        <f>IF(NFI_Expiration=1,IF(#REF!&lt;VLOOKUP(Q$5,NFI,5,0),1,0)*Table_NFI[[#This Row],[Kitchen Set]],Table_NFI[Kitchen Set])</f>
        <v>#REF!</v>
      </c>
      <c r="AI400" s="532" t="e">
        <f>IF(NFI_Expiration=1,IF(#REF!&lt;VLOOKUP(R$5,NFI,5,0),1,0)*Table_NFI[[#This Row],[Clothes Kit]],Table_NFI[Clothes Kit])</f>
        <v>#REF!</v>
      </c>
      <c r="AJ400" s="532" t="e">
        <f>IF(NFI_Expiration=1,IF(#REF!&lt;VLOOKUP(S$5,NFI,5,0),1,0)*Table_NFI[[#This Row],[Plastic Bucket]],Table_NFI[Plastic Bucket])</f>
        <v>#REF!</v>
      </c>
      <c r="AK400" s="532" t="e">
        <f>IF(NFI_Expiration=1,IF(#REF!&lt;VLOOKUP(T$5,NFI,5,0),1,0)*Table_NFI[[#This Row],[Plastic Mat]],Table_NFI[Plastic Mat])*IF(Table_NFI[[#This Row],[Distribution Date]]&gt;"2014-04-01",1,2.5)</f>
        <v>#REF!</v>
      </c>
      <c r="AL400" s="532" t="e">
        <f>IF(NFI_Expiration=1,IF(#REF!&lt;VLOOKUP(U$5,NFI,5,0),1,0)*Table_NFI[[#This Row],[Winter Clothes Adult]],Table_NFI[Winter Clothes Adult])</f>
        <v>#REF!</v>
      </c>
      <c r="AM400" s="532"/>
      <c r="AN400" s="532"/>
      <c r="AO400" s="532"/>
      <c r="AP400" s="532">
        <f>IF(Table_NFI[[#This Row],[Winter Clothes Adult]]+Table_NFI[[#This Row],[Winter Clothes Children]]+Table_NFI[[#This Row],[Winter Items Other]]+Table_NFI[[#This Row],[Winter Blanket]]&gt;0,1,0)</f>
        <v>0</v>
      </c>
      <c r="AQ400" s="532"/>
      <c r="AR400" s="532"/>
      <c r="AS400" s="532"/>
      <c r="AT400" s="532"/>
      <c r="AU400" s="532"/>
      <c r="AV400" s="532"/>
      <c r="AW400" s="532"/>
      <c r="AX400" s="203" t="str">
        <f>IFERROR(VLOOKUP(Table_NFI[[#This Row],[Location]],CL,2,0),"")</f>
        <v/>
      </c>
      <c r="AZ400" s="524"/>
      <c r="DS400" s="181"/>
      <c r="DT400" s="181"/>
    </row>
    <row r="401" spans="2:124" hidden="1" x14ac:dyDescent="0.3">
      <c r="B401" s="530">
        <v>43368</v>
      </c>
      <c r="C401" s="530" t="str">
        <f>MONTH(Table_NFI[[#This Row],[Distribution Date]]) &amp; "/" &amp; YEAR(Table_NFI[[#This Row],[Distribution Date]])</f>
        <v>9/2018</v>
      </c>
      <c r="D401" s="196" t="s">
        <v>1560</v>
      </c>
      <c r="E401" s="196" t="s">
        <v>1560</v>
      </c>
      <c r="F401" s="196" t="s">
        <v>506</v>
      </c>
      <c r="G401" s="196" t="s">
        <v>1743</v>
      </c>
      <c r="H401" s="175" t="s">
        <v>1744</v>
      </c>
      <c r="I401" s="181"/>
      <c r="J401" s="531"/>
      <c r="K401" s="531"/>
      <c r="L401" s="531">
        <v>209</v>
      </c>
      <c r="M401" s="531"/>
      <c r="N401" s="531"/>
      <c r="O401" s="531"/>
      <c r="P401" s="531"/>
      <c r="Q401" s="531"/>
      <c r="R401" s="531"/>
      <c r="S401" s="531"/>
      <c r="T401" s="531"/>
      <c r="U401" s="531"/>
      <c r="V401" s="531"/>
      <c r="W401" s="531"/>
      <c r="X401" s="531"/>
      <c r="Y401" s="531"/>
      <c r="Z401" s="531"/>
      <c r="AA401" s="531"/>
      <c r="AB401" s="531"/>
      <c r="AC401" s="532" t="e">
        <f>IF(NFI_Expiration=1,IF(#REF!&lt;VLOOKUP(L$5,NFI,5,0),1,0)*Table_NFI[[#This Row],[NFI Core Kit]],Table_NFI[NFI Core Kit])</f>
        <v>#REF!</v>
      </c>
      <c r="AD401" s="532" t="e">
        <f>IF(NFI_Expiration=1,IF(#REF!&lt;VLOOKUP(M$5,NFI,5,0),1,0)*Table_NFI[[#This Row],[Sanitary Kit]],Table_NFI[Sanitary Kit])</f>
        <v>#REF!</v>
      </c>
      <c r="AE401" s="532" t="e">
        <f>IF(NFI_Expiration=1,IF(#REF!&lt;VLOOKUP(N$5,NFI,5,0),1,0)*Table_NFI[[#This Row],[Mosquito net]],Table_NFI[Mosquito net])</f>
        <v>#REF!</v>
      </c>
      <c r="AF401" s="532" t="e">
        <f>IF(NFI_Expiration=1,IF(#REF!&lt;VLOOKUP(O$5,NFI,5,0),1,0)*Table_NFI[[#This Row],[Tarpaulin]],Table_NFI[[#This Row],[Tarpaulin]])</f>
        <v>#REF!</v>
      </c>
      <c r="AG401" s="532" t="e">
        <f>IF(NFI_Expiration=1,IF(#REF!&lt;VLOOKUP(P$5,NFI,5,0),1,0)*Table_NFI[[#This Row],[Blanket]],Table_NFI[[#This Row],[Blanket]])</f>
        <v>#REF!</v>
      </c>
      <c r="AH401" s="532" t="e">
        <f>IF(NFI_Expiration=1,IF(#REF!&lt;VLOOKUP(Q$5,NFI,5,0),1,0)*Table_NFI[[#This Row],[Kitchen Set]],Table_NFI[Kitchen Set])</f>
        <v>#REF!</v>
      </c>
      <c r="AI401" s="532" t="e">
        <f>IF(NFI_Expiration=1,IF(#REF!&lt;VLOOKUP(R$5,NFI,5,0),1,0)*Table_NFI[[#This Row],[Clothes Kit]],Table_NFI[Clothes Kit])</f>
        <v>#REF!</v>
      </c>
      <c r="AJ401" s="532" t="e">
        <f>IF(NFI_Expiration=1,IF(#REF!&lt;VLOOKUP(S$5,NFI,5,0),1,0)*Table_NFI[[#This Row],[Plastic Bucket]],Table_NFI[Plastic Bucket])</f>
        <v>#REF!</v>
      </c>
      <c r="AK401" s="532" t="e">
        <f>IF(NFI_Expiration=1,IF(#REF!&lt;VLOOKUP(T$5,NFI,5,0),1,0)*Table_NFI[[#This Row],[Plastic Mat]],Table_NFI[Plastic Mat])*IF(Table_NFI[[#This Row],[Distribution Date]]&gt;"2014-04-01",1,2.5)</f>
        <v>#REF!</v>
      </c>
      <c r="AL401" s="532" t="e">
        <f>IF(NFI_Expiration=1,IF(#REF!&lt;VLOOKUP(U$5,NFI,5,0),1,0)*Table_NFI[[#This Row],[Winter Clothes Adult]],Table_NFI[Winter Clothes Adult])</f>
        <v>#REF!</v>
      </c>
      <c r="AM401" s="532"/>
      <c r="AN401" s="532"/>
      <c r="AO401" s="532"/>
      <c r="AP401" s="532">
        <f>IF(Table_NFI[[#This Row],[Winter Clothes Adult]]+Table_NFI[[#This Row],[Winter Clothes Children]]+Table_NFI[[#This Row],[Winter Items Other]]+Table_NFI[[#This Row],[Winter Blanket]]&gt;0,1,0)</f>
        <v>0</v>
      </c>
      <c r="AQ401" s="532"/>
      <c r="AR401" s="532"/>
      <c r="AS401" s="532"/>
      <c r="AT401" s="532"/>
      <c r="AU401" s="532"/>
      <c r="AV401" s="532"/>
      <c r="AW401" s="532"/>
      <c r="AX401" s="203" t="str">
        <f>IFERROR(VLOOKUP(Table_NFI[[#This Row],[Location]],CL,2,0),"")</f>
        <v/>
      </c>
      <c r="AZ401" s="524"/>
      <c r="DS401" s="181"/>
      <c r="DT401" s="181"/>
    </row>
    <row r="402" spans="2:124" hidden="1" x14ac:dyDescent="0.3">
      <c r="B402" s="530">
        <v>43404</v>
      </c>
      <c r="C402" s="530" t="str">
        <f>MONTH(Table_NFI[[#This Row],[Distribution Date]]) &amp; "/" &amp; YEAR(Table_NFI[[#This Row],[Distribution Date]])</f>
        <v>10/2018</v>
      </c>
      <c r="D402" s="196" t="s">
        <v>1560</v>
      </c>
      <c r="E402" s="196" t="s">
        <v>1560</v>
      </c>
      <c r="F402" s="196" t="s">
        <v>506</v>
      </c>
      <c r="G402" s="196" t="s">
        <v>1743</v>
      </c>
      <c r="H402" s="175" t="s">
        <v>1745</v>
      </c>
      <c r="I402" s="181"/>
      <c r="J402" s="531"/>
      <c r="K402" s="531"/>
      <c r="L402" s="531">
        <v>30</v>
      </c>
      <c r="M402" s="531"/>
      <c r="N402" s="531"/>
      <c r="O402" s="531"/>
      <c r="P402" s="531"/>
      <c r="Q402" s="531"/>
      <c r="R402" s="531"/>
      <c r="S402" s="531"/>
      <c r="T402" s="531"/>
      <c r="U402" s="531"/>
      <c r="V402" s="531"/>
      <c r="W402" s="531"/>
      <c r="X402" s="531"/>
      <c r="Y402" s="531"/>
      <c r="Z402" s="531"/>
      <c r="AA402" s="531"/>
      <c r="AB402" s="531"/>
      <c r="AC402" s="532" t="e">
        <f>IF(NFI_Expiration=1,IF(#REF!&lt;VLOOKUP(L$5,NFI,5,0),1,0)*Table_NFI[[#This Row],[NFI Core Kit]],Table_NFI[NFI Core Kit])</f>
        <v>#REF!</v>
      </c>
      <c r="AD402" s="532" t="e">
        <f>IF(NFI_Expiration=1,IF(#REF!&lt;VLOOKUP(M$5,NFI,5,0),1,0)*Table_NFI[[#This Row],[Sanitary Kit]],Table_NFI[Sanitary Kit])</f>
        <v>#REF!</v>
      </c>
      <c r="AE402" s="532" t="e">
        <f>IF(NFI_Expiration=1,IF(#REF!&lt;VLOOKUP(N$5,NFI,5,0),1,0)*Table_NFI[[#This Row],[Mosquito net]],Table_NFI[Mosquito net])</f>
        <v>#REF!</v>
      </c>
      <c r="AF402" s="532" t="e">
        <f>IF(NFI_Expiration=1,IF(#REF!&lt;VLOOKUP(O$5,NFI,5,0),1,0)*Table_NFI[[#This Row],[Tarpaulin]],Table_NFI[[#This Row],[Tarpaulin]])</f>
        <v>#REF!</v>
      </c>
      <c r="AG402" s="532" t="e">
        <f>IF(NFI_Expiration=1,IF(#REF!&lt;VLOOKUP(P$5,NFI,5,0),1,0)*Table_NFI[[#This Row],[Blanket]],Table_NFI[[#This Row],[Blanket]])</f>
        <v>#REF!</v>
      </c>
      <c r="AH402" s="532" t="e">
        <f>IF(NFI_Expiration=1,IF(#REF!&lt;VLOOKUP(Q$5,NFI,5,0),1,0)*Table_NFI[[#This Row],[Kitchen Set]],Table_NFI[Kitchen Set])</f>
        <v>#REF!</v>
      </c>
      <c r="AI402" s="532" t="e">
        <f>IF(NFI_Expiration=1,IF(#REF!&lt;VLOOKUP(R$5,NFI,5,0),1,0)*Table_NFI[[#This Row],[Clothes Kit]],Table_NFI[Clothes Kit])</f>
        <v>#REF!</v>
      </c>
      <c r="AJ402" s="532" t="e">
        <f>IF(NFI_Expiration=1,IF(#REF!&lt;VLOOKUP(S$5,NFI,5,0),1,0)*Table_NFI[[#This Row],[Plastic Bucket]],Table_NFI[Plastic Bucket])</f>
        <v>#REF!</v>
      </c>
      <c r="AK402" s="532" t="e">
        <f>IF(NFI_Expiration=1,IF(#REF!&lt;VLOOKUP(T$5,NFI,5,0),1,0)*Table_NFI[[#This Row],[Plastic Mat]],Table_NFI[Plastic Mat])*IF(Table_NFI[[#This Row],[Distribution Date]]&gt;"2014-04-01",1,2.5)</f>
        <v>#REF!</v>
      </c>
      <c r="AL402" s="532" t="e">
        <f>IF(NFI_Expiration=1,IF(#REF!&lt;VLOOKUP(U$5,NFI,5,0),1,0)*Table_NFI[[#This Row],[Winter Clothes Adult]],Table_NFI[Winter Clothes Adult])</f>
        <v>#REF!</v>
      </c>
      <c r="AM402" s="532"/>
      <c r="AN402" s="532"/>
      <c r="AO402" s="532"/>
      <c r="AP402" s="532">
        <f>IF(Table_NFI[[#This Row],[Winter Clothes Adult]]+Table_NFI[[#This Row],[Winter Clothes Children]]+Table_NFI[[#This Row],[Winter Items Other]]+Table_NFI[[#This Row],[Winter Blanket]]&gt;0,1,0)</f>
        <v>0</v>
      </c>
      <c r="AQ402" s="532"/>
      <c r="AR402" s="532"/>
      <c r="AS402" s="532"/>
      <c r="AT402" s="532"/>
      <c r="AU402" s="532"/>
      <c r="AV402" s="532"/>
      <c r="AW402" s="532"/>
      <c r="AX402" s="203" t="str">
        <f>IFERROR(VLOOKUP(Table_NFI[[#This Row],[Location]],CL,2,0),"")</f>
        <v/>
      </c>
      <c r="AZ402" s="524"/>
      <c r="DS402" s="181"/>
      <c r="DT402" s="181"/>
    </row>
    <row r="403" spans="2:124" hidden="1" x14ac:dyDescent="0.3">
      <c r="B403" s="530">
        <v>43403</v>
      </c>
      <c r="C403" s="530" t="str">
        <f>MONTH(Table_NFI[[#This Row],[Distribution Date]]) &amp; "/" &amp; YEAR(Table_NFI[[#This Row],[Distribution Date]])</f>
        <v>10/2018</v>
      </c>
      <c r="D403" s="196" t="s">
        <v>1560</v>
      </c>
      <c r="E403" s="196" t="s">
        <v>1560</v>
      </c>
      <c r="F403" s="196" t="s">
        <v>378</v>
      </c>
      <c r="G403" s="196" t="s">
        <v>151</v>
      </c>
      <c r="H403" s="175" t="s">
        <v>154</v>
      </c>
      <c r="I403" s="181"/>
      <c r="J403" s="531"/>
      <c r="K403" s="531"/>
      <c r="L403" s="531"/>
      <c r="M403" s="531"/>
      <c r="N403" s="531"/>
      <c r="O403" s="531"/>
      <c r="P403" s="531"/>
      <c r="Q403" s="531"/>
      <c r="R403" s="531"/>
      <c r="S403" s="531"/>
      <c r="T403" s="531"/>
      <c r="U403" s="531"/>
      <c r="V403" s="531"/>
      <c r="W403" s="531"/>
      <c r="X403" s="531"/>
      <c r="Y403" s="531"/>
      <c r="Z403" s="531">
        <v>121</v>
      </c>
      <c r="AA403" s="531"/>
      <c r="AB403" s="531"/>
      <c r="AC403" s="532" t="e">
        <f>IF(NFI_Expiration=1,IF(#REF!&lt;VLOOKUP(L$5,NFI,5,0),1,0)*Table_NFI[[#This Row],[NFI Core Kit]],Table_NFI[NFI Core Kit])</f>
        <v>#REF!</v>
      </c>
      <c r="AD403" s="532" t="e">
        <f>IF(NFI_Expiration=1,IF(#REF!&lt;VLOOKUP(M$5,NFI,5,0),1,0)*Table_NFI[[#This Row],[Sanitary Kit]],Table_NFI[Sanitary Kit])</f>
        <v>#REF!</v>
      </c>
      <c r="AE403" s="532" t="e">
        <f>IF(NFI_Expiration=1,IF(#REF!&lt;VLOOKUP(N$5,NFI,5,0),1,0)*Table_NFI[[#This Row],[Mosquito net]],Table_NFI[Mosquito net])</f>
        <v>#REF!</v>
      </c>
      <c r="AF403" s="532" t="e">
        <f>IF(NFI_Expiration=1,IF(#REF!&lt;VLOOKUP(O$5,NFI,5,0),1,0)*Table_NFI[[#This Row],[Tarpaulin]],Table_NFI[[#This Row],[Tarpaulin]])</f>
        <v>#REF!</v>
      </c>
      <c r="AG403" s="532" t="e">
        <f>IF(NFI_Expiration=1,IF(#REF!&lt;VLOOKUP(P$5,NFI,5,0),1,0)*Table_NFI[[#This Row],[Blanket]],Table_NFI[[#This Row],[Blanket]])</f>
        <v>#REF!</v>
      </c>
      <c r="AH403" s="532" t="e">
        <f>IF(NFI_Expiration=1,IF(#REF!&lt;VLOOKUP(Q$5,NFI,5,0),1,0)*Table_NFI[[#This Row],[Kitchen Set]],Table_NFI[Kitchen Set])</f>
        <v>#REF!</v>
      </c>
      <c r="AI403" s="532" t="e">
        <f>IF(NFI_Expiration=1,IF(#REF!&lt;VLOOKUP(R$5,NFI,5,0),1,0)*Table_NFI[[#This Row],[Clothes Kit]],Table_NFI[Clothes Kit])</f>
        <v>#REF!</v>
      </c>
      <c r="AJ403" s="532" t="e">
        <f>IF(NFI_Expiration=1,IF(#REF!&lt;VLOOKUP(S$5,NFI,5,0),1,0)*Table_NFI[[#This Row],[Plastic Bucket]],Table_NFI[Plastic Bucket])</f>
        <v>#REF!</v>
      </c>
      <c r="AK403" s="532" t="e">
        <f>IF(NFI_Expiration=1,IF(#REF!&lt;VLOOKUP(T$5,NFI,5,0),1,0)*Table_NFI[[#This Row],[Plastic Mat]],Table_NFI[Plastic Mat])*IF(Table_NFI[[#This Row],[Distribution Date]]&gt;"2014-04-01",1,2.5)</f>
        <v>#REF!</v>
      </c>
      <c r="AL403" s="532" t="e">
        <f>IF(NFI_Expiration=1,IF(#REF!&lt;VLOOKUP(U$5,NFI,5,0),1,0)*Table_NFI[[#This Row],[Winter Clothes Adult]],Table_NFI[Winter Clothes Adult])</f>
        <v>#REF!</v>
      </c>
      <c r="AM403" s="532"/>
      <c r="AN403" s="532"/>
      <c r="AO403" s="532"/>
      <c r="AP403" s="532">
        <f>IF(Table_NFI[[#This Row],[Winter Clothes Adult]]+Table_NFI[[#This Row],[Winter Clothes Children]]+Table_NFI[[#This Row],[Winter Items Other]]+Table_NFI[[#This Row],[Winter Blanket]]&gt;0,1,0)</f>
        <v>0</v>
      </c>
      <c r="AQ403" s="532"/>
      <c r="AR403" s="532"/>
      <c r="AS403" s="532"/>
      <c r="AT403" s="532"/>
      <c r="AU403" s="532"/>
      <c r="AV403" s="532"/>
      <c r="AW403" s="532"/>
      <c r="AX403" s="203" t="str">
        <f>IFERROR(VLOOKUP(Table_NFI[[#This Row],[Location]],CL,2,0),"")</f>
        <v>MMR001CMP132</v>
      </c>
      <c r="AZ403" s="524"/>
      <c r="DS403" s="181"/>
      <c r="DT403" s="181"/>
    </row>
    <row r="404" spans="2:124" hidden="1" x14ac:dyDescent="0.3">
      <c r="B404" s="530">
        <v>43325</v>
      </c>
      <c r="C404" s="530" t="str">
        <f>MONTH(Table_NFI[[#This Row],[Distribution Date]]) &amp; "/" &amp; YEAR(Table_NFI[[#This Row],[Distribution Date]])</f>
        <v>8/2018</v>
      </c>
      <c r="D404" s="196" t="s">
        <v>1560</v>
      </c>
      <c r="E404" s="196" t="s">
        <v>1732</v>
      </c>
      <c r="F404" s="196" t="s">
        <v>378</v>
      </c>
      <c r="G404" s="196" t="s">
        <v>151</v>
      </c>
      <c r="H404" s="175" t="s">
        <v>909</v>
      </c>
      <c r="I404" s="181"/>
      <c r="J404" s="531"/>
      <c r="K404" s="531"/>
      <c r="L404" s="531"/>
      <c r="M404" s="531"/>
      <c r="N404" s="531"/>
      <c r="O404" s="531"/>
      <c r="P404" s="531"/>
      <c r="Q404" s="531"/>
      <c r="R404" s="531"/>
      <c r="S404" s="531"/>
      <c r="T404" s="531"/>
      <c r="U404" s="531"/>
      <c r="V404" s="531"/>
      <c r="W404" s="531"/>
      <c r="X404" s="531"/>
      <c r="Y404" s="531"/>
      <c r="Z404" s="531">
        <v>30</v>
      </c>
      <c r="AA404" s="531"/>
      <c r="AB404" s="531"/>
      <c r="AC404" s="532" t="e">
        <f>IF(NFI_Expiration=1,IF(#REF!&lt;VLOOKUP(L$5,NFI,5,0),1,0)*Table_NFI[[#This Row],[NFI Core Kit]],Table_NFI[NFI Core Kit])</f>
        <v>#REF!</v>
      </c>
      <c r="AD404" s="532" t="e">
        <f>IF(NFI_Expiration=1,IF(#REF!&lt;VLOOKUP(M$5,NFI,5,0),1,0)*Table_NFI[[#This Row],[Sanitary Kit]],Table_NFI[Sanitary Kit])</f>
        <v>#REF!</v>
      </c>
      <c r="AE404" s="532" t="e">
        <f>IF(NFI_Expiration=1,IF(#REF!&lt;VLOOKUP(N$5,NFI,5,0),1,0)*Table_NFI[[#This Row],[Mosquito net]],Table_NFI[Mosquito net])</f>
        <v>#REF!</v>
      </c>
      <c r="AF404" s="532" t="e">
        <f>IF(NFI_Expiration=1,IF(#REF!&lt;VLOOKUP(O$5,NFI,5,0),1,0)*Table_NFI[[#This Row],[Tarpaulin]],Table_NFI[[#This Row],[Tarpaulin]])</f>
        <v>#REF!</v>
      </c>
      <c r="AG404" s="532" t="e">
        <f>IF(NFI_Expiration=1,IF(#REF!&lt;VLOOKUP(P$5,NFI,5,0),1,0)*Table_NFI[[#This Row],[Blanket]],Table_NFI[[#This Row],[Blanket]])</f>
        <v>#REF!</v>
      </c>
      <c r="AH404" s="532" t="e">
        <f>IF(NFI_Expiration=1,IF(#REF!&lt;VLOOKUP(Q$5,NFI,5,0),1,0)*Table_NFI[[#This Row],[Kitchen Set]],Table_NFI[Kitchen Set])</f>
        <v>#REF!</v>
      </c>
      <c r="AI404" s="532" t="e">
        <f>IF(NFI_Expiration=1,IF(#REF!&lt;VLOOKUP(R$5,NFI,5,0),1,0)*Table_NFI[[#This Row],[Clothes Kit]],Table_NFI[Clothes Kit])</f>
        <v>#REF!</v>
      </c>
      <c r="AJ404" s="532" t="e">
        <f>IF(NFI_Expiration=1,IF(#REF!&lt;VLOOKUP(S$5,NFI,5,0),1,0)*Table_NFI[[#This Row],[Plastic Bucket]],Table_NFI[Plastic Bucket])</f>
        <v>#REF!</v>
      </c>
      <c r="AK404" s="532" t="e">
        <f>IF(NFI_Expiration=1,IF(#REF!&lt;VLOOKUP(T$5,NFI,5,0),1,0)*Table_NFI[[#This Row],[Plastic Mat]],Table_NFI[Plastic Mat])*IF(Table_NFI[[#This Row],[Distribution Date]]&gt;"2014-04-01",1,2.5)</f>
        <v>#REF!</v>
      </c>
      <c r="AL404" s="532" t="e">
        <f>IF(NFI_Expiration=1,IF(#REF!&lt;VLOOKUP(U$5,NFI,5,0),1,0)*Table_NFI[[#This Row],[Winter Clothes Adult]],Table_NFI[Winter Clothes Adult])</f>
        <v>#REF!</v>
      </c>
      <c r="AM404" s="532"/>
      <c r="AN404" s="532"/>
      <c r="AO404" s="532"/>
      <c r="AP404" s="532">
        <f>IF(Table_NFI[[#This Row],[Winter Clothes Adult]]+Table_NFI[[#This Row],[Winter Clothes Children]]+Table_NFI[[#This Row],[Winter Items Other]]+Table_NFI[[#This Row],[Winter Blanket]]&gt;0,1,0)</f>
        <v>0</v>
      </c>
      <c r="AQ404" s="532"/>
      <c r="AR404" s="532"/>
      <c r="AS404" s="532"/>
      <c r="AT404" s="532"/>
      <c r="AU404" s="532"/>
      <c r="AV404" s="532"/>
      <c r="AW404" s="532"/>
      <c r="AX404" s="203" t="str">
        <f>IFERROR(VLOOKUP(Table_NFI[[#This Row],[Location]],CL,2,0),"")</f>
        <v>MMR001CMP228</v>
      </c>
      <c r="AZ404" s="524"/>
      <c r="DS404" s="181"/>
      <c r="DT404" s="181"/>
    </row>
    <row r="405" spans="2:124" hidden="1" x14ac:dyDescent="0.3">
      <c r="B405" s="530">
        <v>43325</v>
      </c>
      <c r="C405" s="530" t="str">
        <f>MONTH(Table_NFI[[#This Row],[Distribution Date]]) &amp; "/" &amp; YEAR(Table_NFI[[#This Row],[Distribution Date]])</f>
        <v>8/2018</v>
      </c>
      <c r="D405" s="196" t="s">
        <v>1560</v>
      </c>
      <c r="E405" s="196" t="s">
        <v>1732</v>
      </c>
      <c r="F405" s="196" t="s">
        <v>506</v>
      </c>
      <c r="G405" s="196" t="s">
        <v>146</v>
      </c>
      <c r="H405" s="175" t="s">
        <v>369</v>
      </c>
      <c r="I405" s="181"/>
      <c r="J405" s="531"/>
      <c r="K405" s="531"/>
      <c r="L405" s="531"/>
      <c r="M405" s="531"/>
      <c r="N405" s="531"/>
      <c r="O405" s="531"/>
      <c r="P405" s="531"/>
      <c r="Q405" s="531"/>
      <c r="R405" s="531"/>
      <c r="S405" s="531"/>
      <c r="T405" s="531"/>
      <c r="U405" s="531"/>
      <c r="V405" s="531"/>
      <c r="W405" s="531"/>
      <c r="X405" s="531"/>
      <c r="Y405" s="531"/>
      <c r="Z405" s="531">
        <v>39</v>
      </c>
      <c r="AA405" s="531"/>
      <c r="AB405" s="531"/>
      <c r="AC405" s="532" t="e">
        <f>IF(NFI_Expiration=1,IF(#REF!&lt;VLOOKUP(L$5,NFI,5,0),1,0)*Table_NFI[[#This Row],[NFI Core Kit]],Table_NFI[NFI Core Kit])</f>
        <v>#REF!</v>
      </c>
      <c r="AD405" s="532" t="e">
        <f>IF(NFI_Expiration=1,IF(#REF!&lt;VLOOKUP(M$5,NFI,5,0),1,0)*Table_NFI[[#This Row],[Sanitary Kit]],Table_NFI[Sanitary Kit])</f>
        <v>#REF!</v>
      </c>
      <c r="AE405" s="532" t="e">
        <f>IF(NFI_Expiration=1,IF(#REF!&lt;VLOOKUP(N$5,NFI,5,0),1,0)*Table_NFI[[#This Row],[Mosquito net]],Table_NFI[Mosquito net])</f>
        <v>#REF!</v>
      </c>
      <c r="AF405" s="532" t="e">
        <f>IF(NFI_Expiration=1,IF(#REF!&lt;VLOOKUP(O$5,NFI,5,0),1,0)*Table_NFI[[#This Row],[Tarpaulin]],Table_NFI[[#This Row],[Tarpaulin]])</f>
        <v>#REF!</v>
      </c>
      <c r="AG405" s="532" t="e">
        <f>IF(NFI_Expiration=1,IF(#REF!&lt;VLOOKUP(P$5,NFI,5,0),1,0)*Table_NFI[[#This Row],[Blanket]],Table_NFI[[#This Row],[Blanket]])</f>
        <v>#REF!</v>
      </c>
      <c r="AH405" s="532" t="e">
        <f>IF(NFI_Expiration=1,IF(#REF!&lt;VLOOKUP(Q$5,NFI,5,0),1,0)*Table_NFI[[#This Row],[Kitchen Set]],Table_NFI[Kitchen Set])</f>
        <v>#REF!</v>
      </c>
      <c r="AI405" s="532" t="e">
        <f>IF(NFI_Expiration=1,IF(#REF!&lt;VLOOKUP(R$5,NFI,5,0),1,0)*Table_NFI[[#This Row],[Clothes Kit]],Table_NFI[Clothes Kit])</f>
        <v>#REF!</v>
      </c>
      <c r="AJ405" s="532" t="e">
        <f>IF(NFI_Expiration=1,IF(#REF!&lt;VLOOKUP(S$5,NFI,5,0),1,0)*Table_NFI[[#This Row],[Plastic Bucket]],Table_NFI[Plastic Bucket])</f>
        <v>#REF!</v>
      </c>
      <c r="AK405" s="532" t="e">
        <f>IF(NFI_Expiration=1,IF(#REF!&lt;VLOOKUP(T$5,NFI,5,0),1,0)*Table_NFI[[#This Row],[Plastic Mat]],Table_NFI[Plastic Mat])*IF(Table_NFI[[#This Row],[Distribution Date]]&gt;"2014-04-01",1,2.5)</f>
        <v>#REF!</v>
      </c>
      <c r="AL405" s="532" t="e">
        <f>IF(NFI_Expiration=1,IF(#REF!&lt;VLOOKUP(U$5,NFI,5,0),1,0)*Table_NFI[[#This Row],[Winter Clothes Adult]],Table_NFI[Winter Clothes Adult])</f>
        <v>#REF!</v>
      </c>
      <c r="AM405" s="532"/>
      <c r="AN405" s="532"/>
      <c r="AO405" s="532"/>
      <c r="AP405" s="532">
        <f>IF(Table_NFI[[#This Row],[Winter Clothes Adult]]+Table_NFI[[#This Row],[Winter Clothes Children]]+Table_NFI[[#This Row],[Winter Items Other]]+Table_NFI[[#This Row],[Winter Blanket]]&gt;0,1,0)</f>
        <v>0</v>
      </c>
      <c r="AQ405" s="532"/>
      <c r="AR405" s="532"/>
      <c r="AS405" s="532"/>
      <c r="AT405" s="532"/>
      <c r="AU405" s="532"/>
      <c r="AV405" s="532"/>
      <c r="AW405" s="532"/>
      <c r="AX405" s="203" t="str">
        <f>IFERROR(VLOOKUP(Table_NFI[[#This Row],[Location]],CL,2,0),"")</f>
        <v>MMR015CMP006</v>
      </c>
      <c r="AZ405" s="524"/>
      <c r="DS405" s="181"/>
      <c r="DT405" s="181"/>
    </row>
    <row r="406" spans="2:124" hidden="1" x14ac:dyDescent="0.3">
      <c r="B406" s="530">
        <v>43327</v>
      </c>
      <c r="C406" s="530" t="str">
        <f>MONTH(Table_NFI[[#This Row],[Distribution Date]]) &amp; "/" &amp; YEAR(Table_NFI[[#This Row],[Distribution Date]])</f>
        <v>8/2018</v>
      </c>
      <c r="D406" s="196" t="s">
        <v>1560</v>
      </c>
      <c r="E406" s="196" t="s">
        <v>1560</v>
      </c>
      <c r="F406" s="196" t="s">
        <v>506</v>
      </c>
      <c r="G406" s="196" t="s">
        <v>146</v>
      </c>
      <c r="H406" s="175" t="s">
        <v>371</v>
      </c>
      <c r="I406" s="181"/>
      <c r="J406" s="531"/>
      <c r="K406" s="531"/>
      <c r="L406" s="531"/>
      <c r="M406" s="531"/>
      <c r="N406" s="531"/>
      <c r="O406" s="531"/>
      <c r="P406" s="531"/>
      <c r="Q406" s="531"/>
      <c r="R406" s="531"/>
      <c r="S406" s="531"/>
      <c r="T406" s="531"/>
      <c r="U406" s="531"/>
      <c r="V406" s="531"/>
      <c r="W406" s="531"/>
      <c r="X406" s="531"/>
      <c r="Y406" s="531"/>
      <c r="Z406" s="531">
        <v>73</v>
      </c>
      <c r="AA406" s="531"/>
      <c r="AB406" s="531"/>
      <c r="AC406" s="532" t="e">
        <f>IF(NFI_Expiration=1,IF(#REF!&lt;VLOOKUP(L$5,NFI,5,0),1,0)*Table_NFI[[#This Row],[NFI Core Kit]],Table_NFI[NFI Core Kit])</f>
        <v>#REF!</v>
      </c>
      <c r="AD406" s="532" t="e">
        <f>IF(NFI_Expiration=1,IF(#REF!&lt;VLOOKUP(M$5,NFI,5,0),1,0)*Table_NFI[[#This Row],[Sanitary Kit]],Table_NFI[Sanitary Kit])</f>
        <v>#REF!</v>
      </c>
      <c r="AE406" s="532" t="e">
        <f>IF(NFI_Expiration=1,IF(#REF!&lt;VLOOKUP(N$5,NFI,5,0),1,0)*Table_NFI[[#This Row],[Mosquito net]],Table_NFI[Mosquito net])</f>
        <v>#REF!</v>
      </c>
      <c r="AF406" s="532" t="e">
        <f>IF(NFI_Expiration=1,IF(#REF!&lt;VLOOKUP(O$5,NFI,5,0),1,0)*Table_NFI[[#This Row],[Tarpaulin]],Table_NFI[[#This Row],[Tarpaulin]])</f>
        <v>#REF!</v>
      </c>
      <c r="AG406" s="532" t="e">
        <f>IF(NFI_Expiration=1,IF(#REF!&lt;VLOOKUP(P$5,NFI,5,0),1,0)*Table_NFI[[#This Row],[Blanket]],Table_NFI[[#This Row],[Blanket]])</f>
        <v>#REF!</v>
      </c>
      <c r="AH406" s="532" t="e">
        <f>IF(NFI_Expiration=1,IF(#REF!&lt;VLOOKUP(Q$5,NFI,5,0),1,0)*Table_NFI[[#This Row],[Kitchen Set]],Table_NFI[Kitchen Set])</f>
        <v>#REF!</v>
      </c>
      <c r="AI406" s="532" t="e">
        <f>IF(NFI_Expiration=1,IF(#REF!&lt;VLOOKUP(R$5,NFI,5,0),1,0)*Table_NFI[[#This Row],[Clothes Kit]],Table_NFI[Clothes Kit])</f>
        <v>#REF!</v>
      </c>
      <c r="AJ406" s="532" t="e">
        <f>IF(NFI_Expiration=1,IF(#REF!&lt;VLOOKUP(S$5,NFI,5,0),1,0)*Table_NFI[[#This Row],[Plastic Bucket]],Table_NFI[Plastic Bucket])</f>
        <v>#REF!</v>
      </c>
      <c r="AK406" s="532" t="e">
        <f>IF(NFI_Expiration=1,IF(#REF!&lt;VLOOKUP(T$5,NFI,5,0),1,0)*Table_NFI[[#This Row],[Plastic Mat]],Table_NFI[Plastic Mat])*IF(Table_NFI[[#This Row],[Distribution Date]]&gt;"2014-04-01",1,2.5)</f>
        <v>#REF!</v>
      </c>
      <c r="AL406" s="532" t="e">
        <f>IF(NFI_Expiration=1,IF(#REF!&lt;VLOOKUP(U$5,NFI,5,0),1,0)*Table_NFI[[#This Row],[Winter Clothes Adult]],Table_NFI[Winter Clothes Adult])</f>
        <v>#REF!</v>
      </c>
      <c r="AM406" s="532"/>
      <c r="AN406" s="532"/>
      <c r="AO406" s="532"/>
      <c r="AP406" s="532">
        <f>IF(Table_NFI[[#This Row],[Winter Clothes Adult]]+Table_NFI[[#This Row],[Winter Clothes Children]]+Table_NFI[[#This Row],[Winter Items Other]]+Table_NFI[[#This Row],[Winter Blanket]]&gt;0,1,0)</f>
        <v>0</v>
      </c>
      <c r="AQ406" s="532"/>
      <c r="AR406" s="532"/>
      <c r="AS406" s="532"/>
      <c r="AT406" s="532"/>
      <c r="AU406" s="532"/>
      <c r="AV406" s="532"/>
      <c r="AW406" s="532"/>
      <c r="AX406" s="203" t="str">
        <f>IFERROR(VLOOKUP(Table_NFI[[#This Row],[Location]],CL,2,0),"")</f>
        <v>MMR015CMP020</v>
      </c>
      <c r="AZ406" s="524"/>
      <c r="DS406" s="181"/>
      <c r="DT406" s="181"/>
    </row>
    <row r="407" spans="2:124" hidden="1" x14ac:dyDescent="0.3">
      <c r="B407" s="530">
        <v>43369</v>
      </c>
      <c r="C407" s="530" t="str">
        <f>MONTH(Table_NFI[[#This Row],[Distribution Date]]) &amp; "/" &amp; YEAR(Table_NFI[[#This Row],[Distribution Date]])</f>
        <v>9/2018</v>
      </c>
      <c r="D407" s="196" t="s">
        <v>1560</v>
      </c>
      <c r="E407" s="196" t="s">
        <v>1732</v>
      </c>
      <c r="F407" s="196" t="s">
        <v>506</v>
      </c>
      <c r="G407" s="196" t="s">
        <v>146</v>
      </c>
      <c r="H407" s="175" t="s">
        <v>941</v>
      </c>
      <c r="I407" s="181"/>
      <c r="J407" s="531"/>
      <c r="K407" s="531"/>
      <c r="L407" s="531"/>
      <c r="M407" s="531">
        <v>41</v>
      </c>
      <c r="N407" s="531"/>
      <c r="O407" s="531"/>
      <c r="P407" s="531"/>
      <c r="Q407" s="531"/>
      <c r="R407" s="531"/>
      <c r="S407" s="531"/>
      <c r="T407" s="531"/>
      <c r="U407" s="531"/>
      <c r="V407" s="531"/>
      <c r="W407" s="531"/>
      <c r="X407" s="531"/>
      <c r="Y407" s="531"/>
      <c r="Z407" s="531"/>
      <c r="AA407" s="531"/>
      <c r="AB407" s="531"/>
      <c r="AC407" s="532" t="e">
        <f>IF(NFI_Expiration=1,IF(#REF!&lt;VLOOKUP(L$5,NFI,5,0),1,0)*Table_NFI[[#This Row],[NFI Core Kit]],Table_NFI[NFI Core Kit])</f>
        <v>#REF!</v>
      </c>
      <c r="AD407" s="532" t="e">
        <f>IF(NFI_Expiration=1,IF(#REF!&lt;VLOOKUP(M$5,NFI,5,0),1,0)*Table_NFI[[#This Row],[Sanitary Kit]],Table_NFI[Sanitary Kit])</f>
        <v>#REF!</v>
      </c>
      <c r="AE407" s="532" t="e">
        <f>IF(NFI_Expiration=1,IF(#REF!&lt;VLOOKUP(N$5,NFI,5,0),1,0)*Table_NFI[[#This Row],[Mosquito net]],Table_NFI[Mosquito net])</f>
        <v>#REF!</v>
      </c>
      <c r="AF407" s="532" t="e">
        <f>IF(NFI_Expiration=1,IF(#REF!&lt;VLOOKUP(O$5,NFI,5,0),1,0)*Table_NFI[[#This Row],[Tarpaulin]],Table_NFI[[#This Row],[Tarpaulin]])</f>
        <v>#REF!</v>
      </c>
      <c r="AG407" s="532" t="e">
        <f>IF(NFI_Expiration=1,IF(#REF!&lt;VLOOKUP(P$5,NFI,5,0),1,0)*Table_NFI[[#This Row],[Blanket]],Table_NFI[[#This Row],[Blanket]])</f>
        <v>#REF!</v>
      </c>
      <c r="AH407" s="532" t="e">
        <f>IF(NFI_Expiration=1,IF(#REF!&lt;VLOOKUP(Q$5,NFI,5,0),1,0)*Table_NFI[[#This Row],[Kitchen Set]],Table_NFI[Kitchen Set])</f>
        <v>#REF!</v>
      </c>
      <c r="AI407" s="532" t="e">
        <f>IF(NFI_Expiration=1,IF(#REF!&lt;VLOOKUP(R$5,NFI,5,0),1,0)*Table_NFI[[#This Row],[Clothes Kit]],Table_NFI[Clothes Kit])</f>
        <v>#REF!</v>
      </c>
      <c r="AJ407" s="532" t="e">
        <f>IF(NFI_Expiration=1,IF(#REF!&lt;VLOOKUP(S$5,NFI,5,0),1,0)*Table_NFI[[#This Row],[Plastic Bucket]],Table_NFI[Plastic Bucket])</f>
        <v>#REF!</v>
      </c>
      <c r="AK407" s="532" t="e">
        <f>IF(NFI_Expiration=1,IF(#REF!&lt;VLOOKUP(T$5,NFI,5,0),1,0)*Table_NFI[[#This Row],[Plastic Mat]],Table_NFI[Plastic Mat])*IF(Table_NFI[[#This Row],[Distribution Date]]&gt;"2014-04-01",1,2.5)</f>
        <v>#REF!</v>
      </c>
      <c r="AL407" s="532" t="e">
        <f>IF(NFI_Expiration=1,IF(#REF!&lt;VLOOKUP(U$5,NFI,5,0),1,0)*Table_NFI[[#This Row],[Winter Clothes Adult]],Table_NFI[Winter Clothes Adult])</f>
        <v>#REF!</v>
      </c>
      <c r="AM407" s="532"/>
      <c r="AN407" s="532"/>
      <c r="AO407" s="532"/>
      <c r="AP407" s="532">
        <f>IF(Table_NFI[[#This Row],[Winter Clothes Adult]]+Table_NFI[[#This Row],[Winter Clothes Children]]+Table_NFI[[#This Row],[Winter Items Other]]+Table_NFI[[#This Row],[Winter Blanket]]&gt;0,1,0)</f>
        <v>0</v>
      </c>
      <c r="AQ407" s="532"/>
      <c r="AR407" s="532"/>
      <c r="AS407" s="532"/>
      <c r="AT407" s="532"/>
      <c r="AU407" s="532"/>
      <c r="AV407" s="532"/>
      <c r="AW407" s="532"/>
      <c r="AX407" s="203" t="str">
        <f>IFERROR(VLOOKUP(Table_NFI[[#This Row],[Location]],CL,2,0),"")</f>
        <v>MMR015CMP217</v>
      </c>
      <c r="AZ407" s="524"/>
      <c r="DS407" s="181"/>
      <c r="DT407" s="181"/>
    </row>
    <row r="408" spans="2:124" hidden="1" x14ac:dyDescent="0.3">
      <c r="B408" s="530">
        <v>43307</v>
      </c>
      <c r="C408" s="530" t="str">
        <f>MONTH(Table_NFI[[#This Row],[Distribution Date]]) &amp; "/" &amp; YEAR(Table_NFI[[#This Row],[Distribution Date]])</f>
        <v>7/2018</v>
      </c>
      <c r="D408" s="196" t="s">
        <v>1560</v>
      </c>
      <c r="E408" s="196" t="s">
        <v>1732</v>
      </c>
      <c r="F408" s="196" t="s">
        <v>506</v>
      </c>
      <c r="G408" s="196" t="s">
        <v>146</v>
      </c>
      <c r="H408" s="175" t="s">
        <v>369</v>
      </c>
      <c r="I408" s="181"/>
      <c r="J408" s="531"/>
      <c r="K408" s="531"/>
      <c r="L408" s="531"/>
      <c r="M408" s="531">
        <v>34</v>
      </c>
      <c r="N408" s="531"/>
      <c r="O408" s="531"/>
      <c r="P408" s="531"/>
      <c r="Q408" s="531"/>
      <c r="R408" s="531"/>
      <c r="S408" s="531"/>
      <c r="T408" s="531"/>
      <c r="U408" s="531"/>
      <c r="V408" s="531"/>
      <c r="W408" s="531"/>
      <c r="X408" s="531"/>
      <c r="Y408" s="531"/>
      <c r="Z408" s="531"/>
      <c r="AA408" s="531"/>
      <c r="AB408" s="531"/>
      <c r="AC408" s="532" t="e">
        <f>IF(NFI_Expiration=1,IF(#REF!&lt;VLOOKUP(L$5,NFI,5,0),1,0)*Table_NFI[[#This Row],[NFI Core Kit]],Table_NFI[NFI Core Kit])</f>
        <v>#REF!</v>
      </c>
      <c r="AD408" s="532" t="e">
        <f>IF(NFI_Expiration=1,IF(#REF!&lt;VLOOKUP(M$5,NFI,5,0),1,0)*Table_NFI[[#This Row],[Sanitary Kit]],Table_NFI[Sanitary Kit])</f>
        <v>#REF!</v>
      </c>
      <c r="AE408" s="532" t="e">
        <f>IF(NFI_Expiration=1,IF(#REF!&lt;VLOOKUP(N$5,NFI,5,0),1,0)*Table_NFI[[#This Row],[Mosquito net]],Table_NFI[Mosquito net])</f>
        <v>#REF!</v>
      </c>
      <c r="AF408" s="532" t="e">
        <f>IF(NFI_Expiration=1,IF(#REF!&lt;VLOOKUP(O$5,NFI,5,0),1,0)*Table_NFI[[#This Row],[Tarpaulin]],Table_NFI[[#This Row],[Tarpaulin]])</f>
        <v>#REF!</v>
      </c>
      <c r="AG408" s="532" t="e">
        <f>IF(NFI_Expiration=1,IF(#REF!&lt;VLOOKUP(P$5,NFI,5,0),1,0)*Table_NFI[[#This Row],[Blanket]],Table_NFI[[#This Row],[Blanket]])</f>
        <v>#REF!</v>
      </c>
      <c r="AH408" s="532" t="e">
        <f>IF(NFI_Expiration=1,IF(#REF!&lt;VLOOKUP(Q$5,NFI,5,0),1,0)*Table_NFI[[#This Row],[Kitchen Set]],Table_NFI[Kitchen Set])</f>
        <v>#REF!</v>
      </c>
      <c r="AI408" s="532" t="e">
        <f>IF(NFI_Expiration=1,IF(#REF!&lt;VLOOKUP(R$5,NFI,5,0),1,0)*Table_NFI[[#This Row],[Clothes Kit]],Table_NFI[Clothes Kit])</f>
        <v>#REF!</v>
      </c>
      <c r="AJ408" s="532" t="e">
        <f>IF(NFI_Expiration=1,IF(#REF!&lt;VLOOKUP(S$5,NFI,5,0),1,0)*Table_NFI[[#This Row],[Plastic Bucket]],Table_NFI[Plastic Bucket])</f>
        <v>#REF!</v>
      </c>
      <c r="AK408" s="532" t="e">
        <f>IF(NFI_Expiration=1,IF(#REF!&lt;VLOOKUP(T$5,NFI,5,0),1,0)*Table_NFI[[#This Row],[Plastic Mat]],Table_NFI[Plastic Mat])*IF(Table_NFI[[#This Row],[Distribution Date]]&gt;"2014-04-01",1,2.5)</f>
        <v>#REF!</v>
      </c>
      <c r="AL408" s="532" t="e">
        <f>IF(NFI_Expiration=1,IF(#REF!&lt;VLOOKUP(U$5,NFI,5,0),1,0)*Table_NFI[[#This Row],[Winter Clothes Adult]],Table_NFI[Winter Clothes Adult])</f>
        <v>#REF!</v>
      </c>
      <c r="AM408" s="532"/>
      <c r="AN408" s="532"/>
      <c r="AO408" s="532"/>
      <c r="AP408" s="532">
        <f>IF(Table_NFI[[#This Row],[Winter Clothes Adult]]+Table_NFI[[#This Row],[Winter Clothes Children]]+Table_NFI[[#This Row],[Winter Items Other]]+Table_NFI[[#This Row],[Winter Blanket]]&gt;0,1,0)</f>
        <v>0</v>
      </c>
      <c r="AQ408" s="532"/>
      <c r="AR408" s="532"/>
      <c r="AS408" s="532"/>
      <c r="AT408" s="532"/>
      <c r="AU408" s="532"/>
      <c r="AV408" s="532"/>
      <c r="AW408" s="532"/>
      <c r="AX408" s="203" t="str">
        <f>IFERROR(VLOOKUP(Table_NFI[[#This Row],[Location]],CL,2,0),"")</f>
        <v>MMR015CMP006</v>
      </c>
      <c r="AZ408" s="524"/>
      <c r="DS408" s="181"/>
      <c r="DT408" s="181"/>
    </row>
    <row r="409" spans="2:124" hidden="1" x14ac:dyDescent="0.3">
      <c r="B409" s="530">
        <v>43307</v>
      </c>
      <c r="C409" s="530" t="str">
        <f>MONTH(Table_NFI[[#This Row],[Distribution Date]]) &amp; "/" &amp; YEAR(Table_NFI[[#This Row],[Distribution Date]])</f>
        <v>7/2018</v>
      </c>
      <c r="D409" s="196" t="s">
        <v>1560</v>
      </c>
      <c r="E409" s="196" t="s">
        <v>1560</v>
      </c>
      <c r="F409" s="196" t="s">
        <v>506</v>
      </c>
      <c r="G409" s="196" t="s">
        <v>230</v>
      </c>
      <c r="H409" s="175" t="s">
        <v>901</v>
      </c>
      <c r="I409" s="181"/>
      <c r="J409" s="531"/>
      <c r="K409" s="531"/>
      <c r="L409" s="531"/>
      <c r="M409" s="531">
        <v>60</v>
      </c>
      <c r="N409" s="531"/>
      <c r="O409" s="531"/>
      <c r="P409" s="531"/>
      <c r="Q409" s="531"/>
      <c r="R409" s="531"/>
      <c r="S409" s="531"/>
      <c r="T409" s="531"/>
      <c r="U409" s="531"/>
      <c r="V409" s="531"/>
      <c r="W409" s="531"/>
      <c r="X409" s="531"/>
      <c r="Y409" s="531"/>
      <c r="Z409" s="531"/>
      <c r="AA409" s="531"/>
      <c r="AB409" s="531"/>
      <c r="AC409" s="532" t="e">
        <f>IF(NFI_Expiration=1,IF(#REF!&lt;VLOOKUP(L$5,NFI,5,0),1,0)*Table_NFI[[#This Row],[NFI Core Kit]],Table_NFI[NFI Core Kit])</f>
        <v>#REF!</v>
      </c>
      <c r="AD409" s="532" t="e">
        <f>IF(NFI_Expiration=1,IF(#REF!&lt;VLOOKUP(M$5,NFI,5,0),1,0)*Table_NFI[[#This Row],[Sanitary Kit]],Table_NFI[Sanitary Kit])</f>
        <v>#REF!</v>
      </c>
      <c r="AE409" s="532" t="e">
        <f>IF(NFI_Expiration=1,IF(#REF!&lt;VLOOKUP(N$5,NFI,5,0),1,0)*Table_NFI[[#This Row],[Mosquito net]],Table_NFI[Mosquito net])</f>
        <v>#REF!</v>
      </c>
      <c r="AF409" s="532" t="e">
        <f>IF(NFI_Expiration=1,IF(#REF!&lt;VLOOKUP(O$5,NFI,5,0),1,0)*Table_NFI[[#This Row],[Tarpaulin]],Table_NFI[[#This Row],[Tarpaulin]])</f>
        <v>#REF!</v>
      </c>
      <c r="AG409" s="532" t="e">
        <f>IF(NFI_Expiration=1,IF(#REF!&lt;VLOOKUP(P$5,NFI,5,0),1,0)*Table_NFI[[#This Row],[Blanket]],Table_NFI[[#This Row],[Blanket]])</f>
        <v>#REF!</v>
      </c>
      <c r="AH409" s="532" t="e">
        <f>IF(NFI_Expiration=1,IF(#REF!&lt;VLOOKUP(Q$5,NFI,5,0),1,0)*Table_NFI[[#This Row],[Kitchen Set]],Table_NFI[Kitchen Set])</f>
        <v>#REF!</v>
      </c>
      <c r="AI409" s="532" t="e">
        <f>IF(NFI_Expiration=1,IF(#REF!&lt;VLOOKUP(R$5,NFI,5,0),1,0)*Table_NFI[[#This Row],[Clothes Kit]],Table_NFI[Clothes Kit])</f>
        <v>#REF!</v>
      </c>
      <c r="AJ409" s="532" t="e">
        <f>IF(NFI_Expiration=1,IF(#REF!&lt;VLOOKUP(S$5,NFI,5,0),1,0)*Table_NFI[[#This Row],[Plastic Bucket]],Table_NFI[Plastic Bucket])</f>
        <v>#REF!</v>
      </c>
      <c r="AK409" s="532" t="e">
        <f>IF(NFI_Expiration=1,IF(#REF!&lt;VLOOKUP(T$5,NFI,5,0),1,0)*Table_NFI[[#This Row],[Plastic Mat]],Table_NFI[Plastic Mat])*IF(Table_NFI[[#This Row],[Distribution Date]]&gt;"2014-04-01",1,2.5)</f>
        <v>#REF!</v>
      </c>
      <c r="AL409" s="532" t="e">
        <f>IF(NFI_Expiration=1,IF(#REF!&lt;VLOOKUP(U$5,NFI,5,0),1,0)*Table_NFI[[#This Row],[Winter Clothes Adult]],Table_NFI[Winter Clothes Adult])</f>
        <v>#REF!</v>
      </c>
      <c r="AM409" s="532"/>
      <c r="AN409" s="532"/>
      <c r="AO409" s="532"/>
      <c r="AP409" s="532">
        <f>IF(Table_NFI[[#This Row],[Winter Clothes Adult]]+Table_NFI[[#This Row],[Winter Clothes Children]]+Table_NFI[[#This Row],[Winter Items Other]]+Table_NFI[[#This Row],[Winter Blanket]]&gt;0,1,0)</f>
        <v>0</v>
      </c>
      <c r="AQ409" s="532"/>
      <c r="AR409" s="532"/>
      <c r="AS409" s="532"/>
      <c r="AT409" s="532"/>
      <c r="AU409" s="532"/>
      <c r="AV409" s="532"/>
      <c r="AW409" s="532"/>
      <c r="AX409" s="203" t="str">
        <f>IFERROR(VLOOKUP(Table_NFI[[#This Row],[Location]],CL,2,0),"")</f>
        <v>MMR015CMP213</v>
      </c>
      <c r="AZ409" s="524"/>
      <c r="DS409" s="181"/>
      <c r="DT409" s="181"/>
    </row>
    <row r="410" spans="2:124" hidden="1" x14ac:dyDescent="0.3">
      <c r="B410" s="530">
        <v>43328</v>
      </c>
      <c r="C410" s="530" t="str">
        <f>MONTH(Table_NFI[[#This Row],[Distribution Date]]) &amp; "/" &amp; YEAR(Table_NFI[[#This Row],[Distribution Date]])</f>
        <v>8/2018</v>
      </c>
      <c r="D410" s="196" t="s">
        <v>1560</v>
      </c>
      <c r="E410" s="196" t="s">
        <v>1732</v>
      </c>
      <c r="F410" s="196" t="s">
        <v>506</v>
      </c>
      <c r="G410" s="196" t="s">
        <v>288</v>
      </c>
      <c r="H410" s="175" t="s">
        <v>291</v>
      </c>
      <c r="I410" s="181"/>
      <c r="J410" s="531"/>
      <c r="K410" s="531"/>
      <c r="L410" s="531"/>
      <c r="M410" s="531">
        <v>52</v>
      </c>
      <c r="N410" s="531"/>
      <c r="O410" s="531"/>
      <c r="P410" s="531"/>
      <c r="Q410" s="531"/>
      <c r="R410" s="531"/>
      <c r="S410" s="531"/>
      <c r="T410" s="531"/>
      <c r="U410" s="531"/>
      <c r="V410" s="531"/>
      <c r="W410" s="531"/>
      <c r="X410" s="531"/>
      <c r="Y410" s="531"/>
      <c r="Z410" s="531"/>
      <c r="AA410" s="531"/>
      <c r="AB410" s="531"/>
      <c r="AC410" s="532" t="e">
        <f>IF(NFI_Expiration=1,IF(#REF!&lt;VLOOKUP(L$5,NFI,5,0),1,0)*Table_NFI[[#This Row],[NFI Core Kit]],Table_NFI[NFI Core Kit])</f>
        <v>#REF!</v>
      </c>
      <c r="AD410" s="532" t="e">
        <f>IF(NFI_Expiration=1,IF(#REF!&lt;VLOOKUP(M$5,NFI,5,0),1,0)*Table_NFI[[#This Row],[Sanitary Kit]],Table_NFI[Sanitary Kit])</f>
        <v>#REF!</v>
      </c>
      <c r="AE410" s="532" t="e">
        <f>IF(NFI_Expiration=1,IF(#REF!&lt;VLOOKUP(N$5,NFI,5,0),1,0)*Table_NFI[[#This Row],[Mosquito net]],Table_NFI[Mosquito net])</f>
        <v>#REF!</v>
      </c>
      <c r="AF410" s="532" t="e">
        <f>IF(NFI_Expiration=1,IF(#REF!&lt;VLOOKUP(O$5,NFI,5,0),1,0)*Table_NFI[[#This Row],[Tarpaulin]],Table_NFI[[#This Row],[Tarpaulin]])</f>
        <v>#REF!</v>
      </c>
      <c r="AG410" s="532" t="e">
        <f>IF(NFI_Expiration=1,IF(#REF!&lt;VLOOKUP(P$5,NFI,5,0),1,0)*Table_NFI[[#This Row],[Blanket]],Table_NFI[[#This Row],[Blanket]])</f>
        <v>#REF!</v>
      </c>
      <c r="AH410" s="532" t="e">
        <f>IF(NFI_Expiration=1,IF(#REF!&lt;VLOOKUP(Q$5,NFI,5,0),1,0)*Table_NFI[[#This Row],[Kitchen Set]],Table_NFI[Kitchen Set])</f>
        <v>#REF!</v>
      </c>
      <c r="AI410" s="532" t="e">
        <f>IF(NFI_Expiration=1,IF(#REF!&lt;VLOOKUP(R$5,NFI,5,0),1,0)*Table_NFI[[#This Row],[Clothes Kit]],Table_NFI[Clothes Kit])</f>
        <v>#REF!</v>
      </c>
      <c r="AJ410" s="532" t="e">
        <f>IF(NFI_Expiration=1,IF(#REF!&lt;VLOOKUP(S$5,NFI,5,0),1,0)*Table_NFI[[#This Row],[Plastic Bucket]],Table_NFI[Plastic Bucket])</f>
        <v>#REF!</v>
      </c>
      <c r="AK410" s="532" t="e">
        <f>IF(NFI_Expiration=1,IF(#REF!&lt;VLOOKUP(T$5,NFI,5,0),1,0)*Table_NFI[[#This Row],[Plastic Mat]],Table_NFI[Plastic Mat])*IF(Table_NFI[[#This Row],[Distribution Date]]&gt;"2014-04-01",1,2.5)</f>
        <v>#REF!</v>
      </c>
      <c r="AL410" s="532" t="e">
        <f>IF(NFI_Expiration=1,IF(#REF!&lt;VLOOKUP(U$5,NFI,5,0),1,0)*Table_NFI[[#This Row],[Winter Clothes Adult]],Table_NFI[Winter Clothes Adult])</f>
        <v>#REF!</v>
      </c>
      <c r="AM410" s="532"/>
      <c r="AN410" s="532"/>
      <c r="AO410" s="532"/>
      <c r="AP410" s="532">
        <f>IF(Table_NFI[[#This Row],[Winter Clothes Adult]]+Table_NFI[[#This Row],[Winter Clothes Children]]+Table_NFI[[#This Row],[Winter Items Other]]+Table_NFI[[#This Row],[Winter Blanket]]&gt;0,1,0)</f>
        <v>0</v>
      </c>
      <c r="AQ410" s="532"/>
      <c r="AR410" s="532"/>
      <c r="AS410" s="532"/>
      <c r="AT410" s="532"/>
      <c r="AU410" s="532"/>
      <c r="AV410" s="532"/>
      <c r="AW410" s="532"/>
      <c r="AX410" s="203" t="str">
        <f>IFERROR(VLOOKUP(Table_NFI[[#This Row],[Location]],CL,2,0),"")</f>
        <v>MMR015CMP004</v>
      </c>
      <c r="AZ410" s="524"/>
      <c r="DS410" s="181"/>
      <c r="DT410" s="181"/>
    </row>
    <row r="411" spans="2:124" hidden="1" x14ac:dyDescent="0.3">
      <c r="B411" s="530">
        <v>43326</v>
      </c>
      <c r="C411" s="530" t="str">
        <f>MONTH(Table_NFI[[#This Row],[Distribution Date]]) &amp; "/" &amp; YEAR(Table_NFI[[#This Row],[Distribution Date]])</f>
        <v>8/2018</v>
      </c>
      <c r="D411" s="196" t="s">
        <v>1560</v>
      </c>
      <c r="E411" s="196" t="s">
        <v>1732</v>
      </c>
      <c r="F411" s="196" t="s">
        <v>378</v>
      </c>
      <c r="G411" s="196" t="s">
        <v>151</v>
      </c>
      <c r="H411" s="175" t="s">
        <v>936</v>
      </c>
      <c r="I411" s="181"/>
      <c r="J411" s="531"/>
      <c r="K411" s="531"/>
      <c r="L411" s="531"/>
      <c r="M411" s="531">
        <v>123</v>
      </c>
      <c r="N411" s="531"/>
      <c r="O411" s="531"/>
      <c r="P411" s="531"/>
      <c r="Q411" s="531"/>
      <c r="R411" s="531"/>
      <c r="S411" s="531"/>
      <c r="T411" s="531"/>
      <c r="U411" s="531"/>
      <c r="V411" s="531"/>
      <c r="W411" s="531"/>
      <c r="X411" s="531"/>
      <c r="Y411" s="531"/>
      <c r="Z411" s="531"/>
      <c r="AA411" s="531"/>
      <c r="AB411" s="531"/>
      <c r="AC411" s="532" t="e">
        <f>IF(NFI_Expiration=1,IF(#REF!&lt;VLOOKUP(L$5,NFI,5,0),1,0)*Table_NFI[[#This Row],[NFI Core Kit]],Table_NFI[NFI Core Kit])</f>
        <v>#REF!</v>
      </c>
      <c r="AD411" s="532" t="e">
        <f>IF(NFI_Expiration=1,IF(#REF!&lt;VLOOKUP(M$5,NFI,5,0),1,0)*Table_NFI[[#This Row],[Sanitary Kit]],Table_NFI[Sanitary Kit])</f>
        <v>#REF!</v>
      </c>
      <c r="AE411" s="532" t="e">
        <f>IF(NFI_Expiration=1,IF(#REF!&lt;VLOOKUP(N$5,NFI,5,0),1,0)*Table_NFI[[#This Row],[Mosquito net]],Table_NFI[Mosquito net])</f>
        <v>#REF!</v>
      </c>
      <c r="AF411" s="532" t="e">
        <f>IF(NFI_Expiration=1,IF(#REF!&lt;VLOOKUP(O$5,NFI,5,0),1,0)*Table_NFI[[#This Row],[Tarpaulin]],Table_NFI[[#This Row],[Tarpaulin]])</f>
        <v>#REF!</v>
      </c>
      <c r="AG411" s="532" t="e">
        <f>IF(NFI_Expiration=1,IF(#REF!&lt;VLOOKUP(P$5,NFI,5,0),1,0)*Table_NFI[[#This Row],[Blanket]],Table_NFI[[#This Row],[Blanket]])</f>
        <v>#REF!</v>
      </c>
      <c r="AH411" s="532" t="e">
        <f>IF(NFI_Expiration=1,IF(#REF!&lt;VLOOKUP(Q$5,NFI,5,0),1,0)*Table_NFI[[#This Row],[Kitchen Set]],Table_NFI[Kitchen Set])</f>
        <v>#REF!</v>
      </c>
      <c r="AI411" s="532" t="e">
        <f>IF(NFI_Expiration=1,IF(#REF!&lt;VLOOKUP(R$5,NFI,5,0),1,0)*Table_NFI[[#This Row],[Clothes Kit]],Table_NFI[Clothes Kit])</f>
        <v>#REF!</v>
      </c>
      <c r="AJ411" s="532" t="e">
        <f>IF(NFI_Expiration=1,IF(#REF!&lt;VLOOKUP(S$5,NFI,5,0),1,0)*Table_NFI[[#This Row],[Plastic Bucket]],Table_NFI[Plastic Bucket])</f>
        <v>#REF!</v>
      </c>
      <c r="AK411" s="532" t="e">
        <f>IF(NFI_Expiration=1,IF(#REF!&lt;VLOOKUP(T$5,NFI,5,0),1,0)*Table_NFI[[#This Row],[Plastic Mat]],Table_NFI[Plastic Mat])*IF(Table_NFI[[#This Row],[Distribution Date]]&gt;"2014-04-01",1,2.5)</f>
        <v>#REF!</v>
      </c>
      <c r="AL411" s="532" t="e">
        <f>IF(NFI_Expiration=1,IF(#REF!&lt;VLOOKUP(U$5,NFI,5,0),1,0)*Table_NFI[[#This Row],[Winter Clothes Adult]],Table_NFI[Winter Clothes Adult])</f>
        <v>#REF!</v>
      </c>
      <c r="AM411" s="532"/>
      <c r="AN411" s="532"/>
      <c r="AO411" s="532"/>
      <c r="AP411" s="532">
        <f>IF(Table_NFI[[#This Row],[Winter Clothes Adult]]+Table_NFI[[#This Row],[Winter Clothes Children]]+Table_NFI[[#This Row],[Winter Items Other]]+Table_NFI[[#This Row],[Winter Blanket]]&gt;0,1,0)</f>
        <v>0</v>
      </c>
      <c r="AQ411" s="532"/>
      <c r="AR411" s="532"/>
      <c r="AS411" s="532"/>
      <c r="AT411" s="532"/>
      <c r="AU411" s="532"/>
      <c r="AV411" s="532"/>
      <c r="AW411" s="532"/>
      <c r="AX411" s="203" t="str">
        <f>IFERROR(VLOOKUP(Table_NFI[[#This Row],[Location]],CL,2,0),"")</f>
        <v>MMR001CMP230</v>
      </c>
      <c r="AZ411" s="524"/>
      <c r="DS411" s="181"/>
      <c r="DT411" s="181"/>
    </row>
    <row r="412" spans="2:124" hidden="1" x14ac:dyDescent="0.3">
      <c r="B412" s="530">
        <v>43336</v>
      </c>
      <c r="C412" s="530" t="str">
        <f>MONTH(Table_NFI[[#This Row],[Distribution Date]]) &amp; "/" &amp; YEAR(Table_NFI[[#This Row],[Distribution Date]])</f>
        <v>8/2018</v>
      </c>
      <c r="D412" s="196" t="s">
        <v>1560</v>
      </c>
      <c r="E412" s="196" t="s">
        <v>1732</v>
      </c>
      <c r="F412" s="196" t="s">
        <v>378</v>
      </c>
      <c r="G412" s="196" t="s">
        <v>151</v>
      </c>
      <c r="H412" s="175" t="s">
        <v>160</v>
      </c>
      <c r="I412" s="181"/>
      <c r="J412" s="531"/>
      <c r="K412" s="531"/>
      <c r="L412" s="531"/>
      <c r="M412" s="531">
        <v>85</v>
      </c>
      <c r="N412" s="531"/>
      <c r="O412" s="531"/>
      <c r="P412" s="531"/>
      <c r="Q412" s="531"/>
      <c r="R412" s="531"/>
      <c r="S412" s="531"/>
      <c r="T412" s="531"/>
      <c r="U412" s="531"/>
      <c r="V412" s="531"/>
      <c r="W412" s="531"/>
      <c r="X412" s="531"/>
      <c r="Y412" s="531"/>
      <c r="Z412" s="531"/>
      <c r="AA412" s="531"/>
      <c r="AB412" s="531"/>
      <c r="AC412" s="532" t="e">
        <f>IF(NFI_Expiration=1,IF(#REF!&lt;VLOOKUP(L$5,NFI,5,0),1,0)*Table_NFI[[#This Row],[NFI Core Kit]],Table_NFI[NFI Core Kit])</f>
        <v>#REF!</v>
      </c>
      <c r="AD412" s="532" t="e">
        <f>IF(NFI_Expiration=1,IF(#REF!&lt;VLOOKUP(M$5,NFI,5,0),1,0)*Table_NFI[[#This Row],[Sanitary Kit]],Table_NFI[Sanitary Kit])</f>
        <v>#REF!</v>
      </c>
      <c r="AE412" s="532" t="e">
        <f>IF(NFI_Expiration=1,IF(#REF!&lt;VLOOKUP(N$5,NFI,5,0),1,0)*Table_NFI[[#This Row],[Mosquito net]],Table_NFI[Mosquito net])</f>
        <v>#REF!</v>
      </c>
      <c r="AF412" s="532" t="e">
        <f>IF(NFI_Expiration=1,IF(#REF!&lt;VLOOKUP(O$5,NFI,5,0),1,0)*Table_NFI[[#This Row],[Tarpaulin]],Table_NFI[[#This Row],[Tarpaulin]])</f>
        <v>#REF!</v>
      </c>
      <c r="AG412" s="532" t="e">
        <f>IF(NFI_Expiration=1,IF(#REF!&lt;VLOOKUP(P$5,NFI,5,0),1,0)*Table_NFI[[#This Row],[Blanket]],Table_NFI[[#This Row],[Blanket]])</f>
        <v>#REF!</v>
      </c>
      <c r="AH412" s="532" t="e">
        <f>IF(NFI_Expiration=1,IF(#REF!&lt;VLOOKUP(Q$5,NFI,5,0),1,0)*Table_NFI[[#This Row],[Kitchen Set]],Table_NFI[Kitchen Set])</f>
        <v>#REF!</v>
      </c>
      <c r="AI412" s="532" t="e">
        <f>IF(NFI_Expiration=1,IF(#REF!&lt;VLOOKUP(R$5,NFI,5,0),1,0)*Table_NFI[[#This Row],[Clothes Kit]],Table_NFI[Clothes Kit])</f>
        <v>#REF!</v>
      </c>
      <c r="AJ412" s="532" t="e">
        <f>IF(NFI_Expiration=1,IF(#REF!&lt;VLOOKUP(S$5,NFI,5,0),1,0)*Table_NFI[[#This Row],[Plastic Bucket]],Table_NFI[Plastic Bucket])</f>
        <v>#REF!</v>
      </c>
      <c r="AK412" s="532" t="e">
        <f>IF(NFI_Expiration=1,IF(#REF!&lt;VLOOKUP(T$5,NFI,5,0),1,0)*Table_NFI[[#This Row],[Plastic Mat]],Table_NFI[Plastic Mat])*IF(Table_NFI[[#This Row],[Distribution Date]]&gt;"2014-04-01",1,2.5)</f>
        <v>#REF!</v>
      </c>
      <c r="AL412" s="532" t="e">
        <f>IF(NFI_Expiration=1,IF(#REF!&lt;VLOOKUP(U$5,NFI,5,0),1,0)*Table_NFI[[#This Row],[Winter Clothes Adult]],Table_NFI[Winter Clothes Adult])</f>
        <v>#REF!</v>
      </c>
      <c r="AM412" s="532"/>
      <c r="AN412" s="532"/>
      <c r="AO412" s="532"/>
      <c r="AP412" s="532">
        <f>IF(Table_NFI[[#This Row],[Winter Clothes Adult]]+Table_NFI[[#This Row],[Winter Clothes Children]]+Table_NFI[[#This Row],[Winter Items Other]]+Table_NFI[[#This Row],[Winter Blanket]]&gt;0,1,0)</f>
        <v>0</v>
      </c>
      <c r="AQ412" s="532"/>
      <c r="AR412" s="532"/>
      <c r="AS412" s="532"/>
      <c r="AT412" s="532"/>
      <c r="AU412" s="532"/>
      <c r="AV412" s="532"/>
      <c r="AW412" s="532"/>
      <c r="AX412" s="203" t="str">
        <f>IFERROR(VLOOKUP(Table_NFI[[#This Row],[Location]],CL,2,0),"")</f>
        <v>MMR001CMP133</v>
      </c>
      <c r="AZ412" s="524"/>
      <c r="DS412" s="181"/>
      <c r="DT412" s="181"/>
    </row>
    <row r="413" spans="2:124" hidden="1" x14ac:dyDescent="0.3">
      <c r="B413" s="530">
        <v>43329</v>
      </c>
      <c r="C413" s="530" t="str">
        <f>MONTH(Table_NFI[[#This Row],[Distribution Date]]) &amp; "/" &amp; YEAR(Table_NFI[[#This Row],[Distribution Date]])</f>
        <v>8/2018</v>
      </c>
      <c r="D413" s="196" t="s">
        <v>1560</v>
      </c>
      <c r="E413" s="196" t="s">
        <v>1560</v>
      </c>
      <c r="F413" s="196" t="s">
        <v>506</v>
      </c>
      <c r="G413" s="196" t="s">
        <v>146</v>
      </c>
      <c r="H413" s="268" t="s">
        <v>371</v>
      </c>
      <c r="I413" s="181"/>
      <c r="J413" s="531"/>
      <c r="K413" s="531"/>
      <c r="L413" s="531"/>
      <c r="M413" s="531">
        <v>200</v>
      </c>
      <c r="N413" s="531"/>
      <c r="O413" s="531"/>
      <c r="P413" s="531"/>
      <c r="Q413" s="531"/>
      <c r="R413" s="531"/>
      <c r="S413" s="531"/>
      <c r="T413" s="531"/>
      <c r="U413" s="531"/>
      <c r="V413" s="531"/>
      <c r="W413" s="531"/>
      <c r="X413" s="531"/>
      <c r="Y413" s="531"/>
      <c r="Z413" s="531"/>
      <c r="AA413" s="531"/>
      <c r="AB413" s="531"/>
      <c r="AC413" s="532" t="e">
        <f>IF(NFI_Expiration=1,IF(#REF!&lt;VLOOKUP(L$5,NFI,5,0),1,0)*Table_NFI[[#This Row],[NFI Core Kit]],Table_NFI[NFI Core Kit])</f>
        <v>#REF!</v>
      </c>
      <c r="AD413" s="532" t="e">
        <f>IF(NFI_Expiration=1,IF(#REF!&lt;VLOOKUP(M$5,NFI,5,0),1,0)*Table_NFI[[#This Row],[Sanitary Kit]],Table_NFI[Sanitary Kit])</f>
        <v>#REF!</v>
      </c>
      <c r="AE413" s="532" t="e">
        <f>IF(NFI_Expiration=1,IF(#REF!&lt;VLOOKUP(N$5,NFI,5,0),1,0)*Table_NFI[[#This Row],[Mosquito net]],Table_NFI[Mosquito net])</f>
        <v>#REF!</v>
      </c>
      <c r="AF413" s="532" t="e">
        <f>IF(NFI_Expiration=1,IF(#REF!&lt;VLOOKUP(O$5,NFI,5,0),1,0)*Table_NFI[[#This Row],[Tarpaulin]],Table_NFI[[#This Row],[Tarpaulin]])</f>
        <v>#REF!</v>
      </c>
      <c r="AG413" s="532" t="e">
        <f>IF(NFI_Expiration=1,IF(#REF!&lt;VLOOKUP(P$5,NFI,5,0),1,0)*Table_NFI[[#This Row],[Blanket]],Table_NFI[[#This Row],[Blanket]])</f>
        <v>#REF!</v>
      </c>
      <c r="AH413" s="532" t="e">
        <f>IF(NFI_Expiration=1,IF(#REF!&lt;VLOOKUP(Q$5,NFI,5,0),1,0)*Table_NFI[[#This Row],[Kitchen Set]],Table_NFI[Kitchen Set])</f>
        <v>#REF!</v>
      </c>
      <c r="AI413" s="532" t="e">
        <f>IF(NFI_Expiration=1,IF(#REF!&lt;VLOOKUP(R$5,NFI,5,0),1,0)*Table_NFI[[#This Row],[Clothes Kit]],Table_NFI[Clothes Kit])</f>
        <v>#REF!</v>
      </c>
      <c r="AJ413" s="532" t="e">
        <f>IF(NFI_Expiration=1,IF(#REF!&lt;VLOOKUP(S$5,NFI,5,0),1,0)*Table_NFI[[#This Row],[Plastic Bucket]],Table_NFI[Plastic Bucket])</f>
        <v>#REF!</v>
      </c>
      <c r="AK413" s="532" t="e">
        <f>IF(NFI_Expiration=1,IF(#REF!&lt;VLOOKUP(T$5,NFI,5,0),1,0)*Table_NFI[[#This Row],[Plastic Mat]],Table_NFI[Plastic Mat])*IF(Table_NFI[[#This Row],[Distribution Date]]&gt;"2014-04-01",1,2.5)</f>
        <v>#REF!</v>
      </c>
      <c r="AL413" s="532" t="e">
        <f>IF(NFI_Expiration=1,IF(#REF!&lt;VLOOKUP(U$5,NFI,5,0),1,0)*Table_NFI[[#This Row],[Winter Clothes Adult]],Table_NFI[Winter Clothes Adult])</f>
        <v>#REF!</v>
      </c>
      <c r="AM413" s="532"/>
      <c r="AN413" s="532"/>
      <c r="AO413" s="532"/>
      <c r="AP413" s="532">
        <f>IF(Table_NFI[[#This Row],[Winter Clothes Adult]]+Table_NFI[[#This Row],[Winter Clothes Children]]+Table_NFI[[#This Row],[Winter Items Other]]+Table_NFI[[#This Row],[Winter Blanket]]&gt;0,1,0)</f>
        <v>0</v>
      </c>
      <c r="AQ413" s="532"/>
      <c r="AR413" s="532"/>
      <c r="AS413" s="532"/>
      <c r="AT413" s="532"/>
      <c r="AU413" s="532"/>
      <c r="AV413" s="532"/>
      <c r="AW413" s="532"/>
      <c r="AX413" s="203" t="str">
        <f>IFERROR(VLOOKUP(Table_NFI[[#This Row],[Location]],CL,2,0),"")</f>
        <v>MMR015CMP020</v>
      </c>
      <c r="AZ413" s="524"/>
      <c r="DS413" s="181"/>
      <c r="DT413" s="181"/>
    </row>
    <row r="414" spans="2:124" hidden="1" x14ac:dyDescent="0.3">
      <c r="B414" s="530">
        <v>43322</v>
      </c>
      <c r="C414" s="530" t="str">
        <f>MONTH(Table_NFI[[#This Row],[Distribution Date]]) &amp; "/" &amp; YEAR(Table_NFI[[#This Row],[Distribution Date]])</f>
        <v>8/2018</v>
      </c>
      <c r="D414" s="196" t="s">
        <v>1560</v>
      </c>
      <c r="E414" s="196" t="s">
        <v>1560</v>
      </c>
      <c r="F414" s="196" t="s">
        <v>506</v>
      </c>
      <c r="G414" s="196" t="s">
        <v>288</v>
      </c>
      <c r="H414" s="175" t="s">
        <v>903</v>
      </c>
      <c r="I414" s="181"/>
      <c r="J414" s="531"/>
      <c r="K414" s="531"/>
      <c r="L414" s="531"/>
      <c r="M414" s="531">
        <v>82</v>
      </c>
      <c r="N414" s="531"/>
      <c r="O414" s="531"/>
      <c r="P414" s="531"/>
      <c r="Q414" s="531"/>
      <c r="R414" s="531"/>
      <c r="S414" s="531"/>
      <c r="T414" s="531"/>
      <c r="U414" s="531"/>
      <c r="V414" s="531"/>
      <c r="W414" s="531"/>
      <c r="X414" s="531"/>
      <c r="Y414" s="531"/>
      <c r="Z414" s="531"/>
      <c r="AA414" s="531"/>
      <c r="AB414" s="531"/>
      <c r="AC414" s="532" t="e">
        <f>IF(NFI_Expiration=1,IF(#REF!&lt;VLOOKUP(L$5,NFI,5,0),1,0)*Table_NFI[[#This Row],[NFI Core Kit]],Table_NFI[NFI Core Kit])</f>
        <v>#REF!</v>
      </c>
      <c r="AD414" s="532" t="e">
        <f>IF(NFI_Expiration=1,IF(#REF!&lt;VLOOKUP(M$5,NFI,5,0),1,0)*Table_NFI[[#This Row],[Sanitary Kit]],Table_NFI[Sanitary Kit])</f>
        <v>#REF!</v>
      </c>
      <c r="AE414" s="532" t="e">
        <f>IF(NFI_Expiration=1,IF(#REF!&lt;VLOOKUP(N$5,NFI,5,0),1,0)*Table_NFI[[#This Row],[Mosquito net]],Table_NFI[Mosquito net])</f>
        <v>#REF!</v>
      </c>
      <c r="AF414" s="532" t="e">
        <f>IF(NFI_Expiration=1,IF(#REF!&lt;VLOOKUP(O$5,NFI,5,0),1,0)*Table_NFI[[#This Row],[Tarpaulin]],Table_NFI[[#This Row],[Tarpaulin]])</f>
        <v>#REF!</v>
      </c>
      <c r="AG414" s="532" t="e">
        <f>IF(NFI_Expiration=1,IF(#REF!&lt;VLOOKUP(P$5,NFI,5,0),1,0)*Table_NFI[[#This Row],[Blanket]],Table_NFI[[#This Row],[Blanket]])</f>
        <v>#REF!</v>
      </c>
      <c r="AH414" s="532" t="e">
        <f>IF(NFI_Expiration=1,IF(#REF!&lt;VLOOKUP(Q$5,NFI,5,0),1,0)*Table_NFI[[#This Row],[Kitchen Set]],Table_NFI[Kitchen Set])</f>
        <v>#REF!</v>
      </c>
      <c r="AI414" s="532" t="e">
        <f>IF(NFI_Expiration=1,IF(#REF!&lt;VLOOKUP(R$5,NFI,5,0),1,0)*Table_NFI[[#This Row],[Clothes Kit]],Table_NFI[Clothes Kit])</f>
        <v>#REF!</v>
      </c>
      <c r="AJ414" s="532" t="e">
        <f>IF(NFI_Expiration=1,IF(#REF!&lt;VLOOKUP(S$5,NFI,5,0),1,0)*Table_NFI[[#This Row],[Plastic Bucket]],Table_NFI[Plastic Bucket])</f>
        <v>#REF!</v>
      </c>
      <c r="AK414" s="532" t="e">
        <f>IF(NFI_Expiration=1,IF(#REF!&lt;VLOOKUP(T$5,NFI,5,0),1,0)*Table_NFI[[#This Row],[Plastic Mat]],Table_NFI[Plastic Mat])*IF(Table_NFI[[#This Row],[Distribution Date]]&gt;"2014-04-01",1,2.5)</f>
        <v>#REF!</v>
      </c>
      <c r="AL414" s="532" t="e">
        <f>IF(NFI_Expiration=1,IF(#REF!&lt;VLOOKUP(U$5,NFI,5,0),1,0)*Table_NFI[[#This Row],[Winter Clothes Adult]],Table_NFI[Winter Clothes Adult])</f>
        <v>#REF!</v>
      </c>
      <c r="AM414" s="532"/>
      <c r="AN414" s="532"/>
      <c r="AO414" s="532"/>
      <c r="AP414" s="532">
        <f>IF(Table_NFI[[#This Row],[Winter Clothes Adult]]+Table_NFI[[#This Row],[Winter Clothes Children]]+Table_NFI[[#This Row],[Winter Items Other]]+Table_NFI[[#This Row],[Winter Blanket]]&gt;0,1,0)</f>
        <v>0</v>
      </c>
      <c r="AQ414" s="532"/>
      <c r="AR414" s="532"/>
      <c r="AS414" s="532"/>
      <c r="AT414" s="532"/>
      <c r="AU414" s="532"/>
      <c r="AV414" s="532"/>
      <c r="AW414" s="532"/>
      <c r="AX414" s="203" t="str">
        <f>IFERROR(VLOOKUP(Table_NFI[[#This Row],[Location]],CL,2,0),"")</f>
        <v>MMR015CMP214</v>
      </c>
      <c r="AZ414" s="524"/>
      <c r="DS414" s="181"/>
      <c r="DT414" s="181"/>
    </row>
    <row r="415" spans="2:124" hidden="1" x14ac:dyDescent="0.3">
      <c r="B415" s="530">
        <v>43329</v>
      </c>
      <c r="C415" s="530" t="str">
        <f>MONTH(Table_NFI[[#This Row],[Distribution Date]]) &amp; "/" &amp; YEAR(Table_NFI[[#This Row],[Distribution Date]])</f>
        <v>8/2018</v>
      </c>
      <c r="D415" s="196" t="s">
        <v>1560</v>
      </c>
      <c r="E415" s="196" t="s">
        <v>1560</v>
      </c>
      <c r="F415" s="196" t="s">
        <v>506</v>
      </c>
      <c r="G415" s="196" t="s">
        <v>146</v>
      </c>
      <c r="H415" s="175" t="s">
        <v>289</v>
      </c>
      <c r="I415" s="181"/>
      <c r="J415" s="531"/>
      <c r="K415" s="531"/>
      <c r="L415" s="531"/>
      <c r="M415" s="531">
        <v>90</v>
      </c>
      <c r="N415" s="531"/>
      <c r="O415" s="531"/>
      <c r="P415" s="531"/>
      <c r="Q415" s="531"/>
      <c r="R415" s="531"/>
      <c r="S415" s="531"/>
      <c r="T415" s="531"/>
      <c r="U415" s="531"/>
      <c r="V415" s="531"/>
      <c r="W415" s="531"/>
      <c r="X415" s="531"/>
      <c r="Y415" s="531"/>
      <c r="Z415" s="531"/>
      <c r="AA415" s="531"/>
      <c r="AB415" s="531"/>
      <c r="AC415" s="532" t="e">
        <f>IF(NFI_Expiration=1,IF(#REF!&lt;VLOOKUP(L$5,NFI,5,0),1,0)*Table_NFI[[#This Row],[NFI Core Kit]],Table_NFI[NFI Core Kit])</f>
        <v>#REF!</v>
      </c>
      <c r="AD415" s="532" t="e">
        <f>IF(NFI_Expiration=1,IF(#REF!&lt;VLOOKUP(M$5,NFI,5,0),1,0)*Table_NFI[[#This Row],[Sanitary Kit]],Table_NFI[Sanitary Kit])</f>
        <v>#REF!</v>
      </c>
      <c r="AE415" s="532" t="e">
        <f>IF(NFI_Expiration=1,IF(#REF!&lt;VLOOKUP(N$5,NFI,5,0),1,0)*Table_NFI[[#This Row],[Mosquito net]],Table_NFI[Mosquito net])</f>
        <v>#REF!</v>
      </c>
      <c r="AF415" s="532" t="e">
        <f>IF(NFI_Expiration=1,IF(#REF!&lt;VLOOKUP(O$5,NFI,5,0),1,0)*Table_NFI[[#This Row],[Tarpaulin]],Table_NFI[[#This Row],[Tarpaulin]])</f>
        <v>#REF!</v>
      </c>
      <c r="AG415" s="532" t="e">
        <f>IF(NFI_Expiration=1,IF(#REF!&lt;VLOOKUP(P$5,NFI,5,0),1,0)*Table_NFI[[#This Row],[Blanket]],Table_NFI[[#This Row],[Blanket]])</f>
        <v>#REF!</v>
      </c>
      <c r="AH415" s="532" t="e">
        <f>IF(NFI_Expiration=1,IF(#REF!&lt;VLOOKUP(Q$5,NFI,5,0),1,0)*Table_NFI[[#This Row],[Kitchen Set]],Table_NFI[Kitchen Set])</f>
        <v>#REF!</v>
      </c>
      <c r="AI415" s="532" t="e">
        <f>IF(NFI_Expiration=1,IF(#REF!&lt;VLOOKUP(R$5,NFI,5,0),1,0)*Table_NFI[[#This Row],[Clothes Kit]],Table_NFI[Clothes Kit])</f>
        <v>#REF!</v>
      </c>
      <c r="AJ415" s="532" t="e">
        <f>IF(NFI_Expiration=1,IF(#REF!&lt;VLOOKUP(S$5,NFI,5,0),1,0)*Table_NFI[[#This Row],[Plastic Bucket]],Table_NFI[Plastic Bucket])</f>
        <v>#REF!</v>
      </c>
      <c r="AK415" s="532" t="e">
        <f>IF(NFI_Expiration=1,IF(#REF!&lt;VLOOKUP(T$5,NFI,5,0),1,0)*Table_NFI[[#This Row],[Plastic Mat]],Table_NFI[Plastic Mat])*IF(Table_NFI[[#This Row],[Distribution Date]]&gt;"2014-04-01",1,2.5)</f>
        <v>#REF!</v>
      </c>
      <c r="AL415" s="532" t="e">
        <f>IF(NFI_Expiration=1,IF(#REF!&lt;VLOOKUP(U$5,NFI,5,0),1,0)*Table_NFI[[#This Row],[Winter Clothes Adult]],Table_NFI[Winter Clothes Adult])</f>
        <v>#REF!</v>
      </c>
      <c r="AM415" s="532"/>
      <c r="AN415" s="532"/>
      <c r="AO415" s="532"/>
      <c r="AP415" s="532">
        <f>IF(Table_NFI[[#This Row],[Winter Clothes Adult]]+Table_NFI[[#This Row],[Winter Clothes Children]]+Table_NFI[[#This Row],[Winter Items Other]]+Table_NFI[[#This Row],[Winter Blanket]]&gt;0,1,0)</f>
        <v>0</v>
      </c>
      <c r="AQ415" s="532"/>
      <c r="AR415" s="532"/>
      <c r="AS415" s="532"/>
      <c r="AT415" s="532"/>
      <c r="AU415" s="532"/>
      <c r="AV415" s="532"/>
      <c r="AW415" s="532"/>
      <c r="AX415" s="203" t="str">
        <f>IFERROR(VLOOKUP(Table_NFI[[#This Row],[Location]],CL,2,0),"")</f>
        <v>MMR015CMP001</v>
      </c>
      <c r="AZ415" s="524"/>
      <c r="DS415" s="181"/>
      <c r="DT415" s="181"/>
    </row>
    <row r="416" spans="2:124" hidden="1" x14ac:dyDescent="0.3">
      <c r="B416" s="530">
        <v>43328</v>
      </c>
      <c r="C416" s="530" t="str">
        <f>MONTH(Table_NFI[[#This Row],[Distribution Date]]) &amp; "/" &amp; YEAR(Table_NFI[[#This Row],[Distribution Date]])</f>
        <v>8/2018</v>
      </c>
      <c r="D416" s="196" t="s">
        <v>1560</v>
      </c>
      <c r="E416" s="196" t="s">
        <v>1560</v>
      </c>
      <c r="F416" s="196" t="s">
        <v>506</v>
      </c>
      <c r="G416" s="196" t="s">
        <v>146</v>
      </c>
      <c r="H416" s="175" t="s">
        <v>367</v>
      </c>
      <c r="I416" s="181"/>
      <c r="J416" s="531"/>
      <c r="K416" s="531"/>
      <c r="L416" s="531"/>
      <c r="M416" s="531">
        <v>66</v>
      </c>
      <c r="N416" s="531"/>
      <c r="O416" s="531"/>
      <c r="P416" s="531"/>
      <c r="Q416" s="531"/>
      <c r="R416" s="531"/>
      <c r="S416" s="531"/>
      <c r="T416" s="531"/>
      <c r="U416" s="531"/>
      <c r="V416" s="531"/>
      <c r="W416" s="531"/>
      <c r="X416" s="531"/>
      <c r="Y416" s="531"/>
      <c r="Z416" s="531"/>
      <c r="AA416" s="531"/>
      <c r="AB416" s="531"/>
      <c r="AC416" s="532" t="e">
        <f>IF(NFI_Expiration=1,IF(#REF!&lt;VLOOKUP(L$5,NFI,5,0),1,0)*Table_NFI[[#This Row],[NFI Core Kit]],Table_NFI[NFI Core Kit])</f>
        <v>#REF!</v>
      </c>
      <c r="AD416" s="532" t="e">
        <f>IF(NFI_Expiration=1,IF(#REF!&lt;VLOOKUP(M$5,NFI,5,0),1,0)*Table_NFI[[#This Row],[Sanitary Kit]],Table_NFI[Sanitary Kit])</f>
        <v>#REF!</v>
      </c>
      <c r="AE416" s="532" t="e">
        <f>IF(NFI_Expiration=1,IF(#REF!&lt;VLOOKUP(N$5,NFI,5,0),1,0)*Table_NFI[[#This Row],[Mosquito net]],Table_NFI[Mosquito net])</f>
        <v>#REF!</v>
      </c>
      <c r="AF416" s="532" t="e">
        <f>IF(NFI_Expiration=1,IF(#REF!&lt;VLOOKUP(O$5,NFI,5,0),1,0)*Table_NFI[[#This Row],[Tarpaulin]],Table_NFI[[#This Row],[Tarpaulin]])</f>
        <v>#REF!</v>
      </c>
      <c r="AG416" s="532" t="e">
        <f>IF(NFI_Expiration=1,IF(#REF!&lt;VLOOKUP(P$5,NFI,5,0),1,0)*Table_NFI[[#This Row],[Blanket]],Table_NFI[[#This Row],[Blanket]])</f>
        <v>#REF!</v>
      </c>
      <c r="AH416" s="532" t="e">
        <f>IF(NFI_Expiration=1,IF(#REF!&lt;VLOOKUP(Q$5,NFI,5,0),1,0)*Table_NFI[[#This Row],[Kitchen Set]],Table_NFI[Kitchen Set])</f>
        <v>#REF!</v>
      </c>
      <c r="AI416" s="532" t="e">
        <f>IF(NFI_Expiration=1,IF(#REF!&lt;VLOOKUP(R$5,NFI,5,0),1,0)*Table_NFI[[#This Row],[Clothes Kit]],Table_NFI[Clothes Kit])</f>
        <v>#REF!</v>
      </c>
      <c r="AJ416" s="532" t="e">
        <f>IF(NFI_Expiration=1,IF(#REF!&lt;VLOOKUP(S$5,NFI,5,0),1,0)*Table_NFI[[#This Row],[Plastic Bucket]],Table_NFI[Plastic Bucket])</f>
        <v>#REF!</v>
      </c>
      <c r="AK416" s="532" t="e">
        <f>IF(NFI_Expiration=1,IF(#REF!&lt;VLOOKUP(T$5,NFI,5,0),1,0)*Table_NFI[[#This Row],[Plastic Mat]],Table_NFI[Plastic Mat])*IF(Table_NFI[[#This Row],[Distribution Date]]&gt;"2014-04-01",1,2.5)</f>
        <v>#REF!</v>
      </c>
      <c r="AL416" s="532" t="e">
        <f>IF(NFI_Expiration=1,IF(#REF!&lt;VLOOKUP(U$5,NFI,5,0),1,0)*Table_NFI[[#This Row],[Winter Clothes Adult]],Table_NFI[Winter Clothes Adult])</f>
        <v>#REF!</v>
      </c>
      <c r="AM416" s="532"/>
      <c r="AN416" s="532"/>
      <c r="AO416" s="532"/>
      <c r="AP416" s="532">
        <f>IF(Table_NFI[[#This Row],[Winter Clothes Adult]]+Table_NFI[[#This Row],[Winter Clothes Children]]+Table_NFI[[#This Row],[Winter Items Other]]+Table_NFI[[#This Row],[Winter Blanket]]&gt;0,1,0)</f>
        <v>0</v>
      </c>
      <c r="AQ416" s="532"/>
      <c r="AR416" s="532"/>
      <c r="AS416" s="532"/>
      <c r="AT416" s="532"/>
      <c r="AU416" s="532"/>
      <c r="AV416" s="532"/>
      <c r="AW416" s="532"/>
      <c r="AX416" s="203" t="str">
        <f>IFERROR(VLOOKUP(Table_NFI[[#This Row],[Location]],CL,2,0),"")</f>
        <v>MMR015CMP016</v>
      </c>
      <c r="AZ416" s="524"/>
      <c r="DS416" s="181"/>
      <c r="DT416" s="181"/>
    </row>
    <row r="417" spans="2:124" hidden="1" x14ac:dyDescent="0.3">
      <c r="B417" s="530">
        <v>43369</v>
      </c>
      <c r="C417" s="530" t="str">
        <f>MONTH(Table_NFI[[#This Row],[Distribution Date]]) &amp; "/" &amp; YEAR(Table_NFI[[#This Row],[Distribution Date]])</f>
        <v>9/2018</v>
      </c>
      <c r="D417" s="196" t="s">
        <v>1560</v>
      </c>
      <c r="E417" s="196" t="s">
        <v>1732</v>
      </c>
      <c r="F417" s="196" t="s">
        <v>506</v>
      </c>
      <c r="G417" s="196" t="s">
        <v>288</v>
      </c>
      <c r="H417" s="175" t="s">
        <v>289</v>
      </c>
      <c r="I417" s="181"/>
      <c r="J417" s="531"/>
      <c r="K417" s="531"/>
      <c r="L417" s="531"/>
      <c r="M417" s="531">
        <v>60</v>
      </c>
      <c r="N417" s="531"/>
      <c r="O417" s="531"/>
      <c r="P417" s="531"/>
      <c r="Q417" s="531"/>
      <c r="R417" s="531"/>
      <c r="S417" s="531"/>
      <c r="T417" s="531"/>
      <c r="U417" s="531"/>
      <c r="V417" s="531"/>
      <c r="W417" s="531"/>
      <c r="X417" s="531"/>
      <c r="Y417" s="531"/>
      <c r="Z417" s="531"/>
      <c r="AA417" s="531"/>
      <c r="AB417" s="531"/>
      <c r="AC417" s="532" t="e">
        <f>IF(NFI_Expiration=1,IF(#REF!&lt;VLOOKUP(L$5,NFI,5,0),1,0)*Table_NFI[[#This Row],[NFI Core Kit]],Table_NFI[NFI Core Kit])</f>
        <v>#REF!</v>
      </c>
      <c r="AD417" s="532" t="e">
        <f>IF(NFI_Expiration=1,IF(#REF!&lt;VLOOKUP(M$5,NFI,5,0),1,0)*Table_NFI[[#This Row],[Sanitary Kit]],Table_NFI[Sanitary Kit])</f>
        <v>#REF!</v>
      </c>
      <c r="AE417" s="532" t="e">
        <f>IF(NFI_Expiration=1,IF(#REF!&lt;VLOOKUP(N$5,NFI,5,0),1,0)*Table_NFI[[#This Row],[Mosquito net]],Table_NFI[Mosquito net])</f>
        <v>#REF!</v>
      </c>
      <c r="AF417" s="532" t="e">
        <f>IF(NFI_Expiration=1,IF(#REF!&lt;VLOOKUP(O$5,NFI,5,0),1,0)*Table_NFI[[#This Row],[Tarpaulin]],Table_NFI[[#This Row],[Tarpaulin]])</f>
        <v>#REF!</v>
      </c>
      <c r="AG417" s="532" t="e">
        <f>IF(NFI_Expiration=1,IF(#REF!&lt;VLOOKUP(P$5,NFI,5,0),1,0)*Table_NFI[[#This Row],[Blanket]],Table_NFI[[#This Row],[Blanket]])</f>
        <v>#REF!</v>
      </c>
      <c r="AH417" s="532" t="e">
        <f>IF(NFI_Expiration=1,IF(#REF!&lt;VLOOKUP(Q$5,NFI,5,0),1,0)*Table_NFI[[#This Row],[Kitchen Set]],Table_NFI[Kitchen Set])</f>
        <v>#REF!</v>
      </c>
      <c r="AI417" s="532" t="e">
        <f>IF(NFI_Expiration=1,IF(#REF!&lt;VLOOKUP(R$5,NFI,5,0),1,0)*Table_NFI[[#This Row],[Clothes Kit]],Table_NFI[Clothes Kit])</f>
        <v>#REF!</v>
      </c>
      <c r="AJ417" s="532" t="e">
        <f>IF(NFI_Expiration=1,IF(#REF!&lt;VLOOKUP(S$5,NFI,5,0),1,0)*Table_NFI[[#This Row],[Plastic Bucket]],Table_NFI[Plastic Bucket])</f>
        <v>#REF!</v>
      </c>
      <c r="AK417" s="532" t="e">
        <f>IF(NFI_Expiration=1,IF(#REF!&lt;VLOOKUP(T$5,NFI,5,0),1,0)*Table_NFI[[#This Row],[Plastic Mat]],Table_NFI[Plastic Mat])*IF(Table_NFI[[#This Row],[Distribution Date]]&gt;"2014-04-01",1,2.5)</f>
        <v>#REF!</v>
      </c>
      <c r="AL417" s="532" t="e">
        <f>IF(NFI_Expiration=1,IF(#REF!&lt;VLOOKUP(U$5,NFI,5,0),1,0)*Table_NFI[[#This Row],[Winter Clothes Adult]],Table_NFI[Winter Clothes Adult])</f>
        <v>#REF!</v>
      </c>
      <c r="AM417" s="532"/>
      <c r="AN417" s="532"/>
      <c r="AO417" s="532"/>
      <c r="AP417" s="532">
        <f>IF(Table_NFI[[#This Row],[Winter Clothes Adult]]+Table_NFI[[#This Row],[Winter Clothes Children]]+Table_NFI[[#This Row],[Winter Items Other]]+Table_NFI[[#This Row],[Winter Blanket]]&gt;0,1,0)</f>
        <v>0</v>
      </c>
      <c r="AQ417" s="532"/>
      <c r="AR417" s="532"/>
      <c r="AS417" s="532"/>
      <c r="AT417" s="532"/>
      <c r="AU417" s="532"/>
      <c r="AV417" s="532"/>
      <c r="AW417" s="532"/>
      <c r="AX417" s="203" t="str">
        <f>IFERROR(VLOOKUP(Table_NFI[[#This Row],[Location]],CL,2,0),"")</f>
        <v>MMR015CMP001</v>
      </c>
      <c r="AZ417" s="524"/>
      <c r="DS417" s="181"/>
      <c r="DT417" s="181"/>
    </row>
    <row r="418" spans="2:124" hidden="1" x14ac:dyDescent="0.3">
      <c r="B418" s="530">
        <v>43346</v>
      </c>
      <c r="C418" s="530" t="str">
        <f>MONTH(Table_NFI[[#This Row],[Distribution Date]]) &amp; "/" &amp; YEAR(Table_NFI[[#This Row],[Distribution Date]])</f>
        <v>9/2018</v>
      </c>
      <c r="D418" s="196" t="s">
        <v>1560</v>
      </c>
      <c r="E418" s="196" t="s">
        <v>1560</v>
      </c>
      <c r="F418" s="196" t="s">
        <v>506</v>
      </c>
      <c r="G418" s="196" t="s">
        <v>146</v>
      </c>
      <c r="H418" s="268" t="s">
        <v>371</v>
      </c>
      <c r="I418" s="181"/>
      <c r="J418" s="531"/>
      <c r="K418" s="531"/>
      <c r="L418" s="531"/>
      <c r="M418" s="531">
        <v>151</v>
      </c>
      <c r="N418" s="531"/>
      <c r="O418" s="531"/>
      <c r="P418" s="531"/>
      <c r="Q418" s="531"/>
      <c r="R418" s="531"/>
      <c r="S418" s="531"/>
      <c r="T418" s="531"/>
      <c r="U418" s="531"/>
      <c r="V418" s="531"/>
      <c r="W418" s="531"/>
      <c r="X418" s="531"/>
      <c r="Y418" s="531"/>
      <c r="Z418" s="531"/>
      <c r="AA418" s="531"/>
      <c r="AB418" s="531"/>
      <c r="AC418" s="532" t="e">
        <f>IF(NFI_Expiration=1,IF(#REF!&lt;VLOOKUP(L$5,NFI,5,0),1,0)*Table_NFI[[#This Row],[NFI Core Kit]],Table_NFI[NFI Core Kit])</f>
        <v>#REF!</v>
      </c>
      <c r="AD418" s="532" t="e">
        <f>IF(NFI_Expiration=1,IF(#REF!&lt;VLOOKUP(M$5,NFI,5,0),1,0)*Table_NFI[[#This Row],[Sanitary Kit]],Table_NFI[Sanitary Kit])</f>
        <v>#REF!</v>
      </c>
      <c r="AE418" s="532" t="e">
        <f>IF(NFI_Expiration=1,IF(#REF!&lt;VLOOKUP(N$5,NFI,5,0),1,0)*Table_NFI[[#This Row],[Mosquito net]],Table_NFI[Mosquito net])</f>
        <v>#REF!</v>
      </c>
      <c r="AF418" s="532" t="e">
        <f>IF(NFI_Expiration=1,IF(#REF!&lt;VLOOKUP(O$5,NFI,5,0),1,0)*Table_NFI[[#This Row],[Tarpaulin]],Table_NFI[[#This Row],[Tarpaulin]])</f>
        <v>#REF!</v>
      </c>
      <c r="AG418" s="532" t="e">
        <f>IF(NFI_Expiration=1,IF(#REF!&lt;VLOOKUP(P$5,NFI,5,0),1,0)*Table_NFI[[#This Row],[Blanket]],Table_NFI[[#This Row],[Blanket]])</f>
        <v>#REF!</v>
      </c>
      <c r="AH418" s="532" t="e">
        <f>IF(NFI_Expiration=1,IF(#REF!&lt;VLOOKUP(Q$5,NFI,5,0),1,0)*Table_NFI[[#This Row],[Kitchen Set]],Table_NFI[Kitchen Set])</f>
        <v>#REF!</v>
      </c>
      <c r="AI418" s="532" t="e">
        <f>IF(NFI_Expiration=1,IF(#REF!&lt;VLOOKUP(R$5,NFI,5,0),1,0)*Table_NFI[[#This Row],[Clothes Kit]],Table_NFI[Clothes Kit])</f>
        <v>#REF!</v>
      </c>
      <c r="AJ418" s="532" t="e">
        <f>IF(NFI_Expiration=1,IF(#REF!&lt;VLOOKUP(S$5,NFI,5,0),1,0)*Table_NFI[[#This Row],[Plastic Bucket]],Table_NFI[Plastic Bucket])</f>
        <v>#REF!</v>
      </c>
      <c r="AK418" s="532" t="e">
        <f>IF(NFI_Expiration=1,IF(#REF!&lt;VLOOKUP(T$5,NFI,5,0),1,0)*Table_NFI[[#This Row],[Plastic Mat]],Table_NFI[Plastic Mat])*IF(Table_NFI[[#This Row],[Distribution Date]]&gt;"2014-04-01",1,2.5)</f>
        <v>#REF!</v>
      </c>
      <c r="AL418" s="532" t="e">
        <f>IF(NFI_Expiration=1,IF(#REF!&lt;VLOOKUP(U$5,NFI,5,0),1,0)*Table_NFI[[#This Row],[Winter Clothes Adult]],Table_NFI[Winter Clothes Adult])</f>
        <v>#REF!</v>
      </c>
      <c r="AM418" s="532"/>
      <c r="AN418" s="532"/>
      <c r="AO418" s="532"/>
      <c r="AP418" s="532">
        <f>IF(Table_NFI[[#This Row],[Winter Clothes Adult]]+Table_NFI[[#This Row],[Winter Clothes Children]]+Table_NFI[[#This Row],[Winter Items Other]]+Table_NFI[[#This Row],[Winter Blanket]]&gt;0,1,0)</f>
        <v>0</v>
      </c>
      <c r="AQ418" s="532"/>
      <c r="AR418" s="532"/>
      <c r="AS418" s="532"/>
      <c r="AT418" s="532"/>
      <c r="AU418" s="532"/>
      <c r="AV418" s="532"/>
      <c r="AW418" s="532"/>
      <c r="AX418" s="203" t="str">
        <f>IFERROR(VLOOKUP(Table_NFI[[#This Row],[Location]],CL,2,0),"")</f>
        <v>MMR015CMP020</v>
      </c>
      <c r="AZ418" s="524"/>
      <c r="DS418" s="181"/>
      <c r="DT418" s="181"/>
    </row>
    <row r="419" spans="2:124" hidden="1" x14ac:dyDescent="0.3">
      <c r="B419" s="530">
        <v>43360</v>
      </c>
      <c r="C419" s="530" t="str">
        <f>MONTH(Table_NFI[[#This Row],[Distribution Date]]) &amp; "/" &amp; YEAR(Table_NFI[[#This Row],[Distribution Date]])</f>
        <v>9/2018</v>
      </c>
      <c r="D419" s="196" t="s">
        <v>1560</v>
      </c>
      <c r="E419" s="196" t="s">
        <v>1732</v>
      </c>
      <c r="F419" s="196" t="s">
        <v>506</v>
      </c>
      <c r="G419" s="196" t="s">
        <v>146</v>
      </c>
      <c r="H419" s="175" t="s">
        <v>369</v>
      </c>
      <c r="I419" s="181"/>
      <c r="J419" s="531"/>
      <c r="K419" s="531"/>
      <c r="L419" s="531"/>
      <c r="M419" s="531">
        <v>33</v>
      </c>
      <c r="N419" s="531"/>
      <c r="O419" s="531"/>
      <c r="P419" s="531"/>
      <c r="Q419" s="531"/>
      <c r="R419" s="531"/>
      <c r="S419" s="531"/>
      <c r="T419" s="531"/>
      <c r="U419" s="531"/>
      <c r="V419" s="531"/>
      <c r="W419" s="531"/>
      <c r="X419" s="531"/>
      <c r="Y419" s="531"/>
      <c r="Z419" s="531"/>
      <c r="AA419" s="531"/>
      <c r="AB419" s="531"/>
      <c r="AC419" s="532" t="e">
        <f>IF(NFI_Expiration=1,IF(#REF!&lt;VLOOKUP(L$5,NFI,5,0),1,0)*Table_NFI[[#This Row],[NFI Core Kit]],Table_NFI[NFI Core Kit])</f>
        <v>#REF!</v>
      </c>
      <c r="AD419" s="532" t="e">
        <f>IF(NFI_Expiration=1,IF(#REF!&lt;VLOOKUP(M$5,NFI,5,0),1,0)*Table_NFI[[#This Row],[Sanitary Kit]],Table_NFI[Sanitary Kit])</f>
        <v>#REF!</v>
      </c>
      <c r="AE419" s="532" t="e">
        <f>IF(NFI_Expiration=1,IF(#REF!&lt;VLOOKUP(N$5,NFI,5,0),1,0)*Table_NFI[[#This Row],[Mosquito net]],Table_NFI[Mosquito net])</f>
        <v>#REF!</v>
      </c>
      <c r="AF419" s="532" t="e">
        <f>IF(NFI_Expiration=1,IF(#REF!&lt;VLOOKUP(O$5,NFI,5,0),1,0)*Table_NFI[[#This Row],[Tarpaulin]],Table_NFI[[#This Row],[Tarpaulin]])</f>
        <v>#REF!</v>
      </c>
      <c r="AG419" s="532" t="e">
        <f>IF(NFI_Expiration=1,IF(#REF!&lt;VLOOKUP(P$5,NFI,5,0),1,0)*Table_NFI[[#This Row],[Blanket]],Table_NFI[[#This Row],[Blanket]])</f>
        <v>#REF!</v>
      </c>
      <c r="AH419" s="532" t="e">
        <f>IF(NFI_Expiration=1,IF(#REF!&lt;VLOOKUP(Q$5,NFI,5,0),1,0)*Table_NFI[[#This Row],[Kitchen Set]],Table_NFI[Kitchen Set])</f>
        <v>#REF!</v>
      </c>
      <c r="AI419" s="532" t="e">
        <f>IF(NFI_Expiration=1,IF(#REF!&lt;VLOOKUP(R$5,NFI,5,0),1,0)*Table_NFI[[#This Row],[Clothes Kit]],Table_NFI[Clothes Kit])</f>
        <v>#REF!</v>
      </c>
      <c r="AJ419" s="532" t="e">
        <f>IF(NFI_Expiration=1,IF(#REF!&lt;VLOOKUP(S$5,NFI,5,0),1,0)*Table_NFI[[#This Row],[Plastic Bucket]],Table_NFI[Plastic Bucket])</f>
        <v>#REF!</v>
      </c>
      <c r="AK419" s="532" t="e">
        <f>IF(NFI_Expiration=1,IF(#REF!&lt;VLOOKUP(T$5,NFI,5,0),1,0)*Table_NFI[[#This Row],[Plastic Mat]],Table_NFI[Plastic Mat])*IF(Table_NFI[[#This Row],[Distribution Date]]&gt;"2014-04-01",1,2.5)</f>
        <v>#REF!</v>
      </c>
      <c r="AL419" s="532" t="e">
        <f>IF(NFI_Expiration=1,IF(#REF!&lt;VLOOKUP(U$5,NFI,5,0),1,0)*Table_NFI[[#This Row],[Winter Clothes Adult]],Table_NFI[Winter Clothes Adult])</f>
        <v>#REF!</v>
      </c>
      <c r="AM419" s="532"/>
      <c r="AN419" s="532"/>
      <c r="AO419" s="532"/>
      <c r="AP419" s="532">
        <f>IF(Table_NFI[[#This Row],[Winter Clothes Adult]]+Table_NFI[[#This Row],[Winter Clothes Children]]+Table_NFI[[#This Row],[Winter Items Other]]+Table_NFI[[#This Row],[Winter Blanket]]&gt;0,1,0)</f>
        <v>0</v>
      </c>
      <c r="AQ419" s="532"/>
      <c r="AR419" s="532"/>
      <c r="AS419" s="532"/>
      <c r="AT419" s="532"/>
      <c r="AU419" s="532"/>
      <c r="AV419" s="532"/>
      <c r="AW419" s="532"/>
      <c r="AX419" s="203" t="str">
        <f>IFERROR(VLOOKUP(Table_NFI[[#This Row],[Location]],CL,2,0),"")</f>
        <v>MMR015CMP006</v>
      </c>
      <c r="AZ419" s="524"/>
      <c r="DS419" s="181"/>
      <c r="DT419" s="181"/>
    </row>
    <row r="420" spans="2:124" hidden="1" x14ac:dyDescent="0.3">
      <c r="B420" s="530">
        <v>43374</v>
      </c>
      <c r="C420" s="530" t="str">
        <f>MONTH(Table_NFI[[#This Row],[Distribution Date]]) &amp; "/" &amp; YEAR(Table_NFI[[#This Row],[Distribution Date]])</f>
        <v>10/2018</v>
      </c>
      <c r="D420" s="196" t="s">
        <v>1560</v>
      </c>
      <c r="E420" s="196" t="s">
        <v>1560</v>
      </c>
      <c r="F420" s="196" t="s">
        <v>506</v>
      </c>
      <c r="G420" s="196" t="s">
        <v>146</v>
      </c>
      <c r="H420" s="175" t="s">
        <v>1230</v>
      </c>
      <c r="I420" s="181"/>
      <c r="J420" s="531"/>
      <c r="K420" s="531"/>
      <c r="L420" s="531"/>
      <c r="M420" s="531">
        <v>32</v>
      </c>
      <c r="N420" s="531"/>
      <c r="O420" s="531"/>
      <c r="P420" s="531"/>
      <c r="Q420" s="531"/>
      <c r="R420" s="531"/>
      <c r="S420" s="531"/>
      <c r="T420" s="531"/>
      <c r="U420" s="531"/>
      <c r="V420" s="531"/>
      <c r="W420" s="531"/>
      <c r="X420" s="531"/>
      <c r="Y420" s="531"/>
      <c r="Z420" s="531"/>
      <c r="AA420" s="531"/>
      <c r="AB420" s="531"/>
      <c r="AC420" s="532" t="e">
        <f>IF(NFI_Expiration=1,IF(#REF!&lt;VLOOKUP(L$5,NFI,5,0),1,0)*Table_NFI[[#This Row],[NFI Core Kit]],Table_NFI[NFI Core Kit])</f>
        <v>#REF!</v>
      </c>
      <c r="AD420" s="532" t="e">
        <f>IF(NFI_Expiration=1,IF(#REF!&lt;VLOOKUP(M$5,NFI,5,0),1,0)*Table_NFI[[#This Row],[Sanitary Kit]],Table_NFI[Sanitary Kit])</f>
        <v>#REF!</v>
      </c>
      <c r="AE420" s="532" t="e">
        <f>IF(NFI_Expiration=1,IF(#REF!&lt;VLOOKUP(N$5,NFI,5,0),1,0)*Table_NFI[[#This Row],[Mosquito net]],Table_NFI[Mosquito net])</f>
        <v>#REF!</v>
      </c>
      <c r="AF420" s="532" t="e">
        <f>IF(NFI_Expiration=1,IF(#REF!&lt;VLOOKUP(O$5,NFI,5,0),1,0)*Table_NFI[[#This Row],[Tarpaulin]],Table_NFI[[#This Row],[Tarpaulin]])</f>
        <v>#REF!</v>
      </c>
      <c r="AG420" s="532" t="e">
        <f>IF(NFI_Expiration=1,IF(#REF!&lt;VLOOKUP(P$5,NFI,5,0),1,0)*Table_NFI[[#This Row],[Blanket]],Table_NFI[[#This Row],[Blanket]])</f>
        <v>#REF!</v>
      </c>
      <c r="AH420" s="532" t="e">
        <f>IF(NFI_Expiration=1,IF(#REF!&lt;VLOOKUP(Q$5,NFI,5,0),1,0)*Table_NFI[[#This Row],[Kitchen Set]],Table_NFI[Kitchen Set])</f>
        <v>#REF!</v>
      </c>
      <c r="AI420" s="532" t="e">
        <f>IF(NFI_Expiration=1,IF(#REF!&lt;VLOOKUP(R$5,NFI,5,0),1,0)*Table_NFI[[#This Row],[Clothes Kit]],Table_NFI[Clothes Kit])</f>
        <v>#REF!</v>
      </c>
      <c r="AJ420" s="532" t="e">
        <f>IF(NFI_Expiration=1,IF(#REF!&lt;VLOOKUP(S$5,NFI,5,0),1,0)*Table_NFI[[#This Row],[Plastic Bucket]],Table_NFI[Plastic Bucket])</f>
        <v>#REF!</v>
      </c>
      <c r="AK420" s="532" t="e">
        <f>IF(NFI_Expiration=1,IF(#REF!&lt;VLOOKUP(T$5,NFI,5,0),1,0)*Table_NFI[[#This Row],[Plastic Mat]],Table_NFI[Plastic Mat])*IF(Table_NFI[[#This Row],[Distribution Date]]&gt;"2014-04-01",1,2.5)</f>
        <v>#REF!</v>
      </c>
      <c r="AL420" s="532" t="e">
        <f>IF(NFI_Expiration=1,IF(#REF!&lt;VLOOKUP(U$5,NFI,5,0),1,0)*Table_NFI[[#This Row],[Winter Clothes Adult]],Table_NFI[Winter Clothes Adult])</f>
        <v>#REF!</v>
      </c>
      <c r="AM420" s="532"/>
      <c r="AN420" s="532"/>
      <c r="AO420" s="532"/>
      <c r="AP420" s="532">
        <f>IF(Table_NFI[[#This Row],[Winter Clothes Adult]]+Table_NFI[[#This Row],[Winter Clothes Children]]+Table_NFI[[#This Row],[Winter Items Other]]+Table_NFI[[#This Row],[Winter Blanket]]&gt;0,1,0)</f>
        <v>0</v>
      </c>
      <c r="AQ420" s="532"/>
      <c r="AR420" s="532"/>
      <c r="AS420" s="532"/>
      <c r="AT420" s="532"/>
      <c r="AU420" s="532"/>
      <c r="AV420" s="532"/>
      <c r="AW420" s="532"/>
      <c r="AX420" s="203" t="str">
        <f>IFERROR(VLOOKUP(Table_NFI[[#This Row],[Location]],CL,2,0),"")</f>
        <v>MMR015CMP245</v>
      </c>
      <c r="AZ420" s="524"/>
      <c r="DS420" s="181"/>
      <c r="DT420" s="181"/>
    </row>
    <row r="421" spans="2:124" hidden="1" x14ac:dyDescent="0.3">
      <c r="B421" s="530">
        <v>43341</v>
      </c>
      <c r="C421" s="530" t="str">
        <f>MONTH(Table_NFI[[#This Row],[Distribution Date]]) &amp; "/" &amp; YEAR(Table_NFI[[#This Row],[Distribution Date]])</f>
        <v>8/2018</v>
      </c>
      <c r="D421" s="196" t="s">
        <v>1560</v>
      </c>
      <c r="E421" s="196" t="s">
        <v>1560</v>
      </c>
      <c r="F421" s="196" t="s">
        <v>506</v>
      </c>
      <c r="G421" s="196" t="s">
        <v>146</v>
      </c>
      <c r="H421" s="175" t="s">
        <v>1230</v>
      </c>
      <c r="I421" s="181"/>
      <c r="J421" s="531"/>
      <c r="K421" s="531"/>
      <c r="L421" s="531"/>
      <c r="M421" s="531">
        <v>32</v>
      </c>
      <c r="N421" s="531"/>
      <c r="O421" s="531"/>
      <c r="P421" s="531"/>
      <c r="Q421" s="531"/>
      <c r="R421" s="531"/>
      <c r="S421" s="531"/>
      <c r="T421" s="531"/>
      <c r="U421" s="531"/>
      <c r="V421" s="531"/>
      <c r="W421" s="531"/>
      <c r="X421" s="531"/>
      <c r="Y421" s="531"/>
      <c r="Z421" s="531"/>
      <c r="AA421" s="531"/>
      <c r="AB421" s="531"/>
      <c r="AC421" s="532" t="e">
        <f>IF(NFI_Expiration=1,IF(#REF!&lt;VLOOKUP(L$5,NFI,5,0),1,0)*Table_NFI[[#This Row],[NFI Core Kit]],Table_NFI[NFI Core Kit])</f>
        <v>#REF!</v>
      </c>
      <c r="AD421" s="532" t="e">
        <f>IF(NFI_Expiration=1,IF(#REF!&lt;VLOOKUP(M$5,NFI,5,0),1,0)*Table_NFI[[#This Row],[Sanitary Kit]],Table_NFI[Sanitary Kit])</f>
        <v>#REF!</v>
      </c>
      <c r="AE421" s="532" t="e">
        <f>IF(NFI_Expiration=1,IF(#REF!&lt;VLOOKUP(N$5,NFI,5,0),1,0)*Table_NFI[[#This Row],[Mosquito net]],Table_NFI[Mosquito net])</f>
        <v>#REF!</v>
      </c>
      <c r="AF421" s="532" t="e">
        <f>IF(NFI_Expiration=1,IF(#REF!&lt;VLOOKUP(O$5,NFI,5,0),1,0)*Table_NFI[[#This Row],[Tarpaulin]],Table_NFI[[#This Row],[Tarpaulin]])</f>
        <v>#REF!</v>
      </c>
      <c r="AG421" s="532" t="e">
        <f>IF(NFI_Expiration=1,IF(#REF!&lt;VLOOKUP(P$5,NFI,5,0),1,0)*Table_NFI[[#This Row],[Blanket]],Table_NFI[[#This Row],[Blanket]])</f>
        <v>#REF!</v>
      </c>
      <c r="AH421" s="532" t="e">
        <f>IF(NFI_Expiration=1,IF(#REF!&lt;VLOOKUP(Q$5,NFI,5,0),1,0)*Table_NFI[[#This Row],[Kitchen Set]],Table_NFI[Kitchen Set])</f>
        <v>#REF!</v>
      </c>
      <c r="AI421" s="532" t="e">
        <f>IF(NFI_Expiration=1,IF(#REF!&lt;VLOOKUP(R$5,NFI,5,0),1,0)*Table_NFI[[#This Row],[Clothes Kit]],Table_NFI[Clothes Kit])</f>
        <v>#REF!</v>
      </c>
      <c r="AJ421" s="532" t="e">
        <f>IF(NFI_Expiration=1,IF(#REF!&lt;VLOOKUP(S$5,NFI,5,0),1,0)*Table_NFI[[#This Row],[Plastic Bucket]],Table_NFI[Plastic Bucket])</f>
        <v>#REF!</v>
      </c>
      <c r="AK421" s="532" t="e">
        <f>IF(NFI_Expiration=1,IF(#REF!&lt;VLOOKUP(T$5,NFI,5,0),1,0)*Table_NFI[[#This Row],[Plastic Mat]],Table_NFI[Plastic Mat])*IF(Table_NFI[[#This Row],[Distribution Date]]&gt;"2014-04-01",1,2.5)</f>
        <v>#REF!</v>
      </c>
      <c r="AL421" s="532" t="e">
        <f>IF(NFI_Expiration=1,IF(#REF!&lt;VLOOKUP(U$5,NFI,5,0),1,0)*Table_NFI[[#This Row],[Winter Clothes Adult]],Table_NFI[Winter Clothes Adult])</f>
        <v>#REF!</v>
      </c>
      <c r="AM421" s="532"/>
      <c r="AN421" s="532"/>
      <c r="AO421" s="532"/>
      <c r="AP421" s="532">
        <f>IF(Table_NFI[[#This Row],[Winter Clothes Adult]]+Table_NFI[[#This Row],[Winter Clothes Children]]+Table_NFI[[#This Row],[Winter Items Other]]+Table_NFI[[#This Row],[Winter Blanket]]&gt;0,1,0)</f>
        <v>0</v>
      </c>
      <c r="AQ421" s="532"/>
      <c r="AR421" s="532"/>
      <c r="AS421" s="532"/>
      <c r="AT421" s="532"/>
      <c r="AU421" s="532"/>
      <c r="AV421" s="532"/>
      <c r="AW421" s="532"/>
      <c r="AX421" s="203" t="str">
        <f>IFERROR(VLOOKUP(Table_NFI[[#This Row],[Location]],CL,2,0),"")</f>
        <v>MMR015CMP245</v>
      </c>
      <c r="AZ421" s="524"/>
      <c r="DS421" s="181"/>
      <c r="DT421" s="181"/>
    </row>
    <row r="422" spans="2:124" hidden="1" x14ac:dyDescent="0.3">
      <c r="B422" s="530">
        <v>43357</v>
      </c>
      <c r="C422" s="530" t="str">
        <f>MONTH(Table_NFI[[#This Row],[Distribution Date]]) &amp; "/" &amp; YEAR(Table_NFI[[#This Row],[Distribution Date]])</f>
        <v>9/2018</v>
      </c>
      <c r="D422" s="196" t="s">
        <v>1560</v>
      </c>
      <c r="E422" s="196" t="s">
        <v>1560</v>
      </c>
      <c r="F422" s="196" t="s">
        <v>506</v>
      </c>
      <c r="G422" s="196" t="s">
        <v>146</v>
      </c>
      <c r="H422" s="175" t="s">
        <v>1230</v>
      </c>
      <c r="I422" s="181"/>
      <c r="J422" s="531"/>
      <c r="K422" s="531"/>
      <c r="L422" s="531"/>
      <c r="M422" s="531">
        <v>32</v>
      </c>
      <c r="N422" s="531"/>
      <c r="O422" s="531"/>
      <c r="P422" s="531"/>
      <c r="Q422" s="531"/>
      <c r="R422" s="531"/>
      <c r="S422" s="531"/>
      <c r="T422" s="531"/>
      <c r="U422" s="531"/>
      <c r="V422" s="531"/>
      <c r="W422" s="531"/>
      <c r="X422" s="531"/>
      <c r="Y422" s="531"/>
      <c r="Z422" s="531"/>
      <c r="AA422" s="531"/>
      <c r="AB422" s="531"/>
      <c r="AC422" s="532" t="e">
        <f>IF(NFI_Expiration=1,IF(#REF!&lt;VLOOKUP(L$5,NFI,5,0),1,0)*Table_NFI[[#This Row],[NFI Core Kit]],Table_NFI[NFI Core Kit])</f>
        <v>#REF!</v>
      </c>
      <c r="AD422" s="532" t="e">
        <f>IF(NFI_Expiration=1,IF(#REF!&lt;VLOOKUP(M$5,NFI,5,0),1,0)*Table_NFI[[#This Row],[Sanitary Kit]],Table_NFI[Sanitary Kit])</f>
        <v>#REF!</v>
      </c>
      <c r="AE422" s="532" t="e">
        <f>IF(NFI_Expiration=1,IF(#REF!&lt;VLOOKUP(N$5,NFI,5,0),1,0)*Table_NFI[[#This Row],[Mosquito net]],Table_NFI[Mosquito net])</f>
        <v>#REF!</v>
      </c>
      <c r="AF422" s="532" t="e">
        <f>IF(NFI_Expiration=1,IF(#REF!&lt;VLOOKUP(O$5,NFI,5,0),1,0)*Table_NFI[[#This Row],[Tarpaulin]],Table_NFI[[#This Row],[Tarpaulin]])</f>
        <v>#REF!</v>
      </c>
      <c r="AG422" s="532" t="e">
        <f>IF(NFI_Expiration=1,IF(#REF!&lt;VLOOKUP(P$5,NFI,5,0),1,0)*Table_NFI[[#This Row],[Blanket]],Table_NFI[[#This Row],[Blanket]])</f>
        <v>#REF!</v>
      </c>
      <c r="AH422" s="532" t="e">
        <f>IF(NFI_Expiration=1,IF(#REF!&lt;VLOOKUP(Q$5,NFI,5,0),1,0)*Table_NFI[[#This Row],[Kitchen Set]],Table_NFI[Kitchen Set])</f>
        <v>#REF!</v>
      </c>
      <c r="AI422" s="532" t="e">
        <f>IF(NFI_Expiration=1,IF(#REF!&lt;VLOOKUP(R$5,NFI,5,0),1,0)*Table_NFI[[#This Row],[Clothes Kit]],Table_NFI[Clothes Kit])</f>
        <v>#REF!</v>
      </c>
      <c r="AJ422" s="532" t="e">
        <f>IF(NFI_Expiration=1,IF(#REF!&lt;VLOOKUP(S$5,NFI,5,0),1,0)*Table_NFI[[#This Row],[Plastic Bucket]],Table_NFI[Plastic Bucket])</f>
        <v>#REF!</v>
      </c>
      <c r="AK422" s="532" t="e">
        <f>IF(NFI_Expiration=1,IF(#REF!&lt;VLOOKUP(T$5,NFI,5,0),1,0)*Table_NFI[[#This Row],[Plastic Mat]],Table_NFI[Plastic Mat])*IF(Table_NFI[[#This Row],[Distribution Date]]&gt;"2014-04-01",1,2.5)</f>
        <v>#REF!</v>
      </c>
      <c r="AL422" s="532" t="e">
        <f>IF(NFI_Expiration=1,IF(#REF!&lt;VLOOKUP(U$5,NFI,5,0),1,0)*Table_NFI[[#This Row],[Winter Clothes Adult]],Table_NFI[Winter Clothes Adult])</f>
        <v>#REF!</v>
      </c>
      <c r="AM422" s="532"/>
      <c r="AN422" s="532"/>
      <c r="AO422" s="532"/>
      <c r="AP422" s="532">
        <f>IF(Table_NFI[[#This Row],[Winter Clothes Adult]]+Table_NFI[[#This Row],[Winter Clothes Children]]+Table_NFI[[#This Row],[Winter Items Other]]+Table_NFI[[#This Row],[Winter Blanket]]&gt;0,1,0)</f>
        <v>0</v>
      </c>
      <c r="AQ422" s="532"/>
      <c r="AR422" s="532"/>
      <c r="AS422" s="532"/>
      <c r="AT422" s="532"/>
      <c r="AU422" s="532"/>
      <c r="AV422" s="532"/>
      <c r="AW422" s="532"/>
      <c r="AX422" s="203" t="str">
        <f>IFERROR(VLOOKUP(Table_NFI[[#This Row],[Location]],CL,2,0),"")</f>
        <v>MMR015CMP245</v>
      </c>
      <c r="AZ422" s="524"/>
      <c r="DS422" s="181"/>
      <c r="DT422" s="181"/>
    </row>
    <row r="423" spans="2:124" hidden="1" x14ac:dyDescent="0.3">
      <c r="B423" s="530">
        <v>43388</v>
      </c>
      <c r="C423" s="530" t="str">
        <f>MONTH(Table_NFI[[#This Row],[Distribution Date]]) &amp; "/" &amp; YEAR(Table_NFI[[#This Row],[Distribution Date]])</f>
        <v>10/2018</v>
      </c>
      <c r="D423" s="196" t="s">
        <v>1560</v>
      </c>
      <c r="E423" s="196" t="s">
        <v>1732</v>
      </c>
      <c r="F423" s="196" t="s">
        <v>506</v>
      </c>
      <c r="G423" s="196" t="s">
        <v>288</v>
      </c>
      <c r="H423" s="175" t="s">
        <v>289</v>
      </c>
      <c r="I423" s="181"/>
      <c r="J423" s="531"/>
      <c r="K423" s="531"/>
      <c r="L423" s="531"/>
      <c r="M423" s="531">
        <v>114</v>
      </c>
      <c r="N423" s="531"/>
      <c r="O423" s="531"/>
      <c r="P423" s="531"/>
      <c r="Q423" s="531"/>
      <c r="R423" s="531"/>
      <c r="S423" s="531"/>
      <c r="T423" s="531"/>
      <c r="U423" s="531"/>
      <c r="V423" s="531"/>
      <c r="W423" s="531"/>
      <c r="X423" s="531"/>
      <c r="Y423" s="531"/>
      <c r="Z423" s="531"/>
      <c r="AA423" s="531"/>
      <c r="AB423" s="531"/>
      <c r="AC423" s="532" t="e">
        <f>IF(NFI_Expiration=1,IF(#REF!&lt;VLOOKUP(L$5,NFI,5,0),1,0)*Table_NFI[[#This Row],[NFI Core Kit]],Table_NFI[NFI Core Kit])</f>
        <v>#REF!</v>
      </c>
      <c r="AD423" s="532" t="e">
        <f>IF(NFI_Expiration=1,IF(#REF!&lt;VLOOKUP(M$5,NFI,5,0),1,0)*Table_NFI[[#This Row],[Sanitary Kit]],Table_NFI[Sanitary Kit])</f>
        <v>#REF!</v>
      </c>
      <c r="AE423" s="532" t="e">
        <f>IF(NFI_Expiration=1,IF(#REF!&lt;VLOOKUP(N$5,NFI,5,0),1,0)*Table_NFI[[#This Row],[Mosquito net]],Table_NFI[Mosquito net])</f>
        <v>#REF!</v>
      </c>
      <c r="AF423" s="532" t="e">
        <f>IF(NFI_Expiration=1,IF(#REF!&lt;VLOOKUP(O$5,NFI,5,0),1,0)*Table_NFI[[#This Row],[Tarpaulin]],Table_NFI[[#This Row],[Tarpaulin]])</f>
        <v>#REF!</v>
      </c>
      <c r="AG423" s="532" t="e">
        <f>IF(NFI_Expiration=1,IF(#REF!&lt;VLOOKUP(P$5,NFI,5,0),1,0)*Table_NFI[[#This Row],[Blanket]],Table_NFI[[#This Row],[Blanket]])</f>
        <v>#REF!</v>
      </c>
      <c r="AH423" s="532" t="e">
        <f>IF(NFI_Expiration=1,IF(#REF!&lt;VLOOKUP(Q$5,NFI,5,0),1,0)*Table_NFI[[#This Row],[Kitchen Set]],Table_NFI[Kitchen Set])</f>
        <v>#REF!</v>
      </c>
      <c r="AI423" s="532" t="e">
        <f>IF(NFI_Expiration=1,IF(#REF!&lt;VLOOKUP(R$5,NFI,5,0),1,0)*Table_NFI[[#This Row],[Clothes Kit]],Table_NFI[Clothes Kit])</f>
        <v>#REF!</v>
      </c>
      <c r="AJ423" s="532" t="e">
        <f>IF(NFI_Expiration=1,IF(#REF!&lt;VLOOKUP(S$5,NFI,5,0),1,0)*Table_NFI[[#This Row],[Plastic Bucket]],Table_NFI[Plastic Bucket])</f>
        <v>#REF!</v>
      </c>
      <c r="AK423" s="532" t="e">
        <f>IF(NFI_Expiration=1,IF(#REF!&lt;VLOOKUP(T$5,NFI,5,0),1,0)*Table_NFI[[#This Row],[Plastic Mat]],Table_NFI[Plastic Mat])*IF(Table_NFI[[#This Row],[Distribution Date]]&gt;"2014-04-01",1,2.5)</f>
        <v>#REF!</v>
      </c>
      <c r="AL423" s="532" t="e">
        <f>IF(NFI_Expiration=1,IF(#REF!&lt;VLOOKUP(U$5,NFI,5,0),1,0)*Table_NFI[[#This Row],[Winter Clothes Adult]],Table_NFI[Winter Clothes Adult])</f>
        <v>#REF!</v>
      </c>
      <c r="AM423" s="532"/>
      <c r="AN423" s="532"/>
      <c r="AO423" s="532"/>
      <c r="AP423" s="532">
        <f>IF(Table_NFI[[#This Row],[Winter Clothes Adult]]+Table_NFI[[#This Row],[Winter Clothes Children]]+Table_NFI[[#This Row],[Winter Items Other]]+Table_NFI[[#This Row],[Winter Blanket]]&gt;0,1,0)</f>
        <v>0</v>
      </c>
      <c r="AQ423" s="532"/>
      <c r="AR423" s="532"/>
      <c r="AS423" s="532"/>
      <c r="AT423" s="532"/>
      <c r="AU423" s="532"/>
      <c r="AV423" s="532"/>
      <c r="AW423" s="532"/>
      <c r="AX423" s="203" t="str">
        <f>IFERROR(VLOOKUP(Table_NFI[[#This Row],[Location]],CL,2,0),"")</f>
        <v>MMR015CMP001</v>
      </c>
      <c r="AZ423" s="524"/>
      <c r="DS423" s="181"/>
      <c r="DT423" s="181"/>
    </row>
    <row r="424" spans="2:124" hidden="1" x14ac:dyDescent="0.3">
      <c r="B424" s="530">
        <v>43388</v>
      </c>
      <c r="C424" s="530" t="str">
        <f>MONTH(Table_NFI[[#This Row],[Distribution Date]]) &amp; "/" &amp; YEAR(Table_NFI[[#This Row],[Distribution Date]])</f>
        <v>10/2018</v>
      </c>
      <c r="D424" s="196" t="s">
        <v>1560</v>
      </c>
      <c r="E424" s="196" t="s">
        <v>1732</v>
      </c>
      <c r="F424" s="196" t="s">
        <v>506</v>
      </c>
      <c r="G424" s="196" t="s">
        <v>288</v>
      </c>
      <c r="H424" s="175" t="s">
        <v>291</v>
      </c>
      <c r="I424" s="181"/>
      <c r="J424" s="531"/>
      <c r="K424" s="531"/>
      <c r="L424" s="531"/>
      <c r="M424" s="531">
        <v>73</v>
      </c>
      <c r="N424" s="531"/>
      <c r="O424" s="531"/>
      <c r="P424" s="531"/>
      <c r="Q424" s="531"/>
      <c r="R424" s="531"/>
      <c r="S424" s="531"/>
      <c r="T424" s="531"/>
      <c r="U424" s="531"/>
      <c r="V424" s="531"/>
      <c r="W424" s="531"/>
      <c r="X424" s="531"/>
      <c r="Y424" s="531"/>
      <c r="Z424" s="531"/>
      <c r="AA424" s="531"/>
      <c r="AB424" s="531"/>
      <c r="AC424" s="532" t="e">
        <f>IF(NFI_Expiration=1,IF(#REF!&lt;VLOOKUP(L$5,NFI,5,0),1,0)*Table_NFI[[#This Row],[NFI Core Kit]],Table_NFI[NFI Core Kit])</f>
        <v>#REF!</v>
      </c>
      <c r="AD424" s="532" t="e">
        <f>IF(NFI_Expiration=1,IF(#REF!&lt;VLOOKUP(M$5,NFI,5,0),1,0)*Table_NFI[[#This Row],[Sanitary Kit]],Table_NFI[Sanitary Kit])</f>
        <v>#REF!</v>
      </c>
      <c r="AE424" s="532" t="e">
        <f>IF(NFI_Expiration=1,IF(#REF!&lt;VLOOKUP(N$5,NFI,5,0),1,0)*Table_NFI[[#This Row],[Mosquito net]],Table_NFI[Mosquito net])</f>
        <v>#REF!</v>
      </c>
      <c r="AF424" s="532" t="e">
        <f>IF(NFI_Expiration=1,IF(#REF!&lt;VLOOKUP(O$5,NFI,5,0),1,0)*Table_NFI[[#This Row],[Tarpaulin]],Table_NFI[[#This Row],[Tarpaulin]])</f>
        <v>#REF!</v>
      </c>
      <c r="AG424" s="532" t="e">
        <f>IF(NFI_Expiration=1,IF(#REF!&lt;VLOOKUP(P$5,NFI,5,0),1,0)*Table_NFI[[#This Row],[Blanket]],Table_NFI[[#This Row],[Blanket]])</f>
        <v>#REF!</v>
      </c>
      <c r="AH424" s="532" t="e">
        <f>IF(NFI_Expiration=1,IF(#REF!&lt;VLOOKUP(Q$5,NFI,5,0),1,0)*Table_NFI[[#This Row],[Kitchen Set]],Table_NFI[Kitchen Set])</f>
        <v>#REF!</v>
      </c>
      <c r="AI424" s="532" t="e">
        <f>IF(NFI_Expiration=1,IF(#REF!&lt;VLOOKUP(R$5,NFI,5,0),1,0)*Table_NFI[[#This Row],[Clothes Kit]],Table_NFI[Clothes Kit])</f>
        <v>#REF!</v>
      </c>
      <c r="AJ424" s="532" t="e">
        <f>IF(NFI_Expiration=1,IF(#REF!&lt;VLOOKUP(S$5,NFI,5,0),1,0)*Table_NFI[[#This Row],[Plastic Bucket]],Table_NFI[Plastic Bucket])</f>
        <v>#REF!</v>
      </c>
      <c r="AK424" s="532" t="e">
        <f>IF(NFI_Expiration=1,IF(#REF!&lt;VLOOKUP(T$5,NFI,5,0),1,0)*Table_NFI[[#This Row],[Plastic Mat]],Table_NFI[Plastic Mat])*IF(Table_NFI[[#This Row],[Distribution Date]]&gt;"2014-04-01",1,2.5)</f>
        <v>#REF!</v>
      </c>
      <c r="AL424" s="532" t="e">
        <f>IF(NFI_Expiration=1,IF(#REF!&lt;VLOOKUP(U$5,NFI,5,0),1,0)*Table_NFI[[#This Row],[Winter Clothes Adult]],Table_NFI[Winter Clothes Adult])</f>
        <v>#REF!</v>
      </c>
      <c r="AM424" s="532"/>
      <c r="AN424" s="532"/>
      <c r="AO424" s="532"/>
      <c r="AP424" s="532">
        <f>IF(Table_NFI[[#This Row],[Winter Clothes Adult]]+Table_NFI[[#This Row],[Winter Clothes Children]]+Table_NFI[[#This Row],[Winter Items Other]]+Table_NFI[[#This Row],[Winter Blanket]]&gt;0,1,0)</f>
        <v>0</v>
      </c>
      <c r="AQ424" s="532"/>
      <c r="AR424" s="532"/>
      <c r="AS424" s="532"/>
      <c r="AT424" s="532"/>
      <c r="AU424" s="532"/>
      <c r="AV424" s="532"/>
      <c r="AW424" s="532"/>
      <c r="AX424" s="203" t="str">
        <f>IFERROR(VLOOKUP(Table_NFI[[#This Row],[Location]],CL,2,0),"")</f>
        <v>MMR015CMP004</v>
      </c>
      <c r="AZ424" s="524"/>
      <c r="DS424" s="181"/>
      <c r="DT424" s="181"/>
    </row>
    <row r="425" spans="2:124" hidden="1" x14ac:dyDescent="0.3">
      <c r="B425" s="530">
        <v>43397</v>
      </c>
      <c r="C425" s="530" t="str">
        <f>MONTH(Table_NFI[[#This Row],[Distribution Date]]) &amp; "/" &amp; YEAR(Table_NFI[[#This Row],[Distribution Date]])</f>
        <v>10/2018</v>
      </c>
      <c r="D425" s="196" t="s">
        <v>1560</v>
      </c>
      <c r="E425" s="196" t="s">
        <v>1560</v>
      </c>
      <c r="F425" s="196" t="s">
        <v>506</v>
      </c>
      <c r="G425" s="196" t="s">
        <v>230</v>
      </c>
      <c r="H425" s="268" t="s">
        <v>901</v>
      </c>
      <c r="I425" s="181"/>
      <c r="J425" s="531"/>
      <c r="K425" s="531"/>
      <c r="L425" s="531"/>
      <c r="M425" s="531">
        <v>20</v>
      </c>
      <c r="N425" s="531"/>
      <c r="O425" s="531"/>
      <c r="P425" s="531"/>
      <c r="Q425" s="531"/>
      <c r="R425" s="531"/>
      <c r="S425" s="531"/>
      <c r="T425" s="531"/>
      <c r="U425" s="531"/>
      <c r="V425" s="531"/>
      <c r="W425" s="531"/>
      <c r="X425" s="531"/>
      <c r="Y425" s="531"/>
      <c r="Z425" s="531"/>
      <c r="AA425" s="531"/>
      <c r="AB425" s="531"/>
      <c r="AC425" s="532" t="e">
        <f>IF(NFI_Expiration=1,IF(#REF!&lt;VLOOKUP(L$5,NFI,5,0),1,0)*Table_NFI[[#This Row],[NFI Core Kit]],Table_NFI[NFI Core Kit])</f>
        <v>#REF!</v>
      </c>
      <c r="AD425" s="532" t="e">
        <f>IF(NFI_Expiration=1,IF(#REF!&lt;VLOOKUP(M$5,NFI,5,0),1,0)*Table_NFI[[#This Row],[Sanitary Kit]],Table_NFI[Sanitary Kit])</f>
        <v>#REF!</v>
      </c>
      <c r="AE425" s="532" t="e">
        <f>IF(NFI_Expiration=1,IF(#REF!&lt;VLOOKUP(N$5,NFI,5,0),1,0)*Table_NFI[[#This Row],[Mosquito net]],Table_NFI[Mosquito net])</f>
        <v>#REF!</v>
      </c>
      <c r="AF425" s="532" t="e">
        <f>IF(NFI_Expiration=1,IF(#REF!&lt;VLOOKUP(O$5,NFI,5,0),1,0)*Table_NFI[[#This Row],[Tarpaulin]],Table_NFI[[#This Row],[Tarpaulin]])</f>
        <v>#REF!</v>
      </c>
      <c r="AG425" s="532" t="e">
        <f>IF(NFI_Expiration=1,IF(#REF!&lt;VLOOKUP(P$5,NFI,5,0),1,0)*Table_NFI[[#This Row],[Blanket]],Table_NFI[[#This Row],[Blanket]])</f>
        <v>#REF!</v>
      </c>
      <c r="AH425" s="532" t="e">
        <f>IF(NFI_Expiration=1,IF(#REF!&lt;VLOOKUP(Q$5,NFI,5,0),1,0)*Table_NFI[[#This Row],[Kitchen Set]],Table_NFI[Kitchen Set])</f>
        <v>#REF!</v>
      </c>
      <c r="AI425" s="532" t="e">
        <f>IF(NFI_Expiration=1,IF(#REF!&lt;VLOOKUP(R$5,NFI,5,0),1,0)*Table_NFI[[#This Row],[Clothes Kit]],Table_NFI[Clothes Kit])</f>
        <v>#REF!</v>
      </c>
      <c r="AJ425" s="532" t="e">
        <f>IF(NFI_Expiration=1,IF(#REF!&lt;VLOOKUP(S$5,NFI,5,0),1,0)*Table_NFI[[#This Row],[Plastic Bucket]],Table_NFI[Plastic Bucket])</f>
        <v>#REF!</v>
      </c>
      <c r="AK425" s="532" t="e">
        <f>IF(NFI_Expiration=1,IF(#REF!&lt;VLOOKUP(T$5,NFI,5,0),1,0)*Table_NFI[[#This Row],[Plastic Mat]],Table_NFI[Plastic Mat])*IF(Table_NFI[[#This Row],[Distribution Date]]&gt;"2014-04-01",1,2.5)</f>
        <v>#REF!</v>
      </c>
      <c r="AL425" s="532" t="e">
        <f>IF(NFI_Expiration=1,IF(#REF!&lt;VLOOKUP(U$5,NFI,5,0),1,0)*Table_NFI[[#This Row],[Winter Clothes Adult]],Table_NFI[Winter Clothes Adult])</f>
        <v>#REF!</v>
      </c>
      <c r="AM425" s="532"/>
      <c r="AN425" s="532"/>
      <c r="AO425" s="532"/>
      <c r="AP425" s="532">
        <f>IF(Table_NFI[[#This Row],[Winter Clothes Adult]]+Table_NFI[[#This Row],[Winter Clothes Children]]+Table_NFI[[#This Row],[Winter Items Other]]+Table_NFI[[#This Row],[Winter Blanket]]&gt;0,1,0)</f>
        <v>0</v>
      </c>
      <c r="AQ425" s="532"/>
      <c r="AR425" s="532"/>
      <c r="AS425" s="532"/>
      <c r="AT425" s="532"/>
      <c r="AU425" s="532"/>
      <c r="AV425" s="532"/>
      <c r="AW425" s="532"/>
      <c r="AX425" s="203" t="str">
        <f>IFERROR(VLOOKUP(Table_NFI[[#This Row],[Location]],CL,2,0),"")</f>
        <v>MMR015CMP213</v>
      </c>
      <c r="AZ425" s="524"/>
      <c r="DS425" s="181"/>
      <c r="DT425" s="181"/>
    </row>
    <row r="426" spans="2:124" hidden="1" x14ac:dyDescent="0.3">
      <c r="B426" s="530">
        <v>43402</v>
      </c>
      <c r="C426" s="530" t="str">
        <f>MONTH(Table_NFI[[#This Row],[Distribution Date]]) &amp; "/" &amp; YEAR(Table_NFI[[#This Row],[Distribution Date]])</f>
        <v>10/2018</v>
      </c>
      <c r="D426" s="196" t="s">
        <v>1560</v>
      </c>
      <c r="E426" s="196" t="s">
        <v>1560</v>
      </c>
      <c r="F426" s="196" t="s">
        <v>506</v>
      </c>
      <c r="G426" s="196" t="s">
        <v>146</v>
      </c>
      <c r="H426" s="268" t="s">
        <v>1590</v>
      </c>
      <c r="I426" s="181"/>
      <c r="J426" s="531"/>
      <c r="K426" s="531"/>
      <c r="L426" s="531"/>
      <c r="M426" s="531">
        <v>9</v>
      </c>
      <c r="N426" s="531"/>
      <c r="O426" s="531"/>
      <c r="P426" s="531"/>
      <c r="Q426" s="531"/>
      <c r="R426" s="531"/>
      <c r="S426" s="531"/>
      <c r="T426" s="531"/>
      <c r="U426" s="531"/>
      <c r="V426" s="531"/>
      <c r="W426" s="531"/>
      <c r="X426" s="531"/>
      <c r="Y426" s="531"/>
      <c r="Z426" s="531"/>
      <c r="AA426" s="531"/>
      <c r="AB426" s="531"/>
      <c r="AC426" s="532" t="e">
        <f>IF(NFI_Expiration=1,IF(#REF!&lt;VLOOKUP(L$5,NFI,5,0),1,0)*Table_NFI[[#This Row],[NFI Core Kit]],Table_NFI[NFI Core Kit])</f>
        <v>#REF!</v>
      </c>
      <c r="AD426" s="532" t="e">
        <f>IF(NFI_Expiration=1,IF(#REF!&lt;VLOOKUP(M$5,NFI,5,0),1,0)*Table_NFI[[#This Row],[Sanitary Kit]],Table_NFI[Sanitary Kit])</f>
        <v>#REF!</v>
      </c>
      <c r="AE426" s="532" t="e">
        <f>IF(NFI_Expiration=1,IF(#REF!&lt;VLOOKUP(N$5,NFI,5,0),1,0)*Table_NFI[[#This Row],[Mosquito net]],Table_NFI[Mosquito net])</f>
        <v>#REF!</v>
      </c>
      <c r="AF426" s="532" t="e">
        <f>IF(NFI_Expiration=1,IF(#REF!&lt;VLOOKUP(O$5,NFI,5,0),1,0)*Table_NFI[[#This Row],[Tarpaulin]],Table_NFI[[#This Row],[Tarpaulin]])</f>
        <v>#REF!</v>
      </c>
      <c r="AG426" s="532" t="e">
        <f>IF(NFI_Expiration=1,IF(#REF!&lt;VLOOKUP(P$5,NFI,5,0),1,0)*Table_NFI[[#This Row],[Blanket]],Table_NFI[[#This Row],[Blanket]])</f>
        <v>#REF!</v>
      </c>
      <c r="AH426" s="532" t="e">
        <f>IF(NFI_Expiration=1,IF(#REF!&lt;VLOOKUP(Q$5,NFI,5,0),1,0)*Table_NFI[[#This Row],[Kitchen Set]],Table_NFI[Kitchen Set])</f>
        <v>#REF!</v>
      </c>
      <c r="AI426" s="532" t="e">
        <f>IF(NFI_Expiration=1,IF(#REF!&lt;VLOOKUP(R$5,NFI,5,0),1,0)*Table_NFI[[#This Row],[Clothes Kit]],Table_NFI[Clothes Kit])</f>
        <v>#REF!</v>
      </c>
      <c r="AJ426" s="532" t="e">
        <f>IF(NFI_Expiration=1,IF(#REF!&lt;VLOOKUP(S$5,NFI,5,0),1,0)*Table_NFI[[#This Row],[Plastic Bucket]],Table_NFI[Plastic Bucket])</f>
        <v>#REF!</v>
      </c>
      <c r="AK426" s="532" t="e">
        <f>IF(NFI_Expiration=1,IF(#REF!&lt;VLOOKUP(T$5,NFI,5,0),1,0)*Table_NFI[[#This Row],[Plastic Mat]],Table_NFI[Plastic Mat])*IF(Table_NFI[[#This Row],[Distribution Date]]&gt;"2014-04-01",1,2.5)</f>
        <v>#REF!</v>
      </c>
      <c r="AL426" s="532" t="e">
        <f>IF(NFI_Expiration=1,IF(#REF!&lt;VLOOKUP(U$5,NFI,5,0),1,0)*Table_NFI[[#This Row],[Winter Clothes Adult]],Table_NFI[Winter Clothes Adult])</f>
        <v>#REF!</v>
      </c>
      <c r="AM426" s="532"/>
      <c r="AN426" s="532"/>
      <c r="AO426" s="532"/>
      <c r="AP426" s="532">
        <f>IF(Table_NFI[[#This Row],[Winter Clothes Adult]]+Table_NFI[[#This Row],[Winter Clothes Children]]+Table_NFI[[#This Row],[Winter Items Other]]+Table_NFI[[#This Row],[Winter Blanket]]&gt;0,1,0)</f>
        <v>0</v>
      </c>
      <c r="AQ426" s="532"/>
      <c r="AR426" s="532"/>
      <c r="AS426" s="532"/>
      <c r="AT426" s="532"/>
      <c r="AU426" s="532"/>
      <c r="AV426" s="532"/>
      <c r="AW426" s="532"/>
      <c r="AX426" s="203" t="str">
        <f>IFERROR(VLOOKUP(Table_NFI[[#This Row],[Location]],CL,2,0),"")</f>
        <v>MMR015CMP220</v>
      </c>
      <c r="AZ426" s="524"/>
      <c r="DS426" s="181"/>
      <c r="DT426" s="181"/>
    </row>
    <row r="427" spans="2:124" hidden="1" x14ac:dyDescent="0.3">
      <c r="B427" s="530">
        <v>43403</v>
      </c>
      <c r="C427" s="530" t="str">
        <f>MONTH(Table_NFI[[#This Row],[Distribution Date]]) &amp; "/" &amp; YEAR(Table_NFI[[#This Row],[Distribution Date]])</f>
        <v>10/2018</v>
      </c>
      <c r="D427" s="196" t="s">
        <v>1560</v>
      </c>
      <c r="E427" s="196" t="s">
        <v>1560</v>
      </c>
      <c r="F427" s="196" t="s">
        <v>506</v>
      </c>
      <c r="G427" s="196" t="s">
        <v>288</v>
      </c>
      <c r="H427" s="268" t="s">
        <v>915</v>
      </c>
      <c r="I427" s="181"/>
      <c r="J427" s="531"/>
      <c r="K427" s="531"/>
      <c r="L427" s="531"/>
      <c r="M427" s="531">
        <v>59</v>
      </c>
      <c r="N427" s="531"/>
      <c r="O427" s="531"/>
      <c r="P427" s="531"/>
      <c r="Q427" s="531"/>
      <c r="R427" s="531"/>
      <c r="S427" s="531"/>
      <c r="T427" s="531"/>
      <c r="U427" s="531"/>
      <c r="V427" s="531"/>
      <c r="W427" s="531"/>
      <c r="X427" s="531"/>
      <c r="Y427" s="531"/>
      <c r="Z427" s="531"/>
      <c r="AA427" s="531"/>
      <c r="AB427" s="531"/>
      <c r="AC427" s="532" t="e">
        <f>IF(NFI_Expiration=1,IF(#REF!&lt;VLOOKUP(L$5,NFI,5,0),1,0)*Table_NFI[[#This Row],[NFI Core Kit]],Table_NFI[NFI Core Kit])</f>
        <v>#REF!</v>
      </c>
      <c r="AD427" s="532" t="e">
        <f>IF(NFI_Expiration=1,IF(#REF!&lt;VLOOKUP(M$5,NFI,5,0),1,0)*Table_NFI[[#This Row],[Sanitary Kit]],Table_NFI[Sanitary Kit])</f>
        <v>#REF!</v>
      </c>
      <c r="AE427" s="532" t="e">
        <f>IF(NFI_Expiration=1,IF(#REF!&lt;VLOOKUP(N$5,NFI,5,0),1,0)*Table_NFI[[#This Row],[Mosquito net]],Table_NFI[Mosquito net])</f>
        <v>#REF!</v>
      </c>
      <c r="AF427" s="532" t="e">
        <f>IF(NFI_Expiration=1,IF(#REF!&lt;VLOOKUP(O$5,NFI,5,0),1,0)*Table_NFI[[#This Row],[Tarpaulin]],Table_NFI[[#This Row],[Tarpaulin]])</f>
        <v>#REF!</v>
      </c>
      <c r="AG427" s="532" t="e">
        <f>IF(NFI_Expiration=1,IF(#REF!&lt;VLOOKUP(P$5,NFI,5,0),1,0)*Table_NFI[[#This Row],[Blanket]],Table_NFI[[#This Row],[Blanket]])</f>
        <v>#REF!</v>
      </c>
      <c r="AH427" s="532" t="e">
        <f>IF(NFI_Expiration=1,IF(#REF!&lt;VLOOKUP(Q$5,NFI,5,0),1,0)*Table_NFI[[#This Row],[Kitchen Set]],Table_NFI[Kitchen Set])</f>
        <v>#REF!</v>
      </c>
      <c r="AI427" s="532" t="e">
        <f>IF(NFI_Expiration=1,IF(#REF!&lt;VLOOKUP(R$5,NFI,5,0),1,0)*Table_NFI[[#This Row],[Clothes Kit]],Table_NFI[Clothes Kit])</f>
        <v>#REF!</v>
      </c>
      <c r="AJ427" s="532" t="e">
        <f>IF(NFI_Expiration=1,IF(#REF!&lt;VLOOKUP(S$5,NFI,5,0),1,0)*Table_NFI[[#This Row],[Plastic Bucket]],Table_NFI[Plastic Bucket])</f>
        <v>#REF!</v>
      </c>
      <c r="AK427" s="532" t="e">
        <f>IF(NFI_Expiration=1,IF(#REF!&lt;VLOOKUP(T$5,NFI,5,0),1,0)*Table_NFI[[#This Row],[Plastic Mat]],Table_NFI[Plastic Mat])*IF(Table_NFI[[#This Row],[Distribution Date]]&gt;"2014-04-01",1,2.5)</f>
        <v>#REF!</v>
      </c>
      <c r="AL427" s="532" t="e">
        <f>IF(NFI_Expiration=1,IF(#REF!&lt;VLOOKUP(U$5,NFI,5,0),1,0)*Table_NFI[[#This Row],[Winter Clothes Adult]],Table_NFI[Winter Clothes Adult])</f>
        <v>#REF!</v>
      </c>
      <c r="AM427" s="532"/>
      <c r="AN427" s="532"/>
      <c r="AO427" s="532"/>
      <c r="AP427" s="532">
        <f>IF(Table_NFI[[#This Row],[Winter Clothes Adult]]+Table_NFI[[#This Row],[Winter Clothes Children]]+Table_NFI[[#This Row],[Winter Items Other]]+Table_NFI[[#This Row],[Winter Blanket]]&gt;0,1,0)</f>
        <v>0</v>
      </c>
      <c r="AQ427" s="532"/>
      <c r="AR427" s="532"/>
      <c r="AS427" s="532"/>
      <c r="AT427" s="532"/>
      <c r="AU427" s="532"/>
      <c r="AV427" s="532"/>
      <c r="AW427" s="532"/>
      <c r="AX427" s="203" t="str">
        <f>IFERROR(VLOOKUP(Table_NFI[[#This Row],[Location]],CL,2,0),"")</f>
        <v>MMR015CMP215</v>
      </c>
      <c r="AZ427" s="524"/>
      <c r="DS427" s="181"/>
      <c r="DT427" s="181"/>
    </row>
    <row r="428" spans="2:124" hidden="1" x14ac:dyDescent="0.3">
      <c r="B428" s="530">
        <v>43397</v>
      </c>
      <c r="C428" s="530" t="str">
        <f>MONTH(Table_NFI[[#This Row],[Distribution Date]]) &amp; "/" &amp; YEAR(Table_NFI[[#This Row],[Distribution Date]])</f>
        <v>10/2018</v>
      </c>
      <c r="D428" s="196" t="s">
        <v>1560</v>
      </c>
      <c r="E428" s="196" t="s">
        <v>1560</v>
      </c>
      <c r="F428" s="196" t="s">
        <v>506</v>
      </c>
      <c r="G428" s="196" t="s">
        <v>1743</v>
      </c>
      <c r="H428" s="268" t="s">
        <v>1746</v>
      </c>
      <c r="I428" s="181"/>
      <c r="J428" s="531"/>
      <c r="K428" s="531"/>
      <c r="L428" s="531"/>
      <c r="M428" s="531"/>
      <c r="N428" s="531"/>
      <c r="O428" s="531"/>
      <c r="P428" s="531"/>
      <c r="Q428" s="531"/>
      <c r="R428" s="531"/>
      <c r="S428" s="531"/>
      <c r="T428" s="531"/>
      <c r="U428" s="531"/>
      <c r="V428" s="531"/>
      <c r="W428" s="531"/>
      <c r="X428" s="531"/>
      <c r="Y428" s="531"/>
      <c r="Z428" s="531"/>
      <c r="AA428" s="531"/>
      <c r="AB428" s="531"/>
      <c r="AC428" s="532" t="e">
        <f>IF(NFI_Expiration=1,IF(#REF!&lt;VLOOKUP(L$5,NFI,5,0),1,0)*Table_NFI[[#This Row],[NFI Core Kit]],Table_NFI[NFI Core Kit])</f>
        <v>#REF!</v>
      </c>
      <c r="AD428" s="532" t="e">
        <f>IF(NFI_Expiration=1,IF(#REF!&lt;VLOOKUP(M$5,NFI,5,0),1,0)*Table_NFI[[#This Row],[Sanitary Kit]],Table_NFI[Sanitary Kit])</f>
        <v>#REF!</v>
      </c>
      <c r="AE428" s="532" t="e">
        <f>IF(NFI_Expiration=1,IF(#REF!&lt;VLOOKUP(N$5,NFI,5,0),1,0)*Table_NFI[[#This Row],[Mosquito net]],Table_NFI[Mosquito net])</f>
        <v>#REF!</v>
      </c>
      <c r="AF428" s="532" t="e">
        <f>IF(NFI_Expiration=1,IF(#REF!&lt;VLOOKUP(O$5,NFI,5,0),1,0)*Table_NFI[[#This Row],[Tarpaulin]],Table_NFI[[#This Row],[Tarpaulin]])</f>
        <v>#REF!</v>
      </c>
      <c r="AG428" s="532" t="e">
        <f>IF(NFI_Expiration=1,IF(#REF!&lt;VLOOKUP(P$5,NFI,5,0),1,0)*Table_NFI[[#This Row],[Blanket]],Table_NFI[[#This Row],[Blanket]])</f>
        <v>#REF!</v>
      </c>
      <c r="AH428" s="532" t="e">
        <f>IF(NFI_Expiration=1,IF(#REF!&lt;VLOOKUP(Q$5,NFI,5,0),1,0)*Table_NFI[[#This Row],[Kitchen Set]],Table_NFI[Kitchen Set])</f>
        <v>#REF!</v>
      </c>
      <c r="AI428" s="532" t="e">
        <f>IF(NFI_Expiration=1,IF(#REF!&lt;VLOOKUP(R$5,NFI,5,0),1,0)*Table_NFI[[#This Row],[Clothes Kit]],Table_NFI[Clothes Kit])</f>
        <v>#REF!</v>
      </c>
      <c r="AJ428" s="532" t="e">
        <f>IF(NFI_Expiration=1,IF(#REF!&lt;VLOOKUP(S$5,NFI,5,0),1,0)*Table_NFI[[#This Row],[Plastic Bucket]],Table_NFI[Plastic Bucket])</f>
        <v>#REF!</v>
      </c>
      <c r="AK428" s="532" t="e">
        <f>IF(NFI_Expiration=1,IF(#REF!&lt;VLOOKUP(T$5,NFI,5,0),1,0)*Table_NFI[[#This Row],[Plastic Mat]],Table_NFI[Plastic Mat])*IF(Table_NFI[[#This Row],[Distribution Date]]&gt;"2014-04-01",1,2.5)</f>
        <v>#REF!</v>
      </c>
      <c r="AL428" s="532" t="e">
        <f>IF(NFI_Expiration=1,IF(#REF!&lt;VLOOKUP(U$5,NFI,5,0),1,0)*Table_NFI[[#This Row],[Winter Clothes Adult]],Table_NFI[Winter Clothes Adult])</f>
        <v>#REF!</v>
      </c>
      <c r="AM428" s="532"/>
      <c r="AN428" s="532"/>
      <c r="AO428" s="532"/>
      <c r="AP428" s="532">
        <f>IF(Table_NFI[[#This Row],[Winter Clothes Adult]]+Table_NFI[[#This Row],[Winter Clothes Children]]+Table_NFI[[#This Row],[Winter Items Other]]+Table_NFI[[#This Row],[Winter Blanket]]&gt;0,1,0)</f>
        <v>0</v>
      </c>
      <c r="AQ428" s="532"/>
      <c r="AR428" s="532"/>
      <c r="AS428" s="532"/>
      <c r="AT428" s="532"/>
      <c r="AU428" s="532"/>
      <c r="AV428" s="532"/>
      <c r="AW428" s="532"/>
      <c r="AX428" s="203" t="str">
        <f>IFERROR(VLOOKUP(Table_NFI[[#This Row],[Location]],CL,2,0),"")</f>
        <v/>
      </c>
      <c r="AZ428" s="524"/>
      <c r="DS428" s="181"/>
      <c r="DT428" s="181"/>
    </row>
    <row r="429" spans="2:124" hidden="1" x14ac:dyDescent="0.3">
      <c r="B429" s="530">
        <v>43449</v>
      </c>
      <c r="C429" s="530" t="str">
        <f>MONTH(Table_NFI[[#This Row],[Distribution Date]]) &amp; "/" &amp; YEAR(Table_NFI[[#This Row],[Distribution Date]])</f>
        <v>12/2018</v>
      </c>
      <c r="D429" s="628" t="s">
        <v>1916</v>
      </c>
      <c r="E429" s="196"/>
      <c r="F429" s="196" t="s">
        <v>506</v>
      </c>
      <c r="G429" s="196" t="s">
        <v>146</v>
      </c>
      <c r="H429" s="268" t="s">
        <v>1237</v>
      </c>
      <c r="I429" s="210">
        <v>22</v>
      </c>
      <c r="J429" s="531"/>
      <c r="K429" s="531"/>
      <c r="L429" s="531"/>
      <c r="M429" s="531"/>
      <c r="N429" s="531"/>
      <c r="O429" s="531"/>
      <c r="P429" s="531"/>
      <c r="Q429" s="531"/>
      <c r="R429" s="531"/>
      <c r="S429" s="531"/>
      <c r="T429" s="531">
        <v>46</v>
      </c>
      <c r="U429" s="531"/>
      <c r="V429" s="531"/>
      <c r="W429" s="531"/>
      <c r="X429" s="531">
        <v>46</v>
      </c>
      <c r="Y429" s="531"/>
      <c r="Z429" s="3">
        <v>23</v>
      </c>
      <c r="AA429" s="531"/>
      <c r="AB429" s="531"/>
      <c r="AC429" s="532" t="e">
        <f>IF(NFI_Expiration=1,IF(#REF!&lt;VLOOKUP(L$5,NFI,5,0),1,0)*Table_NFI[[#This Row],[NFI Core Kit]],Table_NFI[NFI Core Kit])</f>
        <v>#REF!</v>
      </c>
      <c r="AD429" s="532" t="e">
        <f>IF(NFI_Expiration=1,IF(#REF!&lt;VLOOKUP(M$5,NFI,5,0),1,0)*Table_NFI[[#This Row],[Sanitary Kit]],Table_NFI[Sanitary Kit])</f>
        <v>#REF!</v>
      </c>
      <c r="AE429" s="532" t="e">
        <f>IF(NFI_Expiration=1,IF(#REF!&lt;VLOOKUP(N$5,NFI,5,0),1,0)*Table_NFI[[#This Row],[Mosquito net]],Table_NFI[Mosquito net])</f>
        <v>#REF!</v>
      </c>
      <c r="AF429" s="532" t="e">
        <f>IF(NFI_Expiration=1,IF(#REF!&lt;VLOOKUP(O$5,NFI,5,0),1,0)*Table_NFI[[#This Row],[Tarpaulin]],Table_NFI[[#This Row],[Tarpaulin]])</f>
        <v>#REF!</v>
      </c>
      <c r="AG429" s="532" t="e">
        <f>IF(NFI_Expiration=1,IF(#REF!&lt;VLOOKUP(P$5,NFI,5,0),1,0)*Table_NFI[[#This Row],[Blanket]],Table_NFI[[#This Row],[Blanket]])</f>
        <v>#REF!</v>
      </c>
      <c r="AH429" s="532" t="e">
        <f>IF(NFI_Expiration=1,IF(#REF!&lt;VLOOKUP(Q$5,NFI,5,0),1,0)*Table_NFI[[#This Row],[Kitchen Set]],Table_NFI[Kitchen Set])</f>
        <v>#REF!</v>
      </c>
      <c r="AI429" s="532" t="e">
        <f>IF(NFI_Expiration=1,IF(#REF!&lt;VLOOKUP(R$5,NFI,5,0),1,0)*Table_NFI[[#This Row],[Clothes Kit]],Table_NFI[Clothes Kit])</f>
        <v>#REF!</v>
      </c>
      <c r="AJ429" s="532" t="e">
        <f>IF(NFI_Expiration=1,IF(#REF!&lt;VLOOKUP(S$5,NFI,5,0),1,0)*Table_NFI[[#This Row],[Plastic Bucket]],Table_NFI[Plastic Bucket])</f>
        <v>#REF!</v>
      </c>
      <c r="AK429" s="532" t="e">
        <f>IF(NFI_Expiration=1,IF(#REF!&lt;VLOOKUP(T$5,NFI,5,0),1,0)*Table_NFI[[#This Row],[Plastic Mat]],Table_NFI[Plastic Mat])*IF(Table_NFI[[#This Row],[Distribution Date]]&gt;"2014-04-01",1,2.5)</f>
        <v>#REF!</v>
      </c>
      <c r="AL429" s="532" t="e">
        <f>IF(NFI_Expiration=1,IF(#REF!&lt;VLOOKUP(U$5,NFI,5,0),1,0)*Table_NFI[[#This Row],[Winter Clothes Adult]],Table_NFI[Winter Clothes Adult])</f>
        <v>#REF!</v>
      </c>
      <c r="AM429" s="532"/>
      <c r="AN429" s="532"/>
      <c r="AO429" s="532"/>
      <c r="AP429" s="532">
        <f>IF(Table_NFI[[#This Row],[Winter Clothes Adult]]+Table_NFI[[#This Row],[Winter Clothes Children]]+Table_NFI[[#This Row],[Winter Items Other]]+Table_NFI[[#This Row],[Winter Blanket]]&gt;0,1,0)</f>
        <v>1</v>
      </c>
      <c r="AQ429" s="532"/>
      <c r="AR429" s="532"/>
      <c r="AS429" s="532"/>
      <c r="AT429" s="532"/>
      <c r="AU429" s="532"/>
      <c r="AV429" s="532"/>
      <c r="AW429" s="532"/>
      <c r="AX429" s="203" t="str">
        <f>IFERROR(VLOOKUP(Table_NFI[[#This Row],[Location]],CL,2,0),"")</f>
        <v>MMR015CMP246</v>
      </c>
      <c r="AZ429" s="524"/>
      <c r="DS429" s="181"/>
      <c r="DT429" s="181"/>
    </row>
    <row r="430" spans="2:124" hidden="1" x14ac:dyDescent="0.3">
      <c r="B430" s="530">
        <v>43449</v>
      </c>
      <c r="C430" s="530" t="str">
        <f>MONTH(Table_NFI[[#This Row],[Distribution Date]]) &amp; "/" &amp; YEAR(Table_NFI[[#This Row],[Distribution Date]])</f>
        <v>12/2018</v>
      </c>
      <c r="D430" s="628" t="s">
        <v>1916</v>
      </c>
      <c r="E430" s="196"/>
      <c r="F430" s="196" t="s">
        <v>506</v>
      </c>
      <c r="G430" s="196" t="s">
        <v>146</v>
      </c>
      <c r="H430" s="195" t="s">
        <v>149</v>
      </c>
      <c r="I430" s="210">
        <v>36</v>
      </c>
      <c r="J430" s="531"/>
      <c r="K430" s="531"/>
      <c r="L430" s="531"/>
      <c r="M430" s="531"/>
      <c r="N430" s="531"/>
      <c r="O430" s="531"/>
      <c r="P430" s="531"/>
      <c r="Q430" s="531"/>
      <c r="R430" s="531"/>
      <c r="S430" s="531"/>
      <c r="T430" s="531">
        <v>72</v>
      </c>
      <c r="U430" s="531"/>
      <c r="V430" s="531"/>
      <c r="W430" s="531"/>
      <c r="X430" s="531">
        <v>72</v>
      </c>
      <c r="Y430" s="531"/>
      <c r="Z430" s="301">
        <v>36</v>
      </c>
      <c r="AA430" s="531"/>
      <c r="AB430" s="531"/>
      <c r="AC430" s="532" t="e">
        <f>IF(NFI_Expiration=1,IF(#REF!&lt;VLOOKUP(L$5,NFI,5,0),1,0)*Table_NFI[[#This Row],[NFI Core Kit]],Table_NFI[NFI Core Kit])</f>
        <v>#REF!</v>
      </c>
      <c r="AD430" s="532" t="e">
        <f>IF(NFI_Expiration=1,IF(#REF!&lt;VLOOKUP(M$5,NFI,5,0),1,0)*Table_NFI[[#This Row],[Sanitary Kit]],Table_NFI[Sanitary Kit])</f>
        <v>#REF!</v>
      </c>
      <c r="AE430" s="532" t="e">
        <f>IF(NFI_Expiration=1,IF(#REF!&lt;VLOOKUP(N$5,NFI,5,0),1,0)*Table_NFI[[#This Row],[Mosquito net]],Table_NFI[Mosquito net])</f>
        <v>#REF!</v>
      </c>
      <c r="AF430" s="532" t="e">
        <f>IF(NFI_Expiration=1,IF(#REF!&lt;VLOOKUP(O$5,NFI,5,0),1,0)*Table_NFI[[#This Row],[Tarpaulin]],Table_NFI[[#This Row],[Tarpaulin]])</f>
        <v>#REF!</v>
      </c>
      <c r="AG430" s="532" t="e">
        <f>IF(NFI_Expiration=1,IF(#REF!&lt;VLOOKUP(P$5,NFI,5,0),1,0)*Table_NFI[[#This Row],[Blanket]],Table_NFI[[#This Row],[Blanket]])</f>
        <v>#REF!</v>
      </c>
      <c r="AH430" s="532" t="e">
        <f>IF(NFI_Expiration=1,IF(#REF!&lt;VLOOKUP(Q$5,NFI,5,0),1,0)*Table_NFI[[#This Row],[Kitchen Set]],Table_NFI[Kitchen Set])</f>
        <v>#REF!</v>
      </c>
      <c r="AI430" s="532" t="e">
        <f>IF(NFI_Expiration=1,IF(#REF!&lt;VLOOKUP(R$5,NFI,5,0),1,0)*Table_NFI[[#This Row],[Clothes Kit]],Table_NFI[Clothes Kit])</f>
        <v>#REF!</v>
      </c>
      <c r="AJ430" s="532" t="e">
        <f>IF(NFI_Expiration=1,IF(#REF!&lt;VLOOKUP(S$5,NFI,5,0),1,0)*Table_NFI[[#This Row],[Plastic Bucket]],Table_NFI[Plastic Bucket])</f>
        <v>#REF!</v>
      </c>
      <c r="AK430" s="532" t="e">
        <f>IF(NFI_Expiration=1,IF(#REF!&lt;VLOOKUP(T$5,NFI,5,0),1,0)*Table_NFI[[#This Row],[Plastic Mat]],Table_NFI[Plastic Mat])*IF(Table_NFI[[#This Row],[Distribution Date]]&gt;"2014-04-01",1,2.5)</f>
        <v>#REF!</v>
      </c>
      <c r="AL430" s="532" t="e">
        <f>IF(NFI_Expiration=1,IF(#REF!&lt;VLOOKUP(U$5,NFI,5,0),1,0)*Table_NFI[[#This Row],[Winter Clothes Adult]],Table_NFI[Winter Clothes Adult])</f>
        <v>#REF!</v>
      </c>
      <c r="AM430" s="532"/>
      <c r="AN430" s="532"/>
      <c r="AO430" s="532"/>
      <c r="AP430" s="532">
        <f>IF(Table_NFI[[#This Row],[Winter Clothes Adult]]+Table_NFI[[#This Row],[Winter Clothes Children]]+Table_NFI[[#This Row],[Winter Items Other]]+Table_NFI[[#This Row],[Winter Blanket]]&gt;0,1,0)</f>
        <v>1</v>
      </c>
      <c r="AQ430" s="532"/>
      <c r="AR430" s="532"/>
      <c r="AS430" s="532"/>
      <c r="AT430" s="532"/>
      <c r="AU430" s="532"/>
      <c r="AV430" s="532"/>
      <c r="AW430" s="532"/>
      <c r="AX430" s="203" t="str">
        <f>IFERROR(VLOOKUP(Table_NFI[[#This Row],[Location]],CL,2,0),"")</f>
        <v>MMR015CMP007</v>
      </c>
      <c r="AZ430" s="524"/>
      <c r="DS430" s="181"/>
      <c r="DT430" s="181"/>
    </row>
    <row r="431" spans="2:124" hidden="1" x14ac:dyDescent="0.3">
      <c r="B431" s="530">
        <v>43449</v>
      </c>
      <c r="C431" s="530" t="str">
        <f>MONTH(Table_NFI[[#This Row],[Distribution Date]]) &amp; "/" &amp; YEAR(Table_NFI[[#This Row],[Distribution Date]])</f>
        <v>12/2018</v>
      </c>
      <c r="D431" s="628" t="s">
        <v>1916</v>
      </c>
      <c r="E431" s="196"/>
      <c r="F431" s="196" t="s">
        <v>506</v>
      </c>
      <c r="G431" s="196" t="s">
        <v>146</v>
      </c>
      <c r="H431" s="195" t="s">
        <v>1555</v>
      </c>
      <c r="I431" s="210">
        <v>57</v>
      </c>
      <c r="J431" s="531"/>
      <c r="K431" s="531"/>
      <c r="L431" s="531"/>
      <c r="M431" s="531"/>
      <c r="N431" s="531"/>
      <c r="O431" s="531"/>
      <c r="P431" s="531"/>
      <c r="Q431" s="531"/>
      <c r="R431" s="531"/>
      <c r="S431" s="531"/>
      <c r="T431" s="531">
        <v>114</v>
      </c>
      <c r="U431" s="531"/>
      <c r="V431" s="531"/>
      <c r="W431" s="531"/>
      <c r="X431" s="531">
        <v>114</v>
      </c>
      <c r="Y431" s="531"/>
      <c r="Z431" s="301">
        <v>57</v>
      </c>
      <c r="AA431" s="531"/>
      <c r="AB431" s="531"/>
      <c r="AC431" s="532" t="e">
        <f>IF(NFI_Expiration=1,IF(#REF!&lt;VLOOKUP(L$5,NFI,5,0),1,0)*Table_NFI[[#This Row],[NFI Core Kit]],Table_NFI[NFI Core Kit])</f>
        <v>#REF!</v>
      </c>
      <c r="AD431" s="532" t="e">
        <f>IF(NFI_Expiration=1,IF(#REF!&lt;VLOOKUP(M$5,NFI,5,0),1,0)*Table_NFI[[#This Row],[Sanitary Kit]],Table_NFI[Sanitary Kit])</f>
        <v>#REF!</v>
      </c>
      <c r="AE431" s="532" t="e">
        <f>IF(NFI_Expiration=1,IF(#REF!&lt;VLOOKUP(N$5,NFI,5,0),1,0)*Table_NFI[[#This Row],[Mosquito net]],Table_NFI[Mosquito net])</f>
        <v>#REF!</v>
      </c>
      <c r="AF431" s="532" t="e">
        <f>IF(NFI_Expiration=1,IF(#REF!&lt;VLOOKUP(O$5,NFI,5,0),1,0)*Table_NFI[[#This Row],[Tarpaulin]],Table_NFI[[#This Row],[Tarpaulin]])</f>
        <v>#REF!</v>
      </c>
      <c r="AG431" s="532" t="e">
        <f>IF(NFI_Expiration=1,IF(#REF!&lt;VLOOKUP(P$5,NFI,5,0),1,0)*Table_NFI[[#This Row],[Blanket]],Table_NFI[[#This Row],[Blanket]])</f>
        <v>#REF!</v>
      </c>
      <c r="AH431" s="532" t="e">
        <f>IF(NFI_Expiration=1,IF(#REF!&lt;VLOOKUP(Q$5,NFI,5,0),1,0)*Table_NFI[[#This Row],[Kitchen Set]],Table_NFI[Kitchen Set])</f>
        <v>#REF!</v>
      </c>
      <c r="AI431" s="532" t="e">
        <f>IF(NFI_Expiration=1,IF(#REF!&lt;VLOOKUP(R$5,NFI,5,0),1,0)*Table_NFI[[#This Row],[Clothes Kit]],Table_NFI[Clothes Kit])</f>
        <v>#REF!</v>
      </c>
      <c r="AJ431" s="532" t="e">
        <f>IF(NFI_Expiration=1,IF(#REF!&lt;VLOOKUP(S$5,NFI,5,0),1,0)*Table_NFI[[#This Row],[Plastic Bucket]],Table_NFI[Plastic Bucket])</f>
        <v>#REF!</v>
      </c>
      <c r="AK431" s="532" t="e">
        <f>IF(NFI_Expiration=1,IF(#REF!&lt;VLOOKUP(T$5,NFI,5,0),1,0)*Table_NFI[[#This Row],[Plastic Mat]],Table_NFI[Plastic Mat])*IF(Table_NFI[[#This Row],[Distribution Date]]&gt;"2014-04-01",1,2.5)</f>
        <v>#REF!</v>
      </c>
      <c r="AL431" s="532" t="e">
        <f>IF(NFI_Expiration=1,IF(#REF!&lt;VLOOKUP(U$5,NFI,5,0),1,0)*Table_NFI[[#This Row],[Winter Clothes Adult]],Table_NFI[Winter Clothes Adult])</f>
        <v>#REF!</v>
      </c>
      <c r="AM431" s="532"/>
      <c r="AN431" s="532"/>
      <c r="AO431" s="532"/>
      <c r="AP431" s="532">
        <f>IF(Table_NFI[[#This Row],[Winter Clothes Adult]]+Table_NFI[[#This Row],[Winter Clothes Children]]+Table_NFI[[#This Row],[Winter Items Other]]+Table_NFI[[#This Row],[Winter Blanket]]&gt;0,1,0)</f>
        <v>1</v>
      </c>
      <c r="AQ431" s="532"/>
      <c r="AR431" s="532"/>
      <c r="AS431" s="532"/>
      <c r="AT431" s="532"/>
      <c r="AU431" s="532"/>
      <c r="AV431" s="532"/>
      <c r="AW431" s="532"/>
      <c r="AX431" s="203" t="str">
        <f>IFERROR(VLOOKUP(Table_NFI[[#This Row],[Location]],CL,2,0),"")</f>
        <v>MMR015CMP225</v>
      </c>
      <c r="AZ431" s="524"/>
      <c r="DS431" s="181"/>
      <c r="DT431" s="181"/>
    </row>
    <row r="432" spans="2:124" hidden="1" x14ac:dyDescent="0.3">
      <c r="B432" s="530">
        <v>43449</v>
      </c>
      <c r="C432" s="530" t="str">
        <f>MONTH(Table_NFI[[#This Row],[Distribution Date]]) &amp; "/" &amp; YEAR(Table_NFI[[#This Row],[Distribution Date]])</f>
        <v>12/2018</v>
      </c>
      <c r="D432" s="628" t="s">
        <v>1916</v>
      </c>
      <c r="E432" s="196"/>
      <c r="F432" s="196" t="s">
        <v>506</v>
      </c>
      <c r="G432" s="196" t="s">
        <v>230</v>
      </c>
      <c r="H432" s="268" t="s">
        <v>716</v>
      </c>
      <c r="I432" s="210">
        <v>149</v>
      </c>
      <c r="J432" s="531"/>
      <c r="K432" s="531"/>
      <c r="L432" s="531"/>
      <c r="M432" s="531"/>
      <c r="N432" s="531"/>
      <c r="O432" s="531"/>
      <c r="P432" s="531"/>
      <c r="Q432" s="531"/>
      <c r="R432" s="531"/>
      <c r="S432" s="531"/>
      <c r="T432" s="531">
        <v>306</v>
      </c>
      <c r="U432" s="531"/>
      <c r="V432" s="531"/>
      <c r="W432" s="531"/>
      <c r="X432" s="531">
        <v>306</v>
      </c>
      <c r="Y432" s="531"/>
      <c r="Z432" s="301">
        <v>153</v>
      </c>
      <c r="AA432" s="531"/>
      <c r="AB432" s="531"/>
      <c r="AC432" s="532" t="e">
        <f>IF(NFI_Expiration=1,IF(#REF!&lt;VLOOKUP(L$5,NFI,5,0),1,0)*Table_NFI[[#This Row],[NFI Core Kit]],Table_NFI[NFI Core Kit])</f>
        <v>#REF!</v>
      </c>
      <c r="AD432" s="532" t="e">
        <f>IF(NFI_Expiration=1,IF(#REF!&lt;VLOOKUP(M$5,NFI,5,0),1,0)*Table_NFI[[#This Row],[Sanitary Kit]],Table_NFI[Sanitary Kit])</f>
        <v>#REF!</v>
      </c>
      <c r="AE432" s="532" t="e">
        <f>IF(NFI_Expiration=1,IF(#REF!&lt;VLOOKUP(N$5,NFI,5,0),1,0)*Table_NFI[[#This Row],[Mosquito net]],Table_NFI[Mosquito net])</f>
        <v>#REF!</v>
      </c>
      <c r="AF432" s="532" t="e">
        <f>IF(NFI_Expiration=1,IF(#REF!&lt;VLOOKUP(O$5,NFI,5,0),1,0)*Table_NFI[[#This Row],[Tarpaulin]],Table_NFI[[#This Row],[Tarpaulin]])</f>
        <v>#REF!</v>
      </c>
      <c r="AG432" s="532" t="e">
        <f>IF(NFI_Expiration=1,IF(#REF!&lt;VLOOKUP(P$5,NFI,5,0),1,0)*Table_NFI[[#This Row],[Blanket]],Table_NFI[[#This Row],[Blanket]])</f>
        <v>#REF!</v>
      </c>
      <c r="AH432" s="532" t="e">
        <f>IF(NFI_Expiration=1,IF(#REF!&lt;VLOOKUP(Q$5,NFI,5,0),1,0)*Table_NFI[[#This Row],[Kitchen Set]],Table_NFI[Kitchen Set])</f>
        <v>#REF!</v>
      </c>
      <c r="AI432" s="532" t="e">
        <f>IF(NFI_Expiration=1,IF(#REF!&lt;VLOOKUP(R$5,NFI,5,0),1,0)*Table_NFI[[#This Row],[Clothes Kit]],Table_NFI[Clothes Kit])</f>
        <v>#REF!</v>
      </c>
      <c r="AJ432" s="532" t="e">
        <f>IF(NFI_Expiration=1,IF(#REF!&lt;VLOOKUP(S$5,NFI,5,0),1,0)*Table_NFI[[#This Row],[Plastic Bucket]],Table_NFI[Plastic Bucket])</f>
        <v>#REF!</v>
      </c>
      <c r="AK432" s="532" t="e">
        <f>IF(NFI_Expiration=1,IF(#REF!&lt;VLOOKUP(T$5,NFI,5,0),1,0)*Table_NFI[[#This Row],[Plastic Mat]],Table_NFI[Plastic Mat])*IF(Table_NFI[[#This Row],[Distribution Date]]&gt;"2014-04-01",1,2.5)</f>
        <v>#REF!</v>
      </c>
      <c r="AL432" s="532" t="e">
        <f>IF(NFI_Expiration=1,IF(#REF!&lt;VLOOKUP(U$5,NFI,5,0),1,0)*Table_NFI[[#This Row],[Winter Clothes Adult]],Table_NFI[Winter Clothes Adult])</f>
        <v>#REF!</v>
      </c>
      <c r="AM432" s="532"/>
      <c r="AN432" s="532"/>
      <c r="AO432" s="532"/>
      <c r="AP432" s="532">
        <f>IF(Table_NFI[[#This Row],[Winter Clothes Adult]]+Table_NFI[[#This Row],[Winter Clothes Children]]+Table_NFI[[#This Row],[Winter Items Other]]+Table_NFI[[#This Row],[Winter Blanket]]&gt;0,1,0)</f>
        <v>1</v>
      </c>
      <c r="AQ432" s="532"/>
      <c r="AR432" s="532"/>
      <c r="AS432" s="532"/>
      <c r="AT432" s="532"/>
      <c r="AU432" s="532"/>
      <c r="AV432" s="532"/>
      <c r="AW432" s="532"/>
      <c r="AX432" s="203" t="str">
        <f>IFERROR(VLOOKUP(Table_NFI[[#This Row],[Location]],CL,2,0),"")</f>
        <v>MMR015CMP247</v>
      </c>
      <c r="AZ432" s="524"/>
      <c r="DS432" s="181"/>
      <c r="DT432" s="181"/>
    </row>
    <row r="433" spans="2:124" hidden="1" x14ac:dyDescent="0.3">
      <c r="B433" s="530">
        <v>43449</v>
      </c>
      <c r="C433" s="530" t="str">
        <f>MONTH(Table_NFI[[#This Row],[Distribution Date]]) &amp; "/" &amp; YEAR(Table_NFI[[#This Row],[Distribution Date]])</f>
        <v>12/2018</v>
      </c>
      <c r="D433" s="628" t="s">
        <v>1916</v>
      </c>
      <c r="E433" s="196"/>
      <c r="F433" s="196" t="s">
        <v>506</v>
      </c>
      <c r="G433" s="196" t="s">
        <v>146</v>
      </c>
      <c r="H433" s="268" t="s">
        <v>1752</v>
      </c>
      <c r="I433" s="210">
        <v>67</v>
      </c>
      <c r="J433" s="531"/>
      <c r="K433" s="531"/>
      <c r="L433" s="531"/>
      <c r="M433" s="531"/>
      <c r="N433" s="531"/>
      <c r="O433" s="531"/>
      <c r="P433" s="531"/>
      <c r="Q433" s="531"/>
      <c r="R433" s="531"/>
      <c r="S433" s="531"/>
      <c r="T433" s="531">
        <v>134</v>
      </c>
      <c r="U433" s="531"/>
      <c r="V433" s="531"/>
      <c r="W433" s="531"/>
      <c r="X433" s="531">
        <v>134</v>
      </c>
      <c r="Y433" s="531"/>
      <c r="Z433" s="301">
        <v>67</v>
      </c>
      <c r="AA433" s="531"/>
      <c r="AB433" s="531"/>
      <c r="AC433" s="532" t="e">
        <f>IF(NFI_Expiration=1,IF(#REF!&lt;VLOOKUP(L$5,NFI,5,0),1,0)*Table_NFI[[#This Row],[NFI Core Kit]],Table_NFI[NFI Core Kit])</f>
        <v>#REF!</v>
      </c>
      <c r="AD433" s="532" t="e">
        <f>IF(NFI_Expiration=1,IF(#REF!&lt;VLOOKUP(M$5,NFI,5,0),1,0)*Table_NFI[[#This Row],[Sanitary Kit]],Table_NFI[Sanitary Kit])</f>
        <v>#REF!</v>
      </c>
      <c r="AE433" s="532" t="e">
        <f>IF(NFI_Expiration=1,IF(#REF!&lt;VLOOKUP(N$5,NFI,5,0),1,0)*Table_NFI[[#This Row],[Mosquito net]],Table_NFI[Mosquito net])</f>
        <v>#REF!</v>
      </c>
      <c r="AF433" s="532" t="e">
        <f>IF(NFI_Expiration=1,IF(#REF!&lt;VLOOKUP(O$5,NFI,5,0),1,0)*Table_NFI[[#This Row],[Tarpaulin]],Table_NFI[[#This Row],[Tarpaulin]])</f>
        <v>#REF!</v>
      </c>
      <c r="AG433" s="532" t="e">
        <f>IF(NFI_Expiration=1,IF(#REF!&lt;VLOOKUP(P$5,NFI,5,0),1,0)*Table_NFI[[#This Row],[Blanket]],Table_NFI[[#This Row],[Blanket]])</f>
        <v>#REF!</v>
      </c>
      <c r="AH433" s="532" t="e">
        <f>IF(NFI_Expiration=1,IF(#REF!&lt;VLOOKUP(Q$5,NFI,5,0),1,0)*Table_NFI[[#This Row],[Kitchen Set]],Table_NFI[Kitchen Set])</f>
        <v>#REF!</v>
      </c>
      <c r="AI433" s="532" t="e">
        <f>IF(NFI_Expiration=1,IF(#REF!&lt;VLOOKUP(R$5,NFI,5,0),1,0)*Table_NFI[[#This Row],[Clothes Kit]],Table_NFI[Clothes Kit])</f>
        <v>#REF!</v>
      </c>
      <c r="AJ433" s="532" t="e">
        <f>IF(NFI_Expiration=1,IF(#REF!&lt;VLOOKUP(S$5,NFI,5,0),1,0)*Table_NFI[[#This Row],[Plastic Bucket]],Table_NFI[Plastic Bucket])</f>
        <v>#REF!</v>
      </c>
      <c r="AK433" s="532" t="e">
        <f>IF(NFI_Expiration=1,IF(#REF!&lt;VLOOKUP(T$5,NFI,5,0),1,0)*Table_NFI[[#This Row],[Plastic Mat]],Table_NFI[Plastic Mat])*IF(Table_NFI[[#This Row],[Distribution Date]]&gt;"2014-04-01",1,2.5)</f>
        <v>#REF!</v>
      </c>
      <c r="AL433" s="532" t="e">
        <f>IF(NFI_Expiration=1,IF(#REF!&lt;VLOOKUP(U$5,NFI,5,0),1,0)*Table_NFI[[#This Row],[Winter Clothes Adult]],Table_NFI[Winter Clothes Adult])</f>
        <v>#REF!</v>
      </c>
      <c r="AM433" s="532"/>
      <c r="AN433" s="532"/>
      <c r="AO433" s="532"/>
      <c r="AP433" s="532">
        <f>IF(Table_NFI[[#This Row],[Winter Clothes Adult]]+Table_NFI[[#This Row],[Winter Clothes Children]]+Table_NFI[[#This Row],[Winter Items Other]]+Table_NFI[[#This Row],[Winter Blanket]]&gt;0,1,0)</f>
        <v>1</v>
      </c>
      <c r="AQ433" s="532"/>
      <c r="AR433" s="532"/>
      <c r="AS433" s="532"/>
      <c r="AT433" s="532"/>
      <c r="AU433" s="532"/>
      <c r="AV433" s="532"/>
      <c r="AW433" s="532"/>
      <c r="AX433" s="203" t="str">
        <f>IFERROR(VLOOKUP(Table_NFI[[#This Row],[Location]],CL,2,0),"")</f>
        <v/>
      </c>
      <c r="AZ433" s="524"/>
      <c r="DS433" s="181"/>
      <c r="DT433" s="181"/>
    </row>
    <row r="434" spans="2:124" hidden="1" x14ac:dyDescent="0.3">
      <c r="B434" s="530">
        <v>43449</v>
      </c>
      <c r="C434" s="530" t="str">
        <f>MONTH(Table_NFI[[#This Row],[Distribution Date]]) &amp; "/" &amp; YEAR(Table_NFI[[#This Row],[Distribution Date]])</f>
        <v>12/2018</v>
      </c>
      <c r="D434" s="628" t="s">
        <v>1916</v>
      </c>
      <c r="E434" s="196"/>
      <c r="F434" s="196" t="s">
        <v>506</v>
      </c>
      <c r="G434" s="196" t="s">
        <v>297</v>
      </c>
      <c r="H434" s="195" t="s">
        <v>759</v>
      </c>
      <c r="I434" s="210">
        <v>40</v>
      </c>
      <c r="J434" s="531"/>
      <c r="K434" s="531"/>
      <c r="L434" s="531"/>
      <c r="M434" s="531"/>
      <c r="N434" s="531"/>
      <c r="O434" s="531"/>
      <c r="P434" s="531"/>
      <c r="Q434" s="531"/>
      <c r="R434" s="531"/>
      <c r="S434" s="531"/>
      <c r="T434" s="531">
        <v>80</v>
      </c>
      <c r="U434" s="531"/>
      <c r="V434" s="531"/>
      <c r="W434" s="531"/>
      <c r="X434" s="531">
        <v>80</v>
      </c>
      <c r="Y434" s="531"/>
      <c r="Z434" s="301">
        <v>40</v>
      </c>
      <c r="AA434" s="531"/>
      <c r="AB434" s="531"/>
      <c r="AC434" s="532" t="e">
        <f>IF(NFI_Expiration=1,IF(#REF!&lt;VLOOKUP(L$5,NFI,5,0),1,0)*Table_NFI[[#This Row],[NFI Core Kit]],Table_NFI[NFI Core Kit])</f>
        <v>#REF!</v>
      </c>
      <c r="AD434" s="532" t="e">
        <f>IF(NFI_Expiration=1,IF(#REF!&lt;VLOOKUP(M$5,NFI,5,0),1,0)*Table_NFI[[#This Row],[Sanitary Kit]],Table_NFI[Sanitary Kit])</f>
        <v>#REF!</v>
      </c>
      <c r="AE434" s="532" t="e">
        <f>IF(NFI_Expiration=1,IF(#REF!&lt;VLOOKUP(N$5,NFI,5,0),1,0)*Table_NFI[[#This Row],[Mosquito net]],Table_NFI[Mosquito net])</f>
        <v>#REF!</v>
      </c>
      <c r="AF434" s="532" t="e">
        <f>IF(NFI_Expiration=1,IF(#REF!&lt;VLOOKUP(O$5,NFI,5,0),1,0)*Table_NFI[[#This Row],[Tarpaulin]],Table_NFI[[#This Row],[Tarpaulin]])</f>
        <v>#REF!</v>
      </c>
      <c r="AG434" s="532" t="e">
        <f>IF(NFI_Expiration=1,IF(#REF!&lt;VLOOKUP(P$5,NFI,5,0),1,0)*Table_NFI[[#This Row],[Blanket]],Table_NFI[[#This Row],[Blanket]])</f>
        <v>#REF!</v>
      </c>
      <c r="AH434" s="532" t="e">
        <f>IF(NFI_Expiration=1,IF(#REF!&lt;VLOOKUP(Q$5,NFI,5,0),1,0)*Table_NFI[[#This Row],[Kitchen Set]],Table_NFI[Kitchen Set])</f>
        <v>#REF!</v>
      </c>
      <c r="AI434" s="532" t="e">
        <f>IF(NFI_Expiration=1,IF(#REF!&lt;VLOOKUP(R$5,NFI,5,0),1,0)*Table_NFI[[#This Row],[Clothes Kit]],Table_NFI[Clothes Kit])</f>
        <v>#REF!</v>
      </c>
      <c r="AJ434" s="532" t="e">
        <f>IF(NFI_Expiration=1,IF(#REF!&lt;VLOOKUP(S$5,NFI,5,0),1,0)*Table_NFI[[#This Row],[Plastic Bucket]],Table_NFI[Plastic Bucket])</f>
        <v>#REF!</v>
      </c>
      <c r="AK434" s="532" t="e">
        <f>IF(NFI_Expiration=1,IF(#REF!&lt;VLOOKUP(T$5,NFI,5,0),1,0)*Table_NFI[[#This Row],[Plastic Mat]],Table_NFI[Plastic Mat])*IF(Table_NFI[[#This Row],[Distribution Date]]&gt;"2014-04-01",1,2.5)</f>
        <v>#REF!</v>
      </c>
      <c r="AL434" s="532" t="e">
        <f>IF(NFI_Expiration=1,IF(#REF!&lt;VLOOKUP(U$5,NFI,5,0),1,0)*Table_NFI[[#This Row],[Winter Clothes Adult]],Table_NFI[Winter Clothes Adult])</f>
        <v>#REF!</v>
      </c>
      <c r="AM434" s="532"/>
      <c r="AN434" s="532"/>
      <c r="AO434" s="532"/>
      <c r="AP434" s="532">
        <f>IF(Table_NFI[[#This Row],[Winter Clothes Adult]]+Table_NFI[[#This Row],[Winter Clothes Children]]+Table_NFI[[#This Row],[Winter Items Other]]+Table_NFI[[#This Row],[Winter Blanket]]&gt;0,1,0)</f>
        <v>1</v>
      </c>
      <c r="AQ434" s="532"/>
      <c r="AR434" s="532"/>
      <c r="AS434" s="532"/>
      <c r="AT434" s="532"/>
      <c r="AU434" s="532"/>
      <c r="AV434" s="532"/>
      <c r="AW434" s="532"/>
      <c r="AX434" s="203" t="str">
        <f>IFERROR(VLOOKUP(Table_NFI[[#This Row],[Location]],CL,2,0),"")</f>
        <v>MMR015CMP014</v>
      </c>
      <c r="AZ434" s="524"/>
      <c r="DS434" s="181"/>
      <c r="DT434" s="181"/>
    </row>
    <row r="435" spans="2:124" hidden="1" x14ac:dyDescent="0.3">
      <c r="B435" s="530">
        <v>43449</v>
      </c>
      <c r="C435" s="530" t="str">
        <f>MONTH(Table_NFI[[#This Row],[Distribution Date]]) &amp; "/" &amp; YEAR(Table_NFI[[#This Row],[Distribution Date]])</f>
        <v>12/2018</v>
      </c>
      <c r="D435" s="628" t="s">
        <v>1916</v>
      </c>
      <c r="E435" s="196"/>
      <c r="F435" s="196" t="s">
        <v>506</v>
      </c>
      <c r="G435" s="196" t="s">
        <v>297</v>
      </c>
      <c r="H435" s="268" t="s">
        <v>1273</v>
      </c>
      <c r="I435" s="210">
        <v>62</v>
      </c>
      <c r="J435" s="531"/>
      <c r="K435" s="531"/>
      <c r="L435" s="531"/>
      <c r="M435" s="531"/>
      <c r="N435" s="531"/>
      <c r="O435" s="531"/>
      <c r="P435" s="531"/>
      <c r="Q435" s="531"/>
      <c r="R435" s="531"/>
      <c r="S435" s="531"/>
      <c r="T435" s="531">
        <v>126</v>
      </c>
      <c r="U435" s="531"/>
      <c r="V435" s="531"/>
      <c r="W435" s="531"/>
      <c r="X435" s="531">
        <v>126</v>
      </c>
      <c r="Y435" s="531"/>
      <c r="Z435" s="301">
        <v>63</v>
      </c>
      <c r="AA435" s="531"/>
      <c r="AB435" s="531"/>
      <c r="AC435" s="532" t="e">
        <f>IF(NFI_Expiration=1,IF(#REF!&lt;VLOOKUP(L$5,NFI,5,0),1,0)*Table_NFI[[#This Row],[NFI Core Kit]],Table_NFI[NFI Core Kit])</f>
        <v>#REF!</v>
      </c>
      <c r="AD435" s="532" t="e">
        <f>IF(NFI_Expiration=1,IF(#REF!&lt;VLOOKUP(M$5,NFI,5,0),1,0)*Table_NFI[[#This Row],[Sanitary Kit]],Table_NFI[Sanitary Kit])</f>
        <v>#REF!</v>
      </c>
      <c r="AE435" s="532" t="e">
        <f>IF(NFI_Expiration=1,IF(#REF!&lt;VLOOKUP(N$5,NFI,5,0),1,0)*Table_NFI[[#This Row],[Mosquito net]],Table_NFI[Mosquito net])</f>
        <v>#REF!</v>
      </c>
      <c r="AF435" s="532" t="e">
        <f>IF(NFI_Expiration=1,IF(#REF!&lt;VLOOKUP(O$5,NFI,5,0),1,0)*Table_NFI[[#This Row],[Tarpaulin]],Table_NFI[[#This Row],[Tarpaulin]])</f>
        <v>#REF!</v>
      </c>
      <c r="AG435" s="532" t="e">
        <f>IF(NFI_Expiration=1,IF(#REF!&lt;VLOOKUP(P$5,NFI,5,0),1,0)*Table_NFI[[#This Row],[Blanket]],Table_NFI[[#This Row],[Blanket]])</f>
        <v>#REF!</v>
      </c>
      <c r="AH435" s="532" t="e">
        <f>IF(NFI_Expiration=1,IF(#REF!&lt;VLOOKUP(Q$5,NFI,5,0),1,0)*Table_NFI[[#This Row],[Kitchen Set]],Table_NFI[Kitchen Set])</f>
        <v>#REF!</v>
      </c>
      <c r="AI435" s="532" t="e">
        <f>IF(NFI_Expiration=1,IF(#REF!&lt;VLOOKUP(R$5,NFI,5,0),1,0)*Table_NFI[[#This Row],[Clothes Kit]],Table_NFI[Clothes Kit])</f>
        <v>#REF!</v>
      </c>
      <c r="AJ435" s="532" t="e">
        <f>IF(NFI_Expiration=1,IF(#REF!&lt;VLOOKUP(S$5,NFI,5,0),1,0)*Table_NFI[[#This Row],[Plastic Bucket]],Table_NFI[Plastic Bucket])</f>
        <v>#REF!</v>
      </c>
      <c r="AK435" s="532" t="e">
        <f>IF(NFI_Expiration=1,IF(#REF!&lt;VLOOKUP(T$5,NFI,5,0),1,0)*Table_NFI[[#This Row],[Plastic Mat]],Table_NFI[Plastic Mat])*IF(Table_NFI[[#This Row],[Distribution Date]]&gt;"2014-04-01",1,2.5)</f>
        <v>#REF!</v>
      </c>
      <c r="AL435" s="532" t="e">
        <f>IF(NFI_Expiration=1,IF(#REF!&lt;VLOOKUP(U$5,NFI,5,0),1,0)*Table_NFI[[#This Row],[Winter Clothes Adult]],Table_NFI[Winter Clothes Adult])</f>
        <v>#REF!</v>
      </c>
      <c r="AM435" s="532"/>
      <c r="AN435" s="532"/>
      <c r="AO435" s="532"/>
      <c r="AP435" s="532">
        <f>IF(Table_NFI[[#This Row],[Winter Clothes Adult]]+Table_NFI[[#This Row],[Winter Clothes Children]]+Table_NFI[[#This Row],[Winter Items Other]]+Table_NFI[[#This Row],[Winter Blanket]]&gt;0,1,0)</f>
        <v>1</v>
      </c>
      <c r="AQ435" s="532"/>
      <c r="AR435" s="532"/>
      <c r="AS435" s="532"/>
      <c r="AT435" s="532"/>
      <c r="AU435" s="532"/>
      <c r="AV435" s="532"/>
      <c r="AW435" s="532"/>
      <c r="AX435" s="203" t="str">
        <f>IFERROR(VLOOKUP(Table_NFI[[#This Row],[Location]],CL,2,0),"")</f>
        <v>MMR015CMP248</v>
      </c>
      <c r="AZ435" s="524"/>
      <c r="DS435" s="181"/>
      <c r="DT435" s="181"/>
    </row>
    <row r="436" spans="2:124" hidden="1" x14ac:dyDescent="0.3">
      <c r="B436" s="530">
        <v>43449</v>
      </c>
      <c r="C436" s="530" t="str">
        <f>MONTH(Table_NFI[[#This Row],[Distribution Date]]) &amp; "/" &amp; YEAR(Table_NFI[[#This Row],[Distribution Date]])</f>
        <v>12/2018</v>
      </c>
      <c r="D436" s="628" t="s">
        <v>1916</v>
      </c>
      <c r="E436" s="196"/>
      <c r="F436" s="196" t="s">
        <v>506</v>
      </c>
      <c r="G436" s="196" t="s">
        <v>297</v>
      </c>
      <c r="H436" s="195" t="s">
        <v>1189</v>
      </c>
      <c r="I436" s="210">
        <v>29</v>
      </c>
      <c r="J436" s="531"/>
      <c r="K436" s="531"/>
      <c r="L436" s="531"/>
      <c r="M436" s="531"/>
      <c r="N436" s="531"/>
      <c r="O436" s="531"/>
      <c r="P436" s="531"/>
      <c r="Q436" s="531"/>
      <c r="R436" s="531"/>
      <c r="S436" s="531"/>
      <c r="T436" s="531">
        <v>60</v>
      </c>
      <c r="U436" s="531"/>
      <c r="V436" s="531"/>
      <c r="W436" s="531"/>
      <c r="X436" s="531">
        <v>60</v>
      </c>
      <c r="Y436" s="531"/>
      <c r="Z436" s="301">
        <v>30</v>
      </c>
      <c r="AA436" s="531"/>
      <c r="AB436" s="531"/>
      <c r="AC436" s="532" t="e">
        <f>IF(NFI_Expiration=1,IF(#REF!&lt;VLOOKUP(L$5,NFI,5,0),1,0)*Table_NFI[[#This Row],[NFI Core Kit]],Table_NFI[NFI Core Kit])</f>
        <v>#REF!</v>
      </c>
      <c r="AD436" s="532" t="e">
        <f>IF(NFI_Expiration=1,IF(#REF!&lt;VLOOKUP(M$5,NFI,5,0),1,0)*Table_NFI[[#This Row],[Sanitary Kit]],Table_NFI[Sanitary Kit])</f>
        <v>#REF!</v>
      </c>
      <c r="AE436" s="532" t="e">
        <f>IF(NFI_Expiration=1,IF(#REF!&lt;VLOOKUP(N$5,NFI,5,0),1,0)*Table_NFI[[#This Row],[Mosquito net]],Table_NFI[Mosquito net])</f>
        <v>#REF!</v>
      </c>
      <c r="AF436" s="532" t="e">
        <f>IF(NFI_Expiration=1,IF(#REF!&lt;VLOOKUP(O$5,NFI,5,0),1,0)*Table_NFI[[#This Row],[Tarpaulin]],Table_NFI[[#This Row],[Tarpaulin]])</f>
        <v>#REF!</v>
      </c>
      <c r="AG436" s="532" t="e">
        <f>IF(NFI_Expiration=1,IF(#REF!&lt;VLOOKUP(P$5,NFI,5,0),1,0)*Table_NFI[[#This Row],[Blanket]],Table_NFI[[#This Row],[Blanket]])</f>
        <v>#REF!</v>
      </c>
      <c r="AH436" s="532" t="e">
        <f>IF(NFI_Expiration=1,IF(#REF!&lt;VLOOKUP(Q$5,NFI,5,0),1,0)*Table_NFI[[#This Row],[Kitchen Set]],Table_NFI[Kitchen Set])</f>
        <v>#REF!</v>
      </c>
      <c r="AI436" s="532" t="e">
        <f>IF(NFI_Expiration=1,IF(#REF!&lt;VLOOKUP(R$5,NFI,5,0),1,0)*Table_NFI[[#This Row],[Clothes Kit]],Table_NFI[Clothes Kit])</f>
        <v>#REF!</v>
      </c>
      <c r="AJ436" s="532" t="e">
        <f>IF(NFI_Expiration=1,IF(#REF!&lt;VLOOKUP(S$5,NFI,5,0),1,0)*Table_NFI[[#This Row],[Plastic Bucket]],Table_NFI[Plastic Bucket])</f>
        <v>#REF!</v>
      </c>
      <c r="AK436" s="532" t="e">
        <f>IF(NFI_Expiration=1,IF(#REF!&lt;VLOOKUP(T$5,NFI,5,0),1,0)*Table_NFI[[#This Row],[Plastic Mat]],Table_NFI[Plastic Mat])*IF(Table_NFI[[#This Row],[Distribution Date]]&gt;"2014-04-01",1,2.5)</f>
        <v>#REF!</v>
      </c>
      <c r="AL436" s="532" t="e">
        <f>IF(NFI_Expiration=1,IF(#REF!&lt;VLOOKUP(U$5,NFI,5,0),1,0)*Table_NFI[[#This Row],[Winter Clothes Adult]],Table_NFI[Winter Clothes Adult])</f>
        <v>#REF!</v>
      </c>
      <c r="AM436" s="532"/>
      <c r="AN436" s="532"/>
      <c r="AO436" s="532"/>
      <c r="AP436" s="532">
        <f>IF(Table_NFI[[#This Row],[Winter Clothes Adult]]+Table_NFI[[#This Row],[Winter Clothes Children]]+Table_NFI[[#This Row],[Winter Items Other]]+Table_NFI[[#This Row],[Winter Blanket]]&gt;0,1,0)</f>
        <v>1</v>
      </c>
      <c r="AQ436" s="532"/>
      <c r="AR436" s="532"/>
      <c r="AS436" s="532"/>
      <c r="AT436" s="532"/>
      <c r="AU436" s="532"/>
      <c r="AV436" s="532"/>
      <c r="AW436" s="532"/>
      <c r="AX436" s="203" t="str">
        <f>IFERROR(VLOOKUP(Table_NFI[[#This Row],[Location]],CL,2,0),"")</f>
        <v>MMR015CMP232</v>
      </c>
      <c r="AZ436" s="524"/>
      <c r="DS436" s="181"/>
      <c r="DT436" s="181"/>
    </row>
    <row r="437" spans="2:124" hidden="1" x14ac:dyDescent="0.3">
      <c r="B437" s="530">
        <v>43449</v>
      </c>
      <c r="C437" s="530" t="str">
        <f>MONTH(Table_NFI[[#This Row],[Distribution Date]]) &amp; "/" &amp; YEAR(Table_NFI[[#This Row],[Distribution Date]])</f>
        <v>12/2018</v>
      </c>
      <c r="D437" s="628" t="s">
        <v>1916</v>
      </c>
      <c r="E437" s="196"/>
      <c r="F437" s="196" t="s">
        <v>506</v>
      </c>
      <c r="G437" s="196" t="s">
        <v>1743</v>
      </c>
      <c r="H437" s="268" t="s">
        <v>1753</v>
      </c>
      <c r="I437" s="210">
        <v>14</v>
      </c>
      <c r="J437" s="531"/>
      <c r="K437" s="531"/>
      <c r="L437" s="531"/>
      <c r="M437" s="531"/>
      <c r="N437" s="531"/>
      <c r="O437" s="531"/>
      <c r="P437" s="531"/>
      <c r="Q437" s="531"/>
      <c r="R437" s="531"/>
      <c r="S437" s="531"/>
      <c r="T437" s="531">
        <v>40</v>
      </c>
      <c r="U437" s="531"/>
      <c r="V437" s="531"/>
      <c r="W437" s="531"/>
      <c r="X437" s="531">
        <v>40</v>
      </c>
      <c r="Y437" s="531"/>
      <c r="Z437" s="301">
        <v>20</v>
      </c>
      <c r="AA437" s="531"/>
      <c r="AB437" s="531"/>
      <c r="AC437" s="532" t="e">
        <f>IF(NFI_Expiration=1,IF(#REF!&lt;VLOOKUP(L$5,NFI,5,0),1,0)*Table_NFI[[#This Row],[NFI Core Kit]],Table_NFI[NFI Core Kit])</f>
        <v>#REF!</v>
      </c>
      <c r="AD437" s="532" t="e">
        <f>IF(NFI_Expiration=1,IF(#REF!&lt;VLOOKUP(M$5,NFI,5,0),1,0)*Table_NFI[[#This Row],[Sanitary Kit]],Table_NFI[Sanitary Kit])</f>
        <v>#REF!</v>
      </c>
      <c r="AE437" s="532" t="e">
        <f>IF(NFI_Expiration=1,IF(#REF!&lt;VLOOKUP(N$5,NFI,5,0),1,0)*Table_NFI[[#This Row],[Mosquito net]],Table_NFI[Mosquito net])</f>
        <v>#REF!</v>
      </c>
      <c r="AF437" s="532" t="e">
        <f>IF(NFI_Expiration=1,IF(#REF!&lt;VLOOKUP(O$5,NFI,5,0),1,0)*Table_NFI[[#This Row],[Tarpaulin]],Table_NFI[[#This Row],[Tarpaulin]])</f>
        <v>#REF!</v>
      </c>
      <c r="AG437" s="532" t="e">
        <f>IF(NFI_Expiration=1,IF(#REF!&lt;VLOOKUP(P$5,NFI,5,0),1,0)*Table_NFI[[#This Row],[Blanket]],Table_NFI[[#This Row],[Blanket]])</f>
        <v>#REF!</v>
      </c>
      <c r="AH437" s="532" t="e">
        <f>IF(NFI_Expiration=1,IF(#REF!&lt;VLOOKUP(Q$5,NFI,5,0),1,0)*Table_NFI[[#This Row],[Kitchen Set]],Table_NFI[Kitchen Set])</f>
        <v>#REF!</v>
      </c>
      <c r="AI437" s="532" t="e">
        <f>IF(NFI_Expiration=1,IF(#REF!&lt;VLOOKUP(R$5,NFI,5,0),1,0)*Table_NFI[[#This Row],[Clothes Kit]],Table_NFI[Clothes Kit])</f>
        <v>#REF!</v>
      </c>
      <c r="AJ437" s="532" t="e">
        <f>IF(NFI_Expiration=1,IF(#REF!&lt;VLOOKUP(S$5,NFI,5,0),1,0)*Table_NFI[[#This Row],[Plastic Bucket]],Table_NFI[Plastic Bucket])</f>
        <v>#REF!</v>
      </c>
      <c r="AK437" s="532" t="e">
        <f>IF(NFI_Expiration=1,IF(#REF!&lt;VLOOKUP(T$5,NFI,5,0),1,0)*Table_NFI[[#This Row],[Plastic Mat]],Table_NFI[Plastic Mat])*IF(Table_NFI[[#This Row],[Distribution Date]]&gt;"2014-04-01",1,2.5)</f>
        <v>#REF!</v>
      </c>
      <c r="AL437" s="532" t="e">
        <f>IF(NFI_Expiration=1,IF(#REF!&lt;VLOOKUP(U$5,NFI,5,0),1,0)*Table_NFI[[#This Row],[Winter Clothes Adult]],Table_NFI[Winter Clothes Adult])</f>
        <v>#REF!</v>
      </c>
      <c r="AM437" s="532"/>
      <c r="AN437" s="532"/>
      <c r="AO437" s="532"/>
      <c r="AP437" s="532">
        <f>IF(Table_NFI[[#This Row],[Winter Clothes Adult]]+Table_NFI[[#This Row],[Winter Clothes Children]]+Table_NFI[[#This Row],[Winter Items Other]]+Table_NFI[[#This Row],[Winter Blanket]]&gt;0,1,0)</f>
        <v>1</v>
      </c>
      <c r="AQ437" s="532"/>
      <c r="AR437" s="532"/>
      <c r="AS437" s="532"/>
      <c r="AT437" s="532"/>
      <c r="AU437" s="532"/>
      <c r="AV437" s="532"/>
      <c r="AW437" s="532"/>
      <c r="AX437" s="203" t="str">
        <f>IFERROR(VLOOKUP(Table_NFI[[#This Row],[Location]],CL,2,0),"")</f>
        <v/>
      </c>
      <c r="AZ437" s="524"/>
      <c r="DS437" s="181"/>
      <c r="DT437" s="181"/>
    </row>
    <row r="438" spans="2:124" hidden="1" x14ac:dyDescent="0.3">
      <c r="B438" s="530">
        <v>43449</v>
      </c>
      <c r="C438" s="530" t="str">
        <f>MONTH(Table_NFI[[#This Row],[Distribution Date]]) &amp; "/" &amp; YEAR(Table_NFI[[#This Row],[Distribution Date]])</f>
        <v>12/2018</v>
      </c>
      <c r="D438" s="628" t="s">
        <v>1916</v>
      </c>
      <c r="E438" s="196"/>
      <c r="F438" s="196" t="s">
        <v>506</v>
      </c>
      <c r="G438" s="196" t="s">
        <v>1743</v>
      </c>
      <c r="H438" s="268" t="s">
        <v>1754</v>
      </c>
      <c r="I438" s="210">
        <v>51</v>
      </c>
      <c r="J438" s="531"/>
      <c r="K438" s="531"/>
      <c r="L438" s="531"/>
      <c r="M438" s="531"/>
      <c r="N438" s="531"/>
      <c r="O438" s="531"/>
      <c r="P438" s="531"/>
      <c r="Q438" s="531"/>
      <c r="R438" s="531"/>
      <c r="S438" s="531"/>
      <c r="T438" s="531">
        <v>96</v>
      </c>
      <c r="U438" s="531"/>
      <c r="V438" s="531"/>
      <c r="W438" s="531"/>
      <c r="X438" s="531">
        <v>96</v>
      </c>
      <c r="Y438" s="531"/>
      <c r="Z438" s="301">
        <v>48</v>
      </c>
      <c r="AA438" s="531"/>
      <c r="AB438" s="531"/>
      <c r="AC438" s="532" t="e">
        <f>IF(NFI_Expiration=1,IF(#REF!&lt;VLOOKUP(L$5,NFI,5,0),1,0)*Table_NFI[[#This Row],[NFI Core Kit]],Table_NFI[NFI Core Kit])</f>
        <v>#REF!</v>
      </c>
      <c r="AD438" s="532" t="e">
        <f>IF(NFI_Expiration=1,IF(#REF!&lt;VLOOKUP(M$5,NFI,5,0),1,0)*Table_NFI[[#This Row],[Sanitary Kit]],Table_NFI[Sanitary Kit])</f>
        <v>#REF!</v>
      </c>
      <c r="AE438" s="532" t="e">
        <f>IF(NFI_Expiration=1,IF(#REF!&lt;VLOOKUP(N$5,NFI,5,0),1,0)*Table_NFI[[#This Row],[Mosquito net]],Table_NFI[Mosquito net])</f>
        <v>#REF!</v>
      </c>
      <c r="AF438" s="532" t="e">
        <f>IF(NFI_Expiration=1,IF(#REF!&lt;VLOOKUP(O$5,NFI,5,0),1,0)*Table_NFI[[#This Row],[Tarpaulin]],Table_NFI[[#This Row],[Tarpaulin]])</f>
        <v>#REF!</v>
      </c>
      <c r="AG438" s="532" t="e">
        <f>IF(NFI_Expiration=1,IF(#REF!&lt;VLOOKUP(P$5,NFI,5,0),1,0)*Table_NFI[[#This Row],[Blanket]],Table_NFI[[#This Row],[Blanket]])</f>
        <v>#REF!</v>
      </c>
      <c r="AH438" s="532" t="e">
        <f>IF(NFI_Expiration=1,IF(#REF!&lt;VLOOKUP(Q$5,NFI,5,0),1,0)*Table_NFI[[#This Row],[Kitchen Set]],Table_NFI[Kitchen Set])</f>
        <v>#REF!</v>
      </c>
      <c r="AI438" s="532" t="e">
        <f>IF(NFI_Expiration=1,IF(#REF!&lt;VLOOKUP(R$5,NFI,5,0),1,0)*Table_NFI[[#This Row],[Clothes Kit]],Table_NFI[Clothes Kit])</f>
        <v>#REF!</v>
      </c>
      <c r="AJ438" s="532" t="e">
        <f>IF(NFI_Expiration=1,IF(#REF!&lt;VLOOKUP(S$5,NFI,5,0),1,0)*Table_NFI[[#This Row],[Plastic Bucket]],Table_NFI[Plastic Bucket])</f>
        <v>#REF!</v>
      </c>
      <c r="AK438" s="532" t="e">
        <f>IF(NFI_Expiration=1,IF(#REF!&lt;VLOOKUP(T$5,NFI,5,0),1,0)*Table_NFI[[#This Row],[Plastic Mat]],Table_NFI[Plastic Mat])*IF(Table_NFI[[#This Row],[Distribution Date]]&gt;"2014-04-01",1,2.5)</f>
        <v>#REF!</v>
      </c>
      <c r="AL438" s="532" t="e">
        <f>IF(NFI_Expiration=1,IF(#REF!&lt;VLOOKUP(U$5,NFI,5,0),1,0)*Table_NFI[[#This Row],[Winter Clothes Adult]],Table_NFI[Winter Clothes Adult])</f>
        <v>#REF!</v>
      </c>
      <c r="AM438" s="532"/>
      <c r="AN438" s="532"/>
      <c r="AO438" s="532"/>
      <c r="AP438" s="532">
        <f>IF(Table_NFI[[#This Row],[Winter Clothes Adult]]+Table_NFI[[#This Row],[Winter Clothes Children]]+Table_NFI[[#This Row],[Winter Items Other]]+Table_NFI[[#This Row],[Winter Blanket]]&gt;0,1,0)</f>
        <v>1</v>
      </c>
      <c r="AQ438" s="532"/>
      <c r="AR438" s="532"/>
      <c r="AS438" s="532"/>
      <c r="AT438" s="532"/>
      <c r="AU438" s="532"/>
      <c r="AV438" s="532"/>
      <c r="AW438" s="532"/>
      <c r="AX438" s="203" t="str">
        <f>IFERROR(VLOOKUP(Table_NFI[[#This Row],[Location]],CL,2,0),"")</f>
        <v/>
      </c>
      <c r="AZ438" s="524"/>
      <c r="DS438" s="181"/>
      <c r="DT438" s="181"/>
    </row>
    <row r="439" spans="2:124" hidden="1" x14ac:dyDescent="0.3">
      <c r="B439" s="530">
        <v>43449</v>
      </c>
      <c r="C439" s="530" t="str">
        <f>MONTH(Table_NFI[[#This Row],[Distribution Date]]) &amp; "/" &amp; YEAR(Table_NFI[[#This Row],[Distribution Date]])</f>
        <v>12/2018</v>
      </c>
      <c r="D439" s="628" t="s">
        <v>1916</v>
      </c>
      <c r="E439" s="196"/>
      <c r="F439" s="196" t="s">
        <v>506</v>
      </c>
      <c r="G439" s="196" t="s">
        <v>146</v>
      </c>
      <c r="H439" s="195" t="s">
        <v>369</v>
      </c>
      <c r="I439" s="210">
        <v>37</v>
      </c>
      <c r="J439" s="531"/>
      <c r="K439" s="531"/>
      <c r="L439" s="531"/>
      <c r="M439" s="531"/>
      <c r="N439" s="531"/>
      <c r="O439" s="531"/>
      <c r="P439" s="531"/>
      <c r="Q439" s="531"/>
      <c r="R439" s="531"/>
      <c r="S439" s="531"/>
      <c r="T439" s="531">
        <v>78</v>
      </c>
      <c r="U439" s="531"/>
      <c r="V439" s="531"/>
      <c r="W439" s="531"/>
      <c r="X439" s="531">
        <v>78</v>
      </c>
      <c r="Y439" s="531"/>
      <c r="Z439" s="301">
        <v>39</v>
      </c>
      <c r="AA439" s="531"/>
      <c r="AB439" s="531"/>
      <c r="AC439" s="532" t="e">
        <f>IF(NFI_Expiration=1,IF(#REF!&lt;VLOOKUP(L$5,NFI,5,0),1,0)*Table_NFI[[#This Row],[NFI Core Kit]],Table_NFI[NFI Core Kit])</f>
        <v>#REF!</v>
      </c>
      <c r="AD439" s="532" t="e">
        <f>IF(NFI_Expiration=1,IF(#REF!&lt;VLOOKUP(M$5,NFI,5,0),1,0)*Table_NFI[[#This Row],[Sanitary Kit]],Table_NFI[Sanitary Kit])</f>
        <v>#REF!</v>
      </c>
      <c r="AE439" s="532" t="e">
        <f>IF(NFI_Expiration=1,IF(#REF!&lt;VLOOKUP(N$5,NFI,5,0),1,0)*Table_NFI[[#This Row],[Mosquito net]],Table_NFI[Mosquito net])</f>
        <v>#REF!</v>
      </c>
      <c r="AF439" s="532" t="e">
        <f>IF(NFI_Expiration=1,IF(#REF!&lt;VLOOKUP(O$5,NFI,5,0),1,0)*Table_NFI[[#This Row],[Tarpaulin]],Table_NFI[[#This Row],[Tarpaulin]])</f>
        <v>#REF!</v>
      </c>
      <c r="AG439" s="532" t="e">
        <f>IF(NFI_Expiration=1,IF(#REF!&lt;VLOOKUP(P$5,NFI,5,0),1,0)*Table_NFI[[#This Row],[Blanket]],Table_NFI[[#This Row],[Blanket]])</f>
        <v>#REF!</v>
      </c>
      <c r="AH439" s="532" t="e">
        <f>IF(NFI_Expiration=1,IF(#REF!&lt;VLOOKUP(Q$5,NFI,5,0),1,0)*Table_NFI[[#This Row],[Kitchen Set]],Table_NFI[Kitchen Set])</f>
        <v>#REF!</v>
      </c>
      <c r="AI439" s="532" t="e">
        <f>IF(NFI_Expiration=1,IF(#REF!&lt;VLOOKUP(R$5,NFI,5,0),1,0)*Table_NFI[[#This Row],[Clothes Kit]],Table_NFI[Clothes Kit])</f>
        <v>#REF!</v>
      </c>
      <c r="AJ439" s="532" t="e">
        <f>IF(NFI_Expiration=1,IF(#REF!&lt;VLOOKUP(S$5,NFI,5,0),1,0)*Table_NFI[[#This Row],[Plastic Bucket]],Table_NFI[Plastic Bucket])</f>
        <v>#REF!</v>
      </c>
      <c r="AK439" s="532" t="e">
        <f>IF(NFI_Expiration=1,IF(#REF!&lt;VLOOKUP(T$5,NFI,5,0),1,0)*Table_NFI[[#This Row],[Plastic Mat]],Table_NFI[Plastic Mat])*IF(Table_NFI[[#This Row],[Distribution Date]]&gt;"2014-04-01",1,2.5)</f>
        <v>#REF!</v>
      </c>
      <c r="AL439" s="532" t="e">
        <f>IF(NFI_Expiration=1,IF(#REF!&lt;VLOOKUP(U$5,NFI,5,0),1,0)*Table_NFI[[#This Row],[Winter Clothes Adult]],Table_NFI[Winter Clothes Adult])</f>
        <v>#REF!</v>
      </c>
      <c r="AM439" s="532"/>
      <c r="AN439" s="532"/>
      <c r="AO439" s="532"/>
      <c r="AP439" s="532">
        <f>IF(Table_NFI[[#This Row],[Winter Clothes Adult]]+Table_NFI[[#This Row],[Winter Clothes Children]]+Table_NFI[[#This Row],[Winter Items Other]]+Table_NFI[[#This Row],[Winter Blanket]]&gt;0,1,0)</f>
        <v>1</v>
      </c>
      <c r="AQ439" s="532"/>
      <c r="AR439" s="532"/>
      <c r="AS439" s="532"/>
      <c r="AT439" s="532"/>
      <c r="AU439" s="532"/>
      <c r="AV439" s="532"/>
      <c r="AW439" s="532"/>
      <c r="AX439" s="203" t="str">
        <f>IFERROR(VLOOKUP(Table_NFI[[#This Row],[Location]],CL,2,0),"")</f>
        <v>MMR015CMP006</v>
      </c>
      <c r="AZ439" s="524"/>
      <c r="DS439" s="181"/>
      <c r="DT439" s="181"/>
    </row>
    <row r="440" spans="2:124" hidden="1" x14ac:dyDescent="0.3">
      <c r="B440" s="530">
        <v>43449</v>
      </c>
      <c r="C440" s="530" t="str">
        <f>MONTH(Table_NFI[[#This Row],[Distribution Date]]) &amp; "/" &amp; YEAR(Table_NFI[[#This Row],[Distribution Date]])</f>
        <v>12/2018</v>
      </c>
      <c r="D440" s="628" t="s">
        <v>1916</v>
      </c>
      <c r="E440" s="196"/>
      <c r="F440" s="196" t="s">
        <v>506</v>
      </c>
      <c r="G440" s="196" t="s">
        <v>146</v>
      </c>
      <c r="H440" s="196" t="s">
        <v>941</v>
      </c>
      <c r="I440" s="210">
        <v>19</v>
      </c>
      <c r="J440" s="531"/>
      <c r="K440" s="531"/>
      <c r="L440" s="531"/>
      <c r="M440" s="531"/>
      <c r="N440" s="531"/>
      <c r="O440" s="531"/>
      <c r="P440" s="531"/>
      <c r="Q440" s="531"/>
      <c r="R440" s="531"/>
      <c r="S440" s="531"/>
      <c r="T440" s="531">
        <v>42</v>
      </c>
      <c r="U440" s="531"/>
      <c r="V440" s="531"/>
      <c r="W440" s="531"/>
      <c r="X440" s="531">
        <v>42</v>
      </c>
      <c r="Y440" s="531"/>
      <c r="Z440" s="301">
        <v>21</v>
      </c>
      <c r="AA440" s="531"/>
      <c r="AB440" s="531"/>
      <c r="AC440" s="532" t="e">
        <f>IF(NFI_Expiration=1,IF(#REF!&lt;VLOOKUP(L$5,NFI,5,0),1,0)*Table_NFI[[#This Row],[NFI Core Kit]],Table_NFI[NFI Core Kit])</f>
        <v>#REF!</v>
      </c>
      <c r="AD440" s="532" t="e">
        <f>IF(NFI_Expiration=1,IF(#REF!&lt;VLOOKUP(M$5,NFI,5,0),1,0)*Table_NFI[[#This Row],[Sanitary Kit]],Table_NFI[Sanitary Kit])</f>
        <v>#REF!</v>
      </c>
      <c r="AE440" s="532" t="e">
        <f>IF(NFI_Expiration=1,IF(#REF!&lt;VLOOKUP(N$5,NFI,5,0),1,0)*Table_NFI[[#This Row],[Mosquito net]],Table_NFI[Mosquito net])</f>
        <v>#REF!</v>
      </c>
      <c r="AF440" s="532" t="e">
        <f>IF(NFI_Expiration=1,IF(#REF!&lt;VLOOKUP(O$5,NFI,5,0),1,0)*Table_NFI[[#This Row],[Tarpaulin]],Table_NFI[[#This Row],[Tarpaulin]])</f>
        <v>#REF!</v>
      </c>
      <c r="AG440" s="532" t="e">
        <f>IF(NFI_Expiration=1,IF(#REF!&lt;VLOOKUP(P$5,NFI,5,0),1,0)*Table_NFI[[#This Row],[Blanket]],Table_NFI[[#This Row],[Blanket]])</f>
        <v>#REF!</v>
      </c>
      <c r="AH440" s="532" t="e">
        <f>IF(NFI_Expiration=1,IF(#REF!&lt;VLOOKUP(Q$5,NFI,5,0),1,0)*Table_NFI[[#This Row],[Kitchen Set]],Table_NFI[Kitchen Set])</f>
        <v>#REF!</v>
      </c>
      <c r="AI440" s="532" t="e">
        <f>IF(NFI_Expiration=1,IF(#REF!&lt;VLOOKUP(R$5,NFI,5,0),1,0)*Table_NFI[[#This Row],[Clothes Kit]],Table_NFI[Clothes Kit])</f>
        <v>#REF!</v>
      </c>
      <c r="AJ440" s="532" t="e">
        <f>IF(NFI_Expiration=1,IF(#REF!&lt;VLOOKUP(S$5,NFI,5,0),1,0)*Table_NFI[[#This Row],[Plastic Bucket]],Table_NFI[Plastic Bucket])</f>
        <v>#REF!</v>
      </c>
      <c r="AK440" s="532" t="e">
        <f>IF(NFI_Expiration=1,IF(#REF!&lt;VLOOKUP(T$5,NFI,5,0),1,0)*Table_NFI[[#This Row],[Plastic Mat]],Table_NFI[Plastic Mat])*IF(Table_NFI[[#This Row],[Distribution Date]]&gt;"2014-04-01",1,2.5)</f>
        <v>#REF!</v>
      </c>
      <c r="AL440" s="532" t="e">
        <f>IF(NFI_Expiration=1,IF(#REF!&lt;VLOOKUP(U$5,NFI,5,0),1,0)*Table_NFI[[#This Row],[Winter Clothes Adult]],Table_NFI[Winter Clothes Adult])</f>
        <v>#REF!</v>
      </c>
      <c r="AM440" s="532"/>
      <c r="AN440" s="532"/>
      <c r="AO440" s="532"/>
      <c r="AP440" s="532">
        <f>IF(Table_NFI[[#This Row],[Winter Clothes Adult]]+Table_NFI[[#This Row],[Winter Clothes Children]]+Table_NFI[[#This Row],[Winter Items Other]]+Table_NFI[[#This Row],[Winter Blanket]]&gt;0,1,0)</f>
        <v>1</v>
      </c>
      <c r="AQ440" s="532"/>
      <c r="AR440" s="532"/>
      <c r="AS440" s="532"/>
      <c r="AT440" s="532"/>
      <c r="AU440" s="532"/>
      <c r="AV440" s="532"/>
      <c r="AW440" s="532"/>
      <c r="AX440" s="203" t="str">
        <f>IFERROR(VLOOKUP(Table_NFI[[#This Row],[Location]],CL,2,0),"")</f>
        <v>MMR015CMP217</v>
      </c>
      <c r="AZ440" s="524"/>
      <c r="DS440" s="181"/>
      <c r="DT440" s="181"/>
    </row>
    <row r="441" spans="2:124" hidden="1" x14ac:dyDescent="0.3">
      <c r="B441" s="530">
        <v>43449</v>
      </c>
      <c r="C441" s="530" t="str">
        <f>MONTH(Table_NFI[[#This Row],[Distribution Date]]) &amp; "/" &amp; YEAR(Table_NFI[[#This Row],[Distribution Date]])</f>
        <v>12/2018</v>
      </c>
      <c r="D441" s="628" t="s">
        <v>1916</v>
      </c>
      <c r="E441" s="196"/>
      <c r="F441" s="196" t="s">
        <v>506</v>
      </c>
      <c r="G441" s="196" t="s">
        <v>146</v>
      </c>
      <c r="H441" s="195" t="s">
        <v>371</v>
      </c>
      <c r="I441" s="210">
        <v>174</v>
      </c>
      <c r="J441" s="531"/>
      <c r="K441" s="531"/>
      <c r="L441" s="531"/>
      <c r="M441" s="531"/>
      <c r="N441" s="531"/>
      <c r="O441" s="531"/>
      <c r="P441" s="531"/>
      <c r="Q441" s="531"/>
      <c r="R441" s="531"/>
      <c r="S441" s="531"/>
      <c r="T441" s="531">
        <v>482</v>
      </c>
      <c r="U441" s="531"/>
      <c r="V441" s="531"/>
      <c r="W441" s="531"/>
      <c r="X441" s="531">
        <v>482</v>
      </c>
      <c r="Y441" s="531"/>
      <c r="Z441" s="301">
        <v>241</v>
      </c>
      <c r="AA441" s="531"/>
      <c r="AB441" s="531"/>
      <c r="AC441" s="532" t="e">
        <f>IF(NFI_Expiration=1,IF(#REF!&lt;VLOOKUP(L$5,NFI,5,0),1,0)*Table_NFI[[#This Row],[NFI Core Kit]],Table_NFI[NFI Core Kit])</f>
        <v>#REF!</v>
      </c>
      <c r="AD441" s="532" t="e">
        <f>IF(NFI_Expiration=1,IF(#REF!&lt;VLOOKUP(M$5,NFI,5,0),1,0)*Table_NFI[[#This Row],[Sanitary Kit]],Table_NFI[Sanitary Kit])</f>
        <v>#REF!</v>
      </c>
      <c r="AE441" s="532" t="e">
        <f>IF(NFI_Expiration=1,IF(#REF!&lt;VLOOKUP(N$5,NFI,5,0),1,0)*Table_NFI[[#This Row],[Mosquito net]],Table_NFI[Mosquito net])</f>
        <v>#REF!</v>
      </c>
      <c r="AF441" s="532" t="e">
        <f>IF(NFI_Expiration=1,IF(#REF!&lt;VLOOKUP(O$5,NFI,5,0),1,0)*Table_NFI[[#This Row],[Tarpaulin]],Table_NFI[[#This Row],[Tarpaulin]])</f>
        <v>#REF!</v>
      </c>
      <c r="AG441" s="532" t="e">
        <f>IF(NFI_Expiration=1,IF(#REF!&lt;VLOOKUP(P$5,NFI,5,0),1,0)*Table_NFI[[#This Row],[Blanket]],Table_NFI[[#This Row],[Blanket]])</f>
        <v>#REF!</v>
      </c>
      <c r="AH441" s="532" t="e">
        <f>IF(NFI_Expiration=1,IF(#REF!&lt;VLOOKUP(Q$5,NFI,5,0),1,0)*Table_NFI[[#This Row],[Kitchen Set]],Table_NFI[Kitchen Set])</f>
        <v>#REF!</v>
      </c>
      <c r="AI441" s="532" t="e">
        <f>IF(NFI_Expiration=1,IF(#REF!&lt;VLOOKUP(R$5,NFI,5,0),1,0)*Table_NFI[[#This Row],[Clothes Kit]],Table_NFI[Clothes Kit])</f>
        <v>#REF!</v>
      </c>
      <c r="AJ441" s="532" t="e">
        <f>IF(NFI_Expiration=1,IF(#REF!&lt;VLOOKUP(S$5,NFI,5,0),1,0)*Table_NFI[[#This Row],[Plastic Bucket]],Table_NFI[Plastic Bucket])</f>
        <v>#REF!</v>
      </c>
      <c r="AK441" s="532" t="e">
        <f>IF(NFI_Expiration=1,IF(#REF!&lt;VLOOKUP(T$5,NFI,5,0),1,0)*Table_NFI[[#This Row],[Plastic Mat]],Table_NFI[Plastic Mat])*IF(Table_NFI[[#This Row],[Distribution Date]]&gt;"2014-04-01",1,2.5)</f>
        <v>#REF!</v>
      </c>
      <c r="AL441" s="532" t="e">
        <f>IF(NFI_Expiration=1,IF(#REF!&lt;VLOOKUP(U$5,NFI,5,0),1,0)*Table_NFI[[#This Row],[Winter Clothes Adult]],Table_NFI[Winter Clothes Adult])</f>
        <v>#REF!</v>
      </c>
      <c r="AM441" s="532"/>
      <c r="AN441" s="532"/>
      <c r="AO441" s="532"/>
      <c r="AP441" s="532">
        <f>IF(Table_NFI[[#This Row],[Winter Clothes Adult]]+Table_NFI[[#This Row],[Winter Clothes Children]]+Table_NFI[[#This Row],[Winter Items Other]]+Table_NFI[[#This Row],[Winter Blanket]]&gt;0,1,0)</f>
        <v>1</v>
      </c>
      <c r="AQ441" s="532"/>
      <c r="AR441" s="532"/>
      <c r="AS441" s="532"/>
      <c r="AT441" s="532"/>
      <c r="AU441" s="532"/>
      <c r="AV441" s="532"/>
      <c r="AW441" s="532"/>
      <c r="AX441" s="203" t="str">
        <f>IFERROR(VLOOKUP(Table_NFI[[#This Row],[Location]],CL,2,0),"")</f>
        <v>MMR015CMP020</v>
      </c>
      <c r="AZ441" s="524"/>
      <c r="DS441" s="181"/>
      <c r="DT441" s="181"/>
    </row>
    <row r="442" spans="2:124" hidden="1" x14ac:dyDescent="0.3">
      <c r="B442" s="530">
        <v>43449</v>
      </c>
      <c r="C442" s="530" t="str">
        <f>MONTH(Table_NFI[[#This Row],[Distribution Date]]) &amp; "/" &amp; YEAR(Table_NFI[[#This Row],[Distribution Date]])</f>
        <v>12/2018</v>
      </c>
      <c r="D442" s="628" t="s">
        <v>1916</v>
      </c>
      <c r="E442" s="196"/>
      <c r="F442" s="196" t="s">
        <v>506</v>
      </c>
      <c r="G442" s="196" t="s">
        <v>146</v>
      </c>
      <c r="H442" s="195" t="s">
        <v>1727</v>
      </c>
      <c r="I442" s="210">
        <v>66</v>
      </c>
      <c r="J442" s="531"/>
      <c r="K442" s="531"/>
      <c r="L442" s="531"/>
      <c r="M442" s="531"/>
      <c r="N442" s="531"/>
      <c r="O442" s="531"/>
      <c r="P442" s="531"/>
      <c r="Q442" s="531"/>
      <c r="R442" s="531"/>
      <c r="S442" s="531"/>
      <c r="T442" s="531">
        <v>142</v>
      </c>
      <c r="U442" s="531"/>
      <c r="V442" s="531"/>
      <c r="W442" s="531"/>
      <c r="X442" s="531">
        <v>142</v>
      </c>
      <c r="Y442" s="531"/>
      <c r="Z442" s="301">
        <v>71</v>
      </c>
      <c r="AA442" s="531"/>
      <c r="AB442" s="531"/>
      <c r="AC442" s="532" t="e">
        <f>IF(NFI_Expiration=1,IF(#REF!&lt;VLOOKUP(L$5,NFI,5,0),1,0)*Table_NFI[[#This Row],[NFI Core Kit]],Table_NFI[NFI Core Kit])</f>
        <v>#REF!</v>
      </c>
      <c r="AD442" s="532" t="e">
        <f>IF(NFI_Expiration=1,IF(#REF!&lt;VLOOKUP(M$5,NFI,5,0),1,0)*Table_NFI[[#This Row],[Sanitary Kit]],Table_NFI[Sanitary Kit])</f>
        <v>#REF!</v>
      </c>
      <c r="AE442" s="532" t="e">
        <f>IF(NFI_Expiration=1,IF(#REF!&lt;VLOOKUP(N$5,NFI,5,0),1,0)*Table_NFI[[#This Row],[Mosquito net]],Table_NFI[Mosquito net])</f>
        <v>#REF!</v>
      </c>
      <c r="AF442" s="532" t="e">
        <f>IF(NFI_Expiration=1,IF(#REF!&lt;VLOOKUP(O$5,NFI,5,0),1,0)*Table_NFI[[#This Row],[Tarpaulin]],Table_NFI[[#This Row],[Tarpaulin]])</f>
        <v>#REF!</v>
      </c>
      <c r="AG442" s="532" t="e">
        <f>IF(NFI_Expiration=1,IF(#REF!&lt;VLOOKUP(P$5,NFI,5,0),1,0)*Table_NFI[[#This Row],[Blanket]],Table_NFI[[#This Row],[Blanket]])</f>
        <v>#REF!</v>
      </c>
      <c r="AH442" s="532" t="e">
        <f>IF(NFI_Expiration=1,IF(#REF!&lt;VLOOKUP(Q$5,NFI,5,0),1,0)*Table_NFI[[#This Row],[Kitchen Set]],Table_NFI[Kitchen Set])</f>
        <v>#REF!</v>
      </c>
      <c r="AI442" s="532" t="e">
        <f>IF(NFI_Expiration=1,IF(#REF!&lt;VLOOKUP(R$5,NFI,5,0),1,0)*Table_NFI[[#This Row],[Clothes Kit]],Table_NFI[Clothes Kit])</f>
        <v>#REF!</v>
      </c>
      <c r="AJ442" s="532" t="e">
        <f>IF(NFI_Expiration=1,IF(#REF!&lt;VLOOKUP(S$5,NFI,5,0),1,0)*Table_NFI[[#This Row],[Plastic Bucket]],Table_NFI[Plastic Bucket])</f>
        <v>#REF!</v>
      </c>
      <c r="AK442" s="532" t="e">
        <f>IF(NFI_Expiration=1,IF(#REF!&lt;VLOOKUP(T$5,NFI,5,0),1,0)*Table_NFI[[#This Row],[Plastic Mat]],Table_NFI[Plastic Mat])*IF(Table_NFI[[#This Row],[Distribution Date]]&gt;"2014-04-01",1,2.5)</f>
        <v>#REF!</v>
      </c>
      <c r="AL442" s="532" t="e">
        <f>IF(NFI_Expiration=1,IF(#REF!&lt;VLOOKUP(U$5,NFI,5,0),1,0)*Table_NFI[[#This Row],[Winter Clothes Adult]],Table_NFI[Winter Clothes Adult])</f>
        <v>#REF!</v>
      </c>
      <c r="AM442" s="532"/>
      <c r="AN442" s="532"/>
      <c r="AO442" s="532"/>
      <c r="AP442" s="532">
        <f>IF(Table_NFI[[#This Row],[Winter Clothes Adult]]+Table_NFI[[#This Row],[Winter Clothes Children]]+Table_NFI[[#This Row],[Winter Items Other]]+Table_NFI[[#This Row],[Winter Blanket]]&gt;0,1,0)</f>
        <v>1</v>
      </c>
      <c r="AQ442" s="532"/>
      <c r="AR442" s="532"/>
      <c r="AS442" s="532"/>
      <c r="AT442" s="532"/>
      <c r="AU442" s="532"/>
      <c r="AV442" s="532"/>
      <c r="AW442" s="532"/>
      <c r="AX442" s="203" t="str">
        <f>IFERROR(VLOOKUP(Table_NFI[[#This Row],[Location]],CL,2,0),"")</f>
        <v>MMR015CMP212</v>
      </c>
      <c r="AZ442" s="524"/>
      <c r="DS442" s="181"/>
      <c r="DT442" s="181"/>
    </row>
    <row r="443" spans="2:124" hidden="1" x14ac:dyDescent="0.3">
      <c r="B443" s="530">
        <v>43449</v>
      </c>
      <c r="C443" s="530" t="str">
        <f>MONTH(Table_NFI[[#This Row],[Distribution Date]]) &amp; "/" &amp; YEAR(Table_NFI[[#This Row],[Distribution Date]])</f>
        <v>12/2018</v>
      </c>
      <c r="D443" s="628" t="s">
        <v>1916</v>
      </c>
      <c r="E443" s="196"/>
      <c r="F443" s="196" t="s">
        <v>506</v>
      </c>
      <c r="G443" s="196" t="s">
        <v>146</v>
      </c>
      <c r="H443" s="235" t="s">
        <v>1080</v>
      </c>
      <c r="I443" s="210">
        <v>103</v>
      </c>
      <c r="J443" s="531"/>
      <c r="K443" s="531"/>
      <c r="L443" s="531"/>
      <c r="M443" s="531"/>
      <c r="N443" s="531"/>
      <c r="O443" s="531"/>
      <c r="P443" s="531"/>
      <c r="Q443" s="531"/>
      <c r="R443" s="531"/>
      <c r="S443" s="531"/>
      <c r="T443" s="531">
        <v>208</v>
      </c>
      <c r="U443" s="531"/>
      <c r="V443" s="531"/>
      <c r="W443" s="531"/>
      <c r="X443" s="531">
        <v>208</v>
      </c>
      <c r="Y443" s="531"/>
      <c r="Z443" s="301">
        <v>104</v>
      </c>
      <c r="AA443" s="531"/>
      <c r="AB443" s="531"/>
      <c r="AC443" s="532" t="e">
        <f>IF(NFI_Expiration=1,IF(#REF!&lt;VLOOKUP(L$5,NFI,5,0),1,0)*Table_NFI[[#This Row],[NFI Core Kit]],Table_NFI[NFI Core Kit])</f>
        <v>#REF!</v>
      </c>
      <c r="AD443" s="532" t="e">
        <f>IF(NFI_Expiration=1,IF(#REF!&lt;VLOOKUP(M$5,NFI,5,0),1,0)*Table_NFI[[#This Row],[Sanitary Kit]],Table_NFI[Sanitary Kit])</f>
        <v>#REF!</v>
      </c>
      <c r="AE443" s="532" t="e">
        <f>IF(NFI_Expiration=1,IF(#REF!&lt;VLOOKUP(N$5,NFI,5,0),1,0)*Table_NFI[[#This Row],[Mosquito net]],Table_NFI[Mosquito net])</f>
        <v>#REF!</v>
      </c>
      <c r="AF443" s="532" t="e">
        <f>IF(NFI_Expiration=1,IF(#REF!&lt;VLOOKUP(O$5,NFI,5,0),1,0)*Table_NFI[[#This Row],[Tarpaulin]],Table_NFI[[#This Row],[Tarpaulin]])</f>
        <v>#REF!</v>
      </c>
      <c r="AG443" s="532" t="e">
        <f>IF(NFI_Expiration=1,IF(#REF!&lt;VLOOKUP(P$5,NFI,5,0),1,0)*Table_NFI[[#This Row],[Blanket]],Table_NFI[[#This Row],[Blanket]])</f>
        <v>#REF!</v>
      </c>
      <c r="AH443" s="532" t="e">
        <f>IF(NFI_Expiration=1,IF(#REF!&lt;VLOOKUP(Q$5,NFI,5,0),1,0)*Table_NFI[[#This Row],[Kitchen Set]],Table_NFI[Kitchen Set])</f>
        <v>#REF!</v>
      </c>
      <c r="AI443" s="532" t="e">
        <f>IF(NFI_Expiration=1,IF(#REF!&lt;VLOOKUP(R$5,NFI,5,0),1,0)*Table_NFI[[#This Row],[Clothes Kit]],Table_NFI[Clothes Kit])</f>
        <v>#REF!</v>
      </c>
      <c r="AJ443" s="532" t="e">
        <f>IF(NFI_Expiration=1,IF(#REF!&lt;VLOOKUP(S$5,NFI,5,0),1,0)*Table_NFI[[#This Row],[Plastic Bucket]],Table_NFI[Plastic Bucket])</f>
        <v>#REF!</v>
      </c>
      <c r="AK443" s="532" t="e">
        <f>IF(NFI_Expiration=1,IF(#REF!&lt;VLOOKUP(T$5,NFI,5,0),1,0)*Table_NFI[[#This Row],[Plastic Mat]],Table_NFI[Plastic Mat])*IF(Table_NFI[[#This Row],[Distribution Date]]&gt;"2014-04-01",1,2.5)</f>
        <v>#REF!</v>
      </c>
      <c r="AL443" s="532" t="e">
        <f>IF(NFI_Expiration=1,IF(#REF!&lt;VLOOKUP(U$5,NFI,5,0),1,0)*Table_NFI[[#This Row],[Winter Clothes Adult]],Table_NFI[Winter Clothes Adult])</f>
        <v>#REF!</v>
      </c>
      <c r="AM443" s="532"/>
      <c r="AN443" s="532"/>
      <c r="AO443" s="532"/>
      <c r="AP443" s="532">
        <f>IF(Table_NFI[[#This Row],[Winter Clothes Adult]]+Table_NFI[[#This Row],[Winter Clothes Children]]+Table_NFI[[#This Row],[Winter Items Other]]+Table_NFI[[#This Row],[Winter Blanket]]&gt;0,1,0)</f>
        <v>1</v>
      </c>
      <c r="AQ443" s="532"/>
      <c r="AR443" s="532"/>
      <c r="AS443" s="532"/>
      <c r="AT443" s="532"/>
      <c r="AU443" s="532"/>
      <c r="AV443" s="532"/>
      <c r="AW443" s="532"/>
      <c r="AX443" s="203" t="str">
        <f>IFERROR(VLOOKUP(Table_NFI[[#This Row],[Location]],CL,2,0),"")</f>
        <v>MMR015CMP219</v>
      </c>
      <c r="AZ443" s="524"/>
      <c r="DS443" s="181"/>
      <c r="DT443" s="181"/>
    </row>
    <row r="444" spans="2:124" hidden="1" x14ac:dyDescent="0.3">
      <c r="B444" s="530">
        <v>43449</v>
      </c>
      <c r="C444" s="530" t="str">
        <f>MONTH(Table_NFI[[#This Row],[Distribution Date]]) &amp; "/" &amp; YEAR(Table_NFI[[#This Row],[Distribution Date]])</f>
        <v>12/2018</v>
      </c>
      <c r="D444" s="628" t="s">
        <v>1916</v>
      </c>
      <c r="E444" s="196"/>
      <c r="F444" s="196" t="s">
        <v>506</v>
      </c>
      <c r="G444" s="196" t="s">
        <v>146</v>
      </c>
      <c r="H444" s="195" t="s">
        <v>367</v>
      </c>
      <c r="I444" s="210">
        <v>53</v>
      </c>
      <c r="J444" s="531"/>
      <c r="K444" s="531"/>
      <c r="L444" s="531"/>
      <c r="M444" s="531"/>
      <c r="N444" s="531"/>
      <c r="O444" s="531"/>
      <c r="P444" s="531"/>
      <c r="Q444" s="531"/>
      <c r="R444" s="531"/>
      <c r="S444" s="531"/>
      <c r="T444" s="531">
        <v>106</v>
      </c>
      <c r="U444" s="531"/>
      <c r="V444" s="531"/>
      <c r="W444" s="531"/>
      <c r="X444" s="531">
        <v>106</v>
      </c>
      <c r="Y444" s="531"/>
      <c r="Z444" s="301">
        <v>53</v>
      </c>
      <c r="AA444" s="531"/>
      <c r="AB444" s="531"/>
      <c r="AC444" s="532" t="e">
        <f>IF(NFI_Expiration=1,IF(#REF!&lt;VLOOKUP(L$5,NFI,5,0),1,0)*Table_NFI[[#This Row],[NFI Core Kit]],Table_NFI[NFI Core Kit])</f>
        <v>#REF!</v>
      </c>
      <c r="AD444" s="532" t="e">
        <f>IF(NFI_Expiration=1,IF(#REF!&lt;VLOOKUP(M$5,NFI,5,0),1,0)*Table_NFI[[#This Row],[Sanitary Kit]],Table_NFI[Sanitary Kit])</f>
        <v>#REF!</v>
      </c>
      <c r="AE444" s="532" t="e">
        <f>IF(NFI_Expiration=1,IF(#REF!&lt;VLOOKUP(N$5,NFI,5,0),1,0)*Table_NFI[[#This Row],[Mosquito net]],Table_NFI[Mosquito net])</f>
        <v>#REF!</v>
      </c>
      <c r="AF444" s="532" t="e">
        <f>IF(NFI_Expiration=1,IF(#REF!&lt;VLOOKUP(O$5,NFI,5,0),1,0)*Table_NFI[[#This Row],[Tarpaulin]],Table_NFI[[#This Row],[Tarpaulin]])</f>
        <v>#REF!</v>
      </c>
      <c r="AG444" s="532" t="e">
        <f>IF(NFI_Expiration=1,IF(#REF!&lt;VLOOKUP(P$5,NFI,5,0),1,0)*Table_NFI[[#This Row],[Blanket]],Table_NFI[[#This Row],[Blanket]])</f>
        <v>#REF!</v>
      </c>
      <c r="AH444" s="532" t="e">
        <f>IF(NFI_Expiration=1,IF(#REF!&lt;VLOOKUP(Q$5,NFI,5,0),1,0)*Table_NFI[[#This Row],[Kitchen Set]],Table_NFI[Kitchen Set])</f>
        <v>#REF!</v>
      </c>
      <c r="AI444" s="532" t="e">
        <f>IF(NFI_Expiration=1,IF(#REF!&lt;VLOOKUP(R$5,NFI,5,0),1,0)*Table_NFI[[#This Row],[Clothes Kit]],Table_NFI[Clothes Kit])</f>
        <v>#REF!</v>
      </c>
      <c r="AJ444" s="532" t="e">
        <f>IF(NFI_Expiration=1,IF(#REF!&lt;VLOOKUP(S$5,NFI,5,0),1,0)*Table_NFI[[#This Row],[Plastic Bucket]],Table_NFI[Plastic Bucket])</f>
        <v>#REF!</v>
      </c>
      <c r="AK444" s="532" t="e">
        <f>IF(NFI_Expiration=1,IF(#REF!&lt;VLOOKUP(T$5,NFI,5,0),1,0)*Table_NFI[[#This Row],[Plastic Mat]],Table_NFI[Plastic Mat])*IF(Table_NFI[[#This Row],[Distribution Date]]&gt;"2014-04-01",1,2.5)</f>
        <v>#REF!</v>
      </c>
      <c r="AL444" s="532" t="e">
        <f>IF(NFI_Expiration=1,IF(#REF!&lt;VLOOKUP(U$5,NFI,5,0),1,0)*Table_NFI[[#This Row],[Winter Clothes Adult]],Table_NFI[Winter Clothes Adult])</f>
        <v>#REF!</v>
      </c>
      <c r="AM444" s="532"/>
      <c r="AN444" s="532"/>
      <c r="AO444" s="532"/>
      <c r="AP444" s="532">
        <f>IF(Table_NFI[[#This Row],[Winter Clothes Adult]]+Table_NFI[[#This Row],[Winter Clothes Children]]+Table_NFI[[#This Row],[Winter Items Other]]+Table_NFI[[#This Row],[Winter Blanket]]&gt;0,1,0)</f>
        <v>1</v>
      </c>
      <c r="AQ444" s="532"/>
      <c r="AR444" s="532"/>
      <c r="AS444" s="532"/>
      <c r="AT444" s="532"/>
      <c r="AU444" s="532"/>
      <c r="AV444" s="532"/>
      <c r="AW444" s="532"/>
      <c r="AX444" s="203" t="str">
        <f>IFERROR(VLOOKUP(Table_NFI[[#This Row],[Location]],CL,2,0),"")</f>
        <v>MMR015CMP016</v>
      </c>
      <c r="AZ444" s="524"/>
      <c r="DS444" s="181"/>
      <c r="DT444" s="181"/>
    </row>
    <row r="445" spans="2:124" hidden="1" x14ac:dyDescent="0.3">
      <c r="B445" s="530">
        <v>43449</v>
      </c>
      <c r="C445" s="530" t="str">
        <f>MONTH(Table_NFI[[#This Row],[Distribution Date]]) &amp; "/" &amp; YEAR(Table_NFI[[#This Row],[Distribution Date]])</f>
        <v>12/2018</v>
      </c>
      <c r="D445" s="628" t="s">
        <v>1916</v>
      </c>
      <c r="E445" s="196"/>
      <c r="F445" s="196" t="s">
        <v>506</v>
      </c>
      <c r="G445" s="196" t="s">
        <v>146</v>
      </c>
      <c r="H445" s="172" t="s">
        <v>1230</v>
      </c>
      <c r="I445" s="210">
        <v>35</v>
      </c>
      <c r="J445" s="531"/>
      <c r="K445" s="531"/>
      <c r="L445" s="531"/>
      <c r="M445" s="531"/>
      <c r="N445" s="531"/>
      <c r="O445" s="531"/>
      <c r="P445" s="531"/>
      <c r="Q445" s="531"/>
      <c r="R445" s="531"/>
      <c r="S445" s="531"/>
      <c r="T445" s="531">
        <v>70</v>
      </c>
      <c r="U445" s="531"/>
      <c r="V445" s="531"/>
      <c r="W445" s="531"/>
      <c r="X445" s="531">
        <v>70</v>
      </c>
      <c r="Y445" s="531"/>
      <c r="Z445" s="301">
        <v>35</v>
      </c>
      <c r="AA445" s="531"/>
      <c r="AB445" s="531"/>
      <c r="AC445" s="532" t="e">
        <f>IF(NFI_Expiration=1,IF(#REF!&lt;VLOOKUP(L$5,NFI,5,0),1,0)*Table_NFI[[#This Row],[NFI Core Kit]],Table_NFI[NFI Core Kit])</f>
        <v>#REF!</v>
      </c>
      <c r="AD445" s="532" t="e">
        <f>IF(NFI_Expiration=1,IF(#REF!&lt;VLOOKUP(M$5,NFI,5,0),1,0)*Table_NFI[[#This Row],[Sanitary Kit]],Table_NFI[Sanitary Kit])</f>
        <v>#REF!</v>
      </c>
      <c r="AE445" s="532" t="e">
        <f>IF(NFI_Expiration=1,IF(#REF!&lt;VLOOKUP(N$5,NFI,5,0),1,0)*Table_NFI[[#This Row],[Mosquito net]],Table_NFI[Mosquito net])</f>
        <v>#REF!</v>
      </c>
      <c r="AF445" s="532" t="e">
        <f>IF(NFI_Expiration=1,IF(#REF!&lt;VLOOKUP(O$5,NFI,5,0),1,0)*Table_NFI[[#This Row],[Tarpaulin]],Table_NFI[[#This Row],[Tarpaulin]])</f>
        <v>#REF!</v>
      </c>
      <c r="AG445" s="532" t="e">
        <f>IF(NFI_Expiration=1,IF(#REF!&lt;VLOOKUP(P$5,NFI,5,0),1,0)*Table_NFI[[#This Row],[Blanket]],Table_NFI[[#This Row],[Blanket]])</f>
        <v>#REF!</v>
      </c>
      <c r="AH445" s="532" t="e">
        <f>IF(NFI_Expiration=1,IF(#REF!&lt;VLOOKUP(Q$5,NFI,5,0),1,0)*Table_NFI[[#This Row],[Kitchen Set]],Table_NFI[Kitchen Set])</f>
        <v>#REF!</v>
      </c>
      <c r="AI445" s="532" t="e">
        <f>IF(NFI_Expiration=1,IF(#REF!&lt;VLOOKUP(R$5,NFI,5,0),1,0)*Table_NFI[[#This Row],[Clothes Kit]],Table_NFI[Clothes Kit])</f>
        <v>#REF!</v>
      </c>
      <c r="AJ445" s="532" t="e">
        <f>IF(NFI_Expiration=1,IF(#REF!&lt;VLOOKUP(S$5,NFI,5,0),1,0)*Table_NFI[[#This Row],[Plastic Bucket]],Table_NFI[Plastic Bucket])</f>
        <v>#REF!</v>
      </c>
      <c r="AK445" s="532" t="e">
        <f>IF(NFI_Expiration=1,IF(#REF!&lt;VLOOKUP(T$5,NFI,5,0),1,0)*Table_NFI[[#This Row],[Plastic Mat]],Table_NFI[Plastic Mat])*IF(Table_NFI[[#This Row],[Distribution Date]]&gt;"2014-04-01",1,2.5)</f>
        <v>#REF!</v>
      </c>
      <c r="AL445" s="532" t="e">
        <f>IF(NFI_Expiration=1,IF(#REF!&lt;VLOOKUP(U$5,NFI,5,0),1,0)*Table_NFI[[#This Row],[Winter Clothes Adult]],Table_NFI[Winter Clothes Adult])</f>
        <v>#REF!</v>
      </c>
      <c r="AM445" s="532"/>
      <c r="AN445" s="532"/>
      <c r="AO445" s="532"/>
      <c r="AP445" s="532">
        <f>IF(Table_NFI[[#This Row],[Winter Clothes Adult]]+Table_NFI[[#This Row],[Winter Clothes Children]]+Table_NFI[[#This Row],[Winter Items Other]]+Table_NFI[[#This Row],[Winter Blanket]]&gt;0,1,0)</f>
        <v>1</v>
      </c>
      <c r="AQ445" s="532"/>
      <c r="AR445" s="532"/>
      <c r="AS445" s="532"/>
      <c r="AT445" s="532"/>
      <c r="AU445" s="532"/>
      <c r="AV445" s="532"/>
      <c r="AW445" s="532"/>
      <c r="AX445" s="203" t="str">
        <f>IFERROR(VLOOKUP(Table_NFI[[#This Row],[Location]],CL,2,0),"")</f>
        <v>MMR015CMP245</v>
      </c>
      <c r="AZ445" s="524"/>
      <c r="DS445" s="181"/>
      <c r="DT445" s="181"/>
    </row>
    <row r="446" spans="2:124" hidden="1" x14ac:dyDescent="0.3">
      <c r="B446" s="530">
        <v>43449</v>
      </c>
      <c r="C446" s="530" t="str">
        <f>MONTH(Table_NFI[[#This Row],[Distribution Date]]) &amp; "/" &amp; YEAR(Table_NFI[[#This Row],[Distribution Date]])</f>
        <v>12/2018</v>
      </c>
      <c r="D446" s="628" t="s">
        <v>1916</v>
      </c>
      <c r="E446" s="196"/>
      <c r="F446" s="196" t="s">
        <v>506</v>
      </c>
      <c r="G446" s="196" t="s">
        <v>146</v>
      </c>
      <c r="H446" s="196" t="s">
        <v>368</v>
      </c>
      <c r="I446" s="210">
        <v>28</v>
      </c>
      <c r="J446" s="531"/>
      <c r="K446" s="531"/>
      <c r="L446" s="531"/>
      <c r="M446" s="531"/>
      <c r="N446" s="531"/>
      <c r="O446" s="531"/>
      <c r="P446" s="531"/>
      <c r="Q446" s="531"/>
      <c r="R446" s="531"/>
      <c r="S446" s="531"/>
      <c r="T446" s="531">
        <v>56</v>
      </c>
      <c r="U446" s="531"/>
      <c r="V446" s="531"/>
      <c r="W446" s="531"/>
      <c r="X446" s="531">
        <v>56</v>
      </c>
      <c r="Y446" s="531"/>
      <c r="Z446" s="301">
        <v>28</v>
      </c>
      <c r="AA446" s="531"/>
      <c r="AB446" s="531"/>
      <c r="AC446" s="532" t="e">
        <f>IF(NFI_Expiration=1,IF(#REF!&lt;VLOOKUP(L$5,NFI,5,0),1,0)*Table_NFI[[#This Row],[NFI Core Kit]],Table_NFI[NFI Core Kit])</f>
        <v>#REF!</v>
      </c>
      <c r="AD446" s="532" t="e">
        <f>IF(NFI_Expiration=1,IF(#REF!&lt;VLOOKUP(M$5,NFI,5,0),1,0)*Table_NFI[[#This Row],[Sanitary Kit]],Table_NFI[Sanitary Kit])</f>
        <v>#REF!</v>
      </c>
      <c r="AE446" s="532" t="e">
        <f>IF(NFI_Expiration=1,IF(#REF!&lt;VLOOKUP(N$5,NFI,5,0),1,0)*Table_NFI[[#This Row],[Mosquito net]],Table_NFI[Mosquito net])</f>
        <v>#REF!</v>
      </c>
      <c r="AF446" s="532" t="e">
        <f>IF(NFI_Expiration=1,IF(#REF!&lt;VLOOKUP(O$5,NFI,5,0),1,0)*Table_NFI[[#This Row],[Tarpaulin]],Table_NFI[[#This Row],[Tarpaulin]])</f>
        <v>#REF!</v>
      </c>
      <c r="AG446" s="532" t="e">
        <f>IF(NFI_Expiration=1,IF(#REF!&lt;VLOOKUP(P$5,NFI,5,0),1,0)*Table_NFI[[#This Row],[Blanket]],Table_NFI[[#This Row],[Blanket]])</f>
        <v>#REF!</v>
      </c>
      <c r="AH446" s="532" t="e">
        <f>IF(NFI_Expiration=1,IF(#REF!&lt;VLOOKUP(Q$5,NFI,5,0),1,0)*Table_NFI[[#This Row],[Kitchen Set]],Table_NFI[Kitchen Set])</f>
        <v>#REF!</v>
      </c>
      <c r="AI446" s="532" t="e">
        <f>IF(NFI_Expiration=1,IF(#REF!&lt;VLOOKUP(R$5,NFI,5,0),1,0)*Table_NFI[[#This Row],[Clothes Kit]],Table_NFI[Clothes Kit])</f>
        <v>#REF!</v>
      </c>
      <c r="AJ446" s="532" t="e">
        <f>IF(NFI_Expiration=1,IF(#REF!&lt;VLOOKUP(S$5,NFI,5,0),1,0)*Table_NFI[[#This Row],[Plastic Bucket]],Table_NFI[Plastic Bucket])</f>
        <v>#REF!</v>
      </c>
      <c r="AK446" s="532" t="e">
        <f>IF(NFI_Expiration=1,IF(#REF!&lt;VLOOKUP(T$5,NFI,5,0),1,0)*Table_NFI[[#This Row],[Plastic Mat]],Table_NFI[Plastic Mat])*IF(Table_NFI[[#This Row],[Distribution Date]]&gt;"2014-04-01",1,2.5)</f>
        <v>#REF!</v>
      </c>
      <c r="AL446" s="532" t="e">
        <f>IF(NFI_Expiration=1,IF(#REF!&lt;VLOOKUP(U$5,NFI,5,0),1,0)*Table_NFI[[#This Row],[Winter Clothes Adult]],Table_NFI[Winter Clothes Adult])</f>
        <v>#REF!</v>
      </c>
      <c r="AM446" s="532"/>
      <c r="AN446" s="532"/>
      <c r="AO446" s="532"/>
      <c r="AP446" s="532">
        <f>IF(Table_NFI[[#This Row],[Winter Clothes Adult]]+Table_NFI[[#This Row],[Winter Clothes Children]]+Table_NFI[[#This Row],[Winter Items Other]]+Table_NFI[[#This Row],[Winter Blanket]]&gt;0,1,0)</f>
        <v>1</v>
      </c>
      <c r="AQ446" s="532"/>
      <c r="AR446" s="532"/>
      <c r="AS446" s="532"/>
      <c r="AT446" s="532"/>
      <c r="AU446" s="532"/>
      <c r="AV446" s="532"/>
      <c r="AW446" s="532"/>
      <c r="AX446" s="203" t="str">
        <f>IFERROR(VLOOKUP(Table_NFI[[#This Row],[Location]],CL,2,0),"")</f>
        <v>MMR015CMP017</v>
      </c>
      <c r="AZ446" s="524"/>
      <c r="DS446" s="181"/>
      <c r="DT446" s="181"/>
    </row>
    <row r="447" spans="2:124" hidden="1" x14ac:dyDescent="0.3">
      <c r="B447" s="530">
        <v>43449</v>
      </c>
      <c r="C447" s="530" t="str">
        <f>MONTH(Table_NFI[[#This Row],[Distribution Date]]) &amp; "/" &amp; YEAR(Table_NFI[[#This Row],[Distribution Date]])</f>
        <v>12/2018</v>
      </c>
      <c r="D447" s="628" t="s">
        <v>1916</v>
      </c>
      <c r="E447" s="196"/>
      <c r="F447" s="196" t="s">
        <v>506</v>
      </c>
      <c r="G447" s="196" t="s">
        <v>719</v>
      </c>
      <c r="H447" s="195" t="s">
        <v>1058</v>
      </c>
      <c r="I447" s="210">
        <v>32</v>
      </c>
      <c r="J447" s="531"/>
      <c r="K447" s="531"/>
      <c r="L447" s="531"/>
      <c r="M447" s="531"/>
      <c r="N447" s="531"/>
      <c r="O447" s="531"/>
      <c r="P447" s="531"/>
      <c r="Q447" s="531"/>
      <c r="R447" s="531"/>
      <c r="S447" s="531"/>
      <c r="T447" s="531">
        <v>64</v>
      </c>
      <c r="U447" s="531"/>
      <c r="V447" s="531"/>
      <c r="W447" s="531"/>
      <c r="X447" s="531">
        <v>64</v>
      </c>
      <c r="Y447" s="531"/>
      <c r="Z447" s="301">
        <v>32</v>
      </c>
      <c r="AA447" s="531"/>
      <c r="AB447" s="531"/>
      <c r="AC447" s="532" t="e">
        <f>IF(NFI_Expiration=1,IF(#REF!&lt;VLOOKUP(L$5,NFI,5,0),1,0)*Table_NFI[[#This Row],[NFI Core Kit]],Table_NFI[NFI Core Kit])</f>
        <v>#REF!</v>
      </c>
      <c r="AD447" s="532" t="e">
        <f>IF(NFI_Expiration=1,IF(#REF!&lt;VLOOKUP(M$5,NFI,5,0),1,0)*Table_NFI[[#This Row],[Sanitary Kit]],Table_NFI[Sanitary Kit])</f>
        <v>#REF!</v>
      </c>
      <c r="AE447" s="532" t="e">
        <f>IF(NFI_Expiration=1,IF(#REF!&lt;VLOOKUP(N$5,NFI,5,0),1,0)*Table_NFI[[#This Row],[Mosquito net]],Table_NFI[Mosquito net])</f>
        <v>#REF!</v>
      </c>
      <c r="AF447" s="532" t="e">
        <f>IF(NFI_Expiration=1,IF(#REF!&lt;VLOOKUP(O$5,NFI,5,0),1,0)*Table_NFI[[#This Row],[Tarpaulin]],Table_NFI[[#This Row],[Tarpaulin]])</f>
        <v>#REF!</v>
      </c>
      <c r="AG447" s="532" t="e">
        <f>IF(NFI_Expiration=1,IF(#REF!&lt;VLOOKUP(P$5,NFI,5,0),1,0)*Table_NFI[[#This Row],[Blanket]],Table_NFI[[#This Row],[Blanket]])</f>
        <v>#REF!</v>
      </c>
      <c r="AH447" s="532" t="e">
        <f>IF(NFI_Expiration=1,IF(#REF!&lt;VLOOKUP(Q$5,NFI,5,0),1,0)*Table_NFI[[#This Row],[Kitchen Set]],Table_NFI[Kitchen Set])</f>
        <v>#REF!</v>
      </c>
      <c r="AI447" s="532" t="e">
        <f>IF(NFI_Expiration=1,IF(#REF!&lt;VLOOKUP(R$5,NFI,5,0),1,0)*Table_NFI[[#This Row],[Clothes Kit]],Table_NFI[Clothes Kit])</f>
        <v>#REF!</v>
      </c>
      <c r="AJ447" s="532" t="e">
        <f>IF(NFI_Expiration=1,IF(#REF!&lt;VLOOKUP(S$5,NFI,5,0),1,0)*Table_NFI[[#This Row],[Plastic Bucket]],Table_NFI[Plastic Bucket])</f>
        <v>#REF!</v>
      </c>
      <c r="AK447" s="532" t="e">
        <f>IF(NFI_Expiration=1,IF(#REF!&lt;VLOOKUP(T$5,NFI,5,0),1,0)*Table_NFI[[#This Row],[Plastic Mat]],Table_NFI[Plastic Mat])*IF(Table_NFI[[#This Row],[Distribution Date]]&gt;"2014-04-01",1,2.5)</f>
        <v>#REF!</v>
      </c>
      <c r="AL447" s="532" t="e">
        <f>IF(NFI_Expiration=1,IF(#REF!&lt;VLOOKUP(U$5,NFI,5,0),1,0)*Table_NFI[[#This Row],[Winter Clothes Adult]],Table_NFI[Winter Clothes Adult])</f>
        <v>#REF!</v>
      </c>
      <c r="AM447" s="532"/>
      <c r="AN447" s="532"/>
      <c r="AO447" s="532"/>
      <c r="AP447" s="532">
        <f>IF(Table_NFI[[#This Row],[Winter Clothes Adult]]+Table_NFI[[#This Row],[Winter Clothes Children]]+Table_NFI[[#This Row],[Winter Items Other]]+Table_NFI[[#This Row],[Winter Blanket]]&gt;0,1,0)</f>
        <v>1</v>
      </c>
      <c r="AQ447" s="532"/>
      <c r="AR447" s="532"/>
      <c r="AS447" s="532"/>
      <c r="AT447" s="532"/>
      <c r="AU447" s="532"/>
      <c r="AV447" s="532"/>
      <c r="AW447" s="532"/>
      <c r="AX447" s="203" t="str">
        <f>IFERROR(VLOOKUP(Table_NFI[[#This Row],[Location]],CL,2,0),"")</f>
        <v>MMR015CMP218</v>
      </c>
      <c r="AZ447" s="524"/>
      <c r="DS447" s="181"/>
      <c r="DT447" s="181"/>
    </row>
    <row r="448" spans="2:124" hidden="1" x14ac:dyDescent="0.3">
      <c r="B448" s="530">
        <v>43449</v>
      </c>
      <c r="C448" s="530" t="str">
        <f>MONTH(Table_NFI[[#This Row],[Distribution Date]]) &amp; "/" &amp; YEAR(Table_NFI[[#This Row],[Distribution Date]])</f>
        <v>12/2018</v>
      </c>
      <c r="D448" s="628" t="s">
        <v>1916</v>
      </c>
      <c r="E448" s="196"/>
      <c r="F448" s="196" t="s">
        <v>506</v>
      </c>
      <c r="G448" s="196" t="s">
        <v>146</v>
      </c>
      <c r="H448" s="196" t="s">
        <v>1590</v>
      </c>
      <c r="I448" s="701"/>
      <c r="J448" s="531"/>
      <c r="K448" s="531"/>
      <c r="L448" s="531"/>
      <c r="M448" s="531"/>
      <c r="N448" s="531"/>
      <c r="O448" s="531"/>
      <c r="P448" s="531"/>
      <c r="Q448" s="531"/>
      <c r="R448" s="531"/>
      <c r="S448" s="531"/>
      <c r="T448" s="531">
        <v>170</v>
      </c>
      <c r="U448" s="531"/>
      <c r="V448" s="531"/>
      <c r="W448" s="531"/>
      <c r="X448" s="531">
        <v>170</v>
      </c>
      <c r="Y448" s="531"/>
      <c r="Z448" s="301">
        <v>85</v>
      </c>
      <c r="AA448" s="531"/>
      <c r="AB448" s="531"/>
      <c r="AC448" s="532" t="e">
        <f>IF(NFI_Expiration=1,IF(#REF!&lt;VLOOKUP(L$5,NFI,5,0),1,0)*Table_NFI[[#This Row],[NFI Core Kit]],Table_NFI[NFI Core Kit])</f>
        <v>#REF!</v>
      </c>
      <c r="AD448" s="532" t="e">
        <f>IF(NFI_Expiration=1,IF(#REF!&lt;VLOOKUP(M$5,NFI,5,0),1,0)*Table_NFI[[#This Row],[Sanitary Kit]],Table_NFI[Sanitary Kit])</f>
        <v>#REF!</v>
      </c>
      <c r="AE448" s="532" t="e">
        <f>IF(NFI_Expiration=1,IF(#REF!&lt;VLOOKUP(N$5,NFI,5,0),1,0)*Table_NFI[[#This Row],[Mosquito net]],Table_NFI[Mosquito net])</f>
        <v>#REF!</v>
      </c>
      <c r="AF448" s="532" t="e">
        <f>IF(NFI_Expiration=1,IF(#REF!&lt;VLOOKUP(O$5,NFI,5,0),1,0)*Table_NFI[[#This Row],[Tarpaulin]],Table_NFI[[#This Row],[Tarpaulin]])</f>
        <v>#REF!</v>
      </c>
      <c r="AG448" s="532" t="e">
        <f>IF(NFI_Expiration=1,IF(#REF!&lt;VLOOKUP(P$5,NFI,5,0),1,0)*Table_NFI[[#This Row],[Blanket]],Table_NFI[[#This Row],[Blanket]])</f>
        <v>#REF!</v>
      </c>
      <c r="AH448" s="532" t="e">
        <f>IF(NFI_Expiration=1,IF(#REF!&lt;VLOOKUP(Q$5,NFI,5,0),1,0)*Table_NFI[[#This Row],[Kitchen Set]],Table_NFI[Kitchen Set])</f>
        <v>#REF!</v>
      </c>
      <c r="AI448" s="532" t="e">
        <f>IF(NFI_Expiration=1,IF(#REF!&lt;VLOOKUP(R$5,NFI,5,0),1,0)*Table_NFI[[#This Row],[Clothes Kit]],Table_NFI[Clothes Kit])</f>
        <v>#REF!</v>
      </c>
      <c r="AJ448" s="532" t="e">
        <f>IF(NFI_Expiration=1,IF(#REF!&lt;VLOOKUP(S$5,NFI,5,0),1,0)*Table_NFI[[#This Row],[Plastic Bucket]],Table_NFI[Plastic Bucket])</f>
        <v>#REF!</v>
      </c>
      <c r="AK448" s="532" t="e">
        <f>IF(NFI_Expiration=1,IF(#REF!&lt;VLOOKUP(T$5,NFI,5,0),1,0)*Table_NFI[[#This Row],[Plastic Mat]],Table_NFI[Plastic Mat])*IF(Table_NFI[[#This Row],[Distribution Date]]&gt;"2014-04-01",1,2.5)</f>
        <v>#REF!</v>
      </c>
      <c r="AL448" s="532" t="e">
        <f>IF(NFI_Expiration=1,IF(#REF!&lt;VLOOKUP(U$5,NFI,5,0),1,0)*Table_NFI[[#This Row],[Winter Clothes Adult]],Table_NFI[Winter Clothes Adult])</f>
        <v>#REF!</v>
      </c>
      <c r="AM448" s="532"/>
      <c r="AN448" s="532"/>
      <c r="AO448" s="532"/>
      <c r="AP448" s="532">
        <f>IF(Table_NFI[[#This Row],[Winter Clothes Adult]]+Table_NFI[[#This Row],[Winter Clothes Children]]+Table_NFI[[#This Row],[Winter Items Other]]+Table_NFI[[#This Row],[Winter Blanket]]&gt;0,1,0)</f>
        <v>1</v>
      </c>
      <c r="AQ448" s="532"/>
      <c r="AR448" s="532"/>
      <c r="AS448" s="532"/>
      <c r="AT448" s="532"/>
      <c r="AU448" s="532"/>
      <c r="AV448" s="532"/>
      <c r="AW448" s="532"/>
      <c r="AX448" s="203" t="str">
        <f>IFERROR(VLOOKUP(Table_NFI[[#This Row],[Location]],CL,2,0),"")</f>
        <v>MMR015CMP220</v>
      </c>
      <c r="AZ448" s="524"/>
      <c r="DS448" s="181"/>
      <c r="DT448" s="181"/>
    </row>
    <row r="449" spans="2:124" hidden="1" x14ac:dyDescent="0.3">
      <c r="B449" s="530">
        <v>43449</v>
      </c>
      <c r="C449" s="530" t="str">
        <f>MONTH(Table_NFI[[#This Row],[Distribution Date]]) &amp; "/" &amp; YEAR(Table_NFI[[#This Row],[Distribution Date]])</f>
        <v>12/2018</v>
      </c>
      <c r="D449" s="628" t="s">
        <v>1916</v>
      </c>
      <c r="E449" s="196"/>
      <c r="F449" s="196" t="s">
        <v>506</v>
      </c>
      <c r="G449" s="196" t="s">
        <v>146</v>
      </c>
      <c r="H449" s="195" t="s">
        <v>1589</v>
      </c>
      <c r="I449" s="701"/>
      <c r="J449" s="531"/>
      <c r="K449" s="531"/>
      <c r="L449" s="531"/>
      <c r="M449" s="531"/>
      <c r="N449" s="531"/>
      <c r="O449" s="531"/>
      <c r="P449" s="531"/>
      <c r="Q449" s="531"/>
      <c r="R449" s="531"/>
      <c r="S449" s="531"/>
      <c r="T449" s="531">
        <v>152</v>
      </c>
      <c r="U449" s="531"/>
      <c r="V449" s="531"/>
      <c r="W449" s="531"/>
      <c r="X449" s="531">
        <v>152</v>
      </c>
      <c r="Y449" s="531"/>
      <c r="Z449" s="301">
        <v>76</v>
      </c>
      <c r="AA449" s="531"/>
      <c r="AB449" s="531"/>
      <c r="AC449" s="532" t="e">
        <f>IF(NFI_Expiration=1,IF(#REF!&lt;VLOOKUP(L$5,NFI,5,0),1,0)*Table_NFI[[#This Row],[NFI Core Kit]],Table_NFI[NFI Core Kit])</f>
        <v>#REF!</v>
      </c>
      <c r="AD449" s="532" t="e">
        <f>IF(NFI_Expiration=1,IF(#REF!&lt;VLOOKUP(M$5,NFI,5,0),1,0)*Table_NFI[[#This Row],[Sanitary Kit]],Table_NFI[Sanitary Kit])</f>
        <v>#REF!</v>
      </c>
      <c r="AE449" s="532" t="e">
        <f>IF(NFI_Expiration=1,IF(#REF!&lt;VLOOKUP(N$5,NFI,5,0),1,0)*Table_NFI[[#This Row],[Mosquito net]],Table_NFI[Mosquito net])</f>
        <v>#REF!</v>
      </c>
      <c r="AF449" s="532" t="e">
        <f>IF(NFI_Expiration=1,IF(#REF!&lt;VLOOKUP(O$5,NFI,5,0),1,0)*Table_NFI[[#This Row],[Tarpaulin]],Table_NFI[[#This Row],[Tarpaulin]])</f>
        <v>#REF!</v>
      </c>
      <c r="AG449" s="532" t="e">
        <f>IF(NFI_Expiration=1,IF(#REF!&lt;VLOOKUP(P$5,NFI,5,0),1,0)*Table_NFI[[#This Row],[Blanket]],Table_NFI[[#This Row],[Blanket]])</f>
        <v>#REF!</v>
      </c>
      <c r="AH449" s="532" t="e">
        <f>IF(NFI_Expiration=1,IF(#REF!&lt;VLOOKUP(Q$5,NFI,5,0),1,0)*Table_NFI[[#This Row],[Kitchen Set]],Table_NFI[Kitchen Set])</f>
        <v>#REF!</v>
      </c>
      <c r="AI449" s="532" t="e">
        <f>IF(NFI_Expiration=1,IF(#REF!&lt;VLOOKUP(R$5,NFI,5,0),1,0)*Table_NFI[[#This Row],[Clothes Kit]],Table_NFI[Clothes Kit])</f>
        <v>#REF!</v>
      </c>
      <c r="AJ449" s="532" t="e">
        <f>IF(NFI_Expiration=1,IF(#REF!&lt;VLOOKUP(S$5,NFI,5,0),1,0)*Table_NFI[[#This Row],[Plastic Bucket]],Table_NFI[Plastic Bucket])</f>
        <v>#REF!</v>
      </c>
      <c r="AK449" s="532" t="e">
        <f>IF(NFI_Expiration=1,IF(#REF!&lt;VLOOKUP(T$5,NFI,5,0),1,0)*Table_NFI[[#This Row],[Plastic Mat]],Table_NFI[Plastic Mat])*IF(Table_NFI[[#This Row],[Distribution Date]]&gt;"2014-04-01",1,2.5)</f>
        <v>#REF!</v>
      </c>
      <c r="AL449" s="532" t="e">
        <f>IF(NFI_Expiration=1,IF(#REF!&lt;VLOOKUP(U$5,NFI,5,0),1,0)*Table_NFI[[#This Row],[Winter Clothes Adult]],Table_NFI[Winter Clothes Adult])</f>
        <v>#REF!</v>
      </c>
      <c r="AM449" s="532"/>
      <c r="AN449" s="532"/>
      <c r="AO449" s="532"/>
      <c r="AP449" s="532">
        <f>IF(Table_NFI[[#This Row],[Winter Clothes Adult]]+Table_NFI[[#This Row],[Winter Clothes Children]]+Table_NFI[[#This Row],[Winter Items Other]]+Table_NFI[[#This Row],[Winter Blanket]]&gt;0,1,0)</f>
        <v>1</v>
      </c>
      <c r="AQ449" s="532"/>
      <c r="AR449" s="532"/>
      <c r="AS449" s="532"/>
      <c r="AT449" s="532"/>
      <c r="AU449" s="532"/>
      <c r="AV449" s="532"/>
      <c r="AW449" s="532"/>
      <c r="AX449" s="203" t="str">
        <f>IFERROR(VLOOKUP(Table_NFI[[#This Row],[Location]],CL,2,0),"")</f>
        <v>MMR015CMP018</v>
      </c>
      <c r="AZ449" s="524"/>
      <c r="DS449" s="181"/>
      <c r="DT449" s="181"/>
    </row>
    <row r="450" spans="2:124" hidden="1" x14ac:dyDescent="0.3">
      <c r="B450" s="530">
        <v>43449</v>
      </c>
      <c r="C450" s="530" t="str">
        <f>MONTH(Table_NFI[[#This Row],[Distribution Date]]) &amp; "/" &amp; YEAR(Table_NFI[[#This Row],[Distribution Date]])</f>
        <v>12/2018</v>
      </c>
      <c r="D450" s="628" t="s">
        <v>1916</v>
      </c>
      <c r="E450" s="196"/>
      <c r="F450" s="196" t="s">
        <v>506</v>
      </c>
      <c r="G450" s="196" t="s">
        <v>146</v>
      </c>
      <c r="H450" s="195" t="s">
        <v>1759</v>
      </c>
      <c r="I450" s="701"/>
      <c r="J450" s="531"/>
      <c r="K450" s="531"/>
      <c r="L450" s="531"/>
      <c r="M450" s="531"/>
      <c r="N450" s="531"/>
      <c r="O450" s="531"/>
      <c r="P450" s="531"/>
      <c r="Q450" s="531"/>
      <c r="R450" s="531"/>
      <c r="S450" s="531"/>
      <c r="T450" s="531">
        <v>64</v>
      </c>
      <c r="U450" s="531"/>
      <c r="V450" s="531"/>
      <c r="W450" s="531"/>
      <c r="X450" s="531">
        <v>64</v>
      </c>
      <c r="Y450" s="531"/>
      <c r="Z450" s="301">
        <v>32</v>
      </c>
      <c r="AA450" s="531"/>
      <c r="AB450" s="531"/>
      <c r="AC450" s="532" t="e">
        <f>IF(NFI_Expiration=1,IF(#REF!&lt;VLOOKUP(L$5,NFI,5,0),1,0)*Table_NFI[[#This Row],[NFI Core Kit]],Table_NFI[NFI Core Kit])</f>
        <v>#REF!</v>
      </c>
      <c r="AD450" s="532" t="e">
        <f>IF(NFI_Expiration=1,IF(#REF!&lt;VLOOKUP(M$5,NFI,5,0),1,0)*Table_NFI[[#This Row],[Sanitary Kit]],Table_NFI[Sanitary Kit])</f>
        <v>#REF!</v>
      </c>
      <c r="AE450" s="532" t="e">
        <f>IF(NFI_Expiration=1,IF(#REF!&lt;VLOOKUP(N$5,NFI,5,0),1,0)*Table_NFI[[#This Row],[Mosquito net]],Table_NFI[Mosquito net])</f>
        <v>#REF!</v>
      </c>
      <c r="AF450" s="532" t="e">
        <f>IF(NFI_Expiration=1,IF(#REF!&lt;VLOOKUP(O$5,NFI,5,0),1,0)*Table_NFI[[#This Row],[Tarpaulin]],Table_NFI[[#This Row],[Tarpaulin]])</f>
        <v>#REF!</v>
      </c>
      <c r="AG450" s="532" t="e">
        <f>IF(NFI_Expiration=1,IF(#REF!&lt;VLOOKUP(P$5,NFI,5,0),1,0)*Table_NFI[[#This Row],[Blanket]],Table_NFI[[#This Row],[Blanket]])</f>
        <v>#REF!</v>
      </c>
      <c r="AH450" s="532" t="e">
        <f>IF(NFI_Expiration=1,IF(#REF!&lt;VLOOKUP(Q$5,NFI,5,0),1,0)*Table_NFI[[#This Row],[Kitchen Set]],Table_NFI[Kitchen Set])</f>
        <v>#REF!</v>
      </c>
      <c r="AI450" s="532" t="e">
        <f>IF(NFI_Expiration=1,IF(#REF!&lt;VLOOKUP(R$5,NFI,5,0),1,0)*Table_NFI[[#This Row],[Clothes Kit]],Table_NFI[Clothes Kit])</f>
        <v>#REF!</v>
      </c>
      <c r="AJ450" s="532" t="e">
        <f>IF(NFI_Expiration=1,IF(#REF!&lt;VLOOKUP(S$5,NFI,5,0),1,0)*Table_NFI[[#This Row],[Plastic Bucket]],Table_NFI[Plastic Bucket])</f>
        <v>#REF!</v>
      </c>
      <c r="AK450" s="532" t="e">
        <f>IF(NFI_Expiration=1,IF(#REF!&lt;VLOOKUP(T$5,NFI,5,0),1,0)*Table_NFI[[#This Row],[Plastic Mat]],Table_NFI[Plastic Mat])*IF(Table_NFI[[#This Row],[Distribution Date]]&gt;"2014-04-01",1,2.5)</f>
        <v>#REF!</v>
      </c>
      <c r="AL450" s="532" t="e">
        <f>IF(NFI_Expiration=1,IF(#REF!&lt;VLOOKUP(U$5,NFI,5,0),1,0)*Table_NFI[[#This Row],[Winter Clothes Adult]],Table_NFI[Winter Clothes Adult])</f>
        <v>#REF!</v>
      </c>
      <c r="AM450" s="532"/>
      <c r="AN450" s="532"/>
      <c r="AO450" s="532"/>
      <c r="AP450" s="532">
        <f>IF(Table_NFI[[#This Row],[Winter Clothes Adult]]+Table_NFI[[#This Row],[Winter Clothes Children]]+Table_NFI[[#This Row],[Winter Items Other]]+Table_NFI[[#This Row],[Winter Blanket]]&gt;0,1,0)</f>
        <v>1</v>
      </c>
      <c r="AQ450" s="532"/>
      <c r="AR450" s="532"/>
      <c r="AS450" s="532"/>
      <c r="AT450" s="532"/>
      <c r="AU450" s="532"/>
      <c r="AV450" s="532"/>
      <c r="AW450" s="532"/>
      <c r="AX450" s="203" t="str">
        <f>IFERROR(VLOOKUP(Table_NFI[[#This Row],[Location]],CL,2,0),"")</f>
        <v/>
      </c>
      <c r="AZ450" s="524"/>
      <c r="DS450" s="181"/>
      <c r="DT450" s="181"/>
    </row>
    <row r="451" spans="2:124" hidden="1" x14ac:dyDescent="0.3">
      <c r="B451" s="530">
        <v>43449</v>
      </c>
      <c r="C451" s="530" t="str">
        <f>MONTH(Table_NFI[[#This Row],[Distribution Date]]) &amp; "/" &amp; YEAR(Table_NFI[[#This Row],[Distribution Date]])</f>
        <v>12/2018</v>
      </c>
      <c r="D451" s="628" t="s">
        <v>1916</v>
      </c>
      <c r="E451" s="196"/>
      <c r="F451" s="196" t="s">
        <v>506</v>
      </c>
      <c r="G451" s="196" t="s">
        <v>146</v>
      </c>
      <c r="H451" s="195" t="s">
        <v>1760</v>
      </c>
      <c r="I451" s="701"/>
      <c r="J451" s="531"/>
      <c r="K451" s="531"/>
      <c r="L451" s="531"/>
      <c r="M451" s="531"/>
      <c r="N451" s="531"/>
      <c r="O451" s="531"/>
      <c r="P451" s="531"/>
      <c r="Q451" s="531"/>
      <c r="R451" s="531"/>
      <c r="S451" s="531"/>
      <c r="T451" s="531">
        <v>262</v>
      </c>
      <c r="U451" s="531"/>
      <c r="V451" s="531"/>
      <c r="W451" s="531"/>
      <c r="X451" s="531">
        <v>262</v>
      </c>
      <c r="Y451" s="531"/>
      <c r="Z451" s="301">
        <v>131</v>
      </c>
      <c r="AA451" s="531"/>
      <c r="AB451" s="531"/>
      <c r="AC451" s="532" t="e">
        <f>IF(NFI_Expiration=1,IF(#REF!&lt;VLOOKUP(L$5,NFI,5,0),1,0)*Table_NFI[[#This Row],[NFI Core Kit]],Table_NFI[NFI Core Kit])</f>
        <v>#REF!</v>
      </c>
      <c r="AD451" s="532" t="e">
        <f>IF(NFI_Expiration=1,IF(#REF!&lt;VLOOKUP(M$5,NFI,5,0),1,0)*Table_NFI[[#This Row],[Sanitary Kit]],Table_NFI[Sanitary Kit])</f>
        <v>#REF!</v>
      </c>
      <c r="AE451" s="532" t="e">
        <f>IF(NFI_Expiration=1,IF(#REF!&lt;VLOOKUP(N$5,NFI,5,0),1,0)*Table_NFI[[#This Row],[Mosquito net]],Table_NFI[Mosquito net])</f>
        <v>#REF!</v>
      </c>
      <c r="AF451" s="532" t="e">
        <f>IF(NFI_Expiration=1,IF(#REF!&lt;VLOOKUP(O$5,NFI,5,0),1,0)*Table_NFI[[#This Row],[Tarpaulin]],Table_NFI[[#This Row],[Tarpaulin]])</f>
        <v>#REF!</v>
      </c>
      <c r="AG451" s="532" t="e">
        <f>IF(NFI_Expiration=1,IF(#REF!&lt;VLOOKUP(P$5,NFI,5,0),1,0)*Table_NFI[[#This Row],[Blanket]],Table_NFI[[#This Row],[Blanket]])</f>
        <v>#REF!</v>
      </c>
      <c r="AH451" s="532" t="e">
        <f>IF(NFI_Expiration=1,IF(#REF!&lt;VLOOKUP(Q$5,NFI,5,0),1,0)*Table_NFI[[#This Row],[Kitchen Set]],Table_NFI[Kitchen Set])</f>
        <v>#REF!</v>
      </c>
      <c r="AI451" s="532" t="e">
        <f>IF(NFI_Expiration=1,IF(#REF!&lt;VLOOKUP(R$5,NFI,5,0),1,0)*Table_NFI[[#This Row],[Clothes Kit]],Table_NFI[Clothes Kit])</f>
        <v>#REF!</v>
      </c>
      <c r="AJ451" s="532" t="e">
        <f>IF(NFI_Expiration=1,IF(#REF!&lt;VLOOKUP(S$5,NFI,5,0),1,0)*Table_NFI[[#This Row],[Plastic Bucket]],Table_NFI[Plastic Bucket])</f>
        <v>#REF!</v>
      </c>
      <c r="AK451" s="532" t="e">
        <f>IF(NFI_Expiration=1,IF(#REF!&lt;VLOOKUP(T$5,NFI,5,0),1,0)*Table_NFI[[#This Row],[Plastic Mat]],Table_NFI[Plastic Mat])*IF(Table_NFI[[#This Row],[Distribution Date]]&gt;"2014-04-01",1,2.5)</f>
        <v>#REF!</v>
      </c>
      <c r="AL451" s="532" t="e">
        <f>IF(NFI_Expiration=1,IF(#REF!&lt;VLOOKUP(U$5,NFI,5,0),1,0)*Table_NFI[[#This Row],[Winter Clothes Adult]],Table_NFI[Winter Clothes Adult])</f>
        <v>#REF!</v>
      </c>
      <c r="AM451" s="532"/>
      <c r="AN451" s="532"/>
      <c r="AO451" s="532"/>
      <c r="AP451" s="532">
        <f>IF(Table_NFI[[#This Row],[Winter Clothes Adult]]+Table_NFI[[#This Row],[Winter Clothes Children]]+Table_NFI[[#This Row],[Winter Items Other]]+Table_NFI[[#This Row],[Winter Blanket]]&gt;0,1,0)</f>
        <v>1</v>
      </c>
      <c r="AQ451" s="532"/>
      <c r="AR451" s="532"/>
      <c r="AS451" s="532"/>
      <c r="AT451" s="532"/>
      <c r="AU451" s="532"/>
      <c r="AV451" s="532"/>
      <c r="AW451" s="532"/>
      <c r="AX451" s="203" t="str">
        <f>IFERROR(VLOOKUP(Table_NFI[[#This Row],[Location]],CL,2,0),"")</f>
        <v/>
      </c>
      <c r="AZ451" s="524"/>
      <c r="DS451" s="181"/>
      <c r="DT451" s="181"/>
    </row>
    <row r="452" spans="2:124" hidden="1" x14ac:dyDescent="0.3">
      <c r="B452" s="530">
        <v>43449</v>
      </c>
      <c r="C452" s="530" t="str">
        <f>MONTH(Table_NFI[[#This Row],[Distribution Date]]) &amp; "/" &amp; YEAR(Table_NFI[[#This Row],[Distribution Date]])</f>
        <v>12/2018</v>
      </c>
      <c r="D452" s="628" t="s">
        <v>1916</v>
      </c>
      <c r="E452" s="196"/>
      <c r="F452" s="196" t="s">
        <v>506</v>
      </c>
      <c r="G452" s="196" t="s">
        <v>146</v>
      </c>
      <c r="H452" s="195" t="s">
        <v>1761</v>
      </c>
      <c r="I452" s="701"/>
      <c r="J452" s="531"/>
      <c r="K452" s="531"/>
      <c r="L452" s="531"/>
      <c r="M452" s="531"/>
      <c r="N452" s="531"/>
      <c r="O452" s="531"/>
      <c r="P452" s="531"/>
      <c r="Q452" s="531"/>
      <c r="R452" s="531"/>
      <c r="S452" s="531"/>
      <c r="T452" s="531">
        <v>200</v>
      </c>
      <c r="U452" s="531"/>
      <c r="V452" s="531"/>
      <c r="W452" s="531"/>
      <c r="X452" s="531">
        <v>200</v>
      </c>
      <c r="Y452" s="531"/>
      <c r="Z452" s="301">
        <v>100</v>
      </c>
      <c r="AA452" s="531"/>
      <c r="AB452" s="531"/>
      <c r="AC452" s="532" t="e">
        <f>IF(NFI_Expiration=1,IF(#REF!&lt;VLOOKUP(L$5,NFI,5,0),1,0)*Table_NFI[[#This Row],[NFI Core Kit]],Table_NFI[NFI Core Kit])</f>
        <v>#REF!</v>
      </c>
      <c r="AD452" s="532" t="e">
        <f>IF(NFI_Expiration=1,IF(#REF!&lt;VLOOKUP(M$5,NFI,5,0),1,0)*Table_NFI[[#This Row],[Sanitary Kit]],Table_NFI[Sanitary Kit])</f>
        <v>#REF!</v>
      </c>
      <c r="AE452" s="532" t="e">
        <f>IF(NFI_Expiration=1,IF(#REF!&lt;VLOOKUP(N$5,NFI,5,0),1,0)*Table_NFI[[#This Row],[Mosquito net]],Table_NFI[Mosquito net])</f>
        <v>#REF!</v>
      </c>
      <c r="AF452" s="532" t="e">
        <f>IF(NFI_Expiration=1,IF(#REF!&lt;VLOOKUP(O$5,NFI,5,0),1,0)*Table_NFI[[#This Row],[Tarpaulin]],Table_NFI[[#This Row],[Tarpaulin]])</f>
        <v>#REF!</v>
      </c>
      <c r="AG452" s="532" t="e">
        <f>IF(NFI_Expiration=1,IF(#REF!&lt;VLOOKUP(P$5,NFI,5,0),1,0)*Table_NFI[[#This Row],[Blanket]],Table_NFI[[#This Row],[Blanket]])</f>
        <v>#REF!</v>
      </c>
      <c r="AH452" s="532" t="e">
        <f>IF(NFI_Expiration=1,IF(#REF!&lt;VLOOKUP(Q$5,NFI,5,0),1,0)*Table_NFI[[#This Row],[Kitchen Set]],Table_NFI[Kitchen Set])</f>
        <v>#REF!</v>
      </c>
      <c r="AI452" s="532" t="e">
        <f>IF(NFI_Expiration=1,IF(#REF!&lt;VLOOKUP(R$5,NFI,5,0),1,0)*Table_NFI[[#This Row],[Clothes Kit]],Table_NFI[Clothes Kit])</f>
        <v>#REF!</v>
      </c>
      <c r="AJ452" s="532" t="e">
        <f>IF(NFI_Expiration=1,IF(#REF!&lt;VLOOKUP(S$5,NFI,5,0),1,0)*Table_NFI[[#This Row],[Plastic Bucket]],Table_NFI[Plastic Bucket])</f>
        <v>#REF!</v>
      </c>
      <c r="AK452" s="532" t="e">
        <f>IF(NFI_Expiration=1,IF(#REF!&lt;VLOOKUP(T$5,NFI,5,0),1,0)*Table_NFI[[#This Row],[Plastic Mat]],Table_NFI[Plastic Mat])*IF(Table_NFI[[#This Row],[Distribution Date]]&gt;"2014-04-01",1,2.5)</f>
        <v>#REF!</v>
      </c>
      <c r="AL452" s="532" t="e">
        <f>IF(NFI_Expiration=1,IF(#REF!&lt;VLOOKUP(U$5,NFI,5,0),1,0)*Table_NFI[[#This Row],[Winter Clothes Adult]],Table_NFI[Winter Clothes Adult])</f>
        <v>#REF!</v>
      </c>
      <c r="AM452" s="532"/>
      <c r="AN452" s="532"/>
      <c r="AO452" s="532"/>
      <c r="AP452" s="532">
        <f>IF(Table_NFI[[#This Row],[Winter Clothes Adult]]+Table_NFI[[#This Row],[Winter Clothes Children]]+Table_NFI[[#This Row],[Winter Items Other]]+Table_NFI[[#This Row],[Winter Blanket]]&gt;0,1,0)</f>
        <v>1</v>
      </c>
      <c r="AQ452" s="532"/>
      <c r="AR452" s="532"/>
      <c r="AS452" s="532"/>
      <c r="AT452" s="532"/>
      <c r="AU452" s="532"/>
      <c r="AV452" s="532"/>
      <c r="AW452" s="532"/>
      <c r="AX452" s="203" t="str">
        <f>IFERROR(VLOOKUP(Table_NFI[[#This Row],[Location]],CL,2,0),"")</f>
        <v/>
      </c>
      <c r="AZ452" s="524"/>
      <c r="DS452" s="181"/>
      <c r="DT452" s="181"/>
    </row>
    <row r="453" spans="2:124" hidden="1" x14ac:dyDescent="0.3">
      <c r="B453" s="530">
        <v>43449</v>
      </c>
      <c r="C453" s="530" t="str">
        <f>MONTH(Table_NFI[[#This Row],[Distribution Date]]) &amp; "/" &amp; YEAR(Table_NFI[[#This Row],[Distribution Date]])</f>
        <v>12/2018</v>
      </c>
      <c r="D453" s="628" t="s">
        <v>1916</v>
      </c>
      <c r="E453" s="196"/>
      <c r="F453" s="196" t="s">
        <v>506</v>
      </c>
      <c r="G453" s="196" t="s">
        <v>146</v>
      </c>
      <c r="H453" s="195" t="s">
        <v>1762</v>
      </c>
      <c r="I453" s="701"/>
      <c r="J453" s="531"/>
      <c r="K453" s="531"/>
      <c r="L453" s="531"/>
      <c r="M453" s="531"/>
      <c r="N453" s="531"/>
      <c r="O453" s="531"/>
      <c r="P453" s="531"/>
      <c r="Q453" s="531"/>
      <c r="R453" s="531"/>
      <c r="S453" s="531"/>
      <c r="T453" s="531">
        <v>268</v>
      </c>
      <c r="U453" s="531"/>
      <c r="V453" s="531"/>
      <c r="W453" s="531"/>
      <c r="X453" s="531">
        <v>268</v>
      </c>
      <c r="Y453" s="531"/>
      <c r="Z453" s="301">
        <v>134</v>
      </c>
      <c r="AA453" s="531"/>
      <c r="AB453" s="531"/>
      <c r="AC453" s="532" t="e">
        <f>IF(NFI_Expiration=1,IF(#REF!&lt;VLOOKUP(L$5,NFI,5,0),1,0)*Table_NFI[[#This Row],[NFI Core Kit]],Table_NFI[NFI Core Kit])</f>
        <v>#REF!</v>
      </c>
      <c r="AD453" s="532" t="e">
        <f>IF(NFI_Expiration=1,IF(#REF!&lt;VLOOKUP(M$5,NFI,5,0),1,0)*Table_NFI[[#This Row],[Sanitary Kit]],Table_NFI[Sanitary Kit])</f>
        <v>#REF!</v>
      </c>
      <c r="AE453" s="532" t="e">
        <f>IF(NFI_Expiration=1,IF(#REF!&lt;VLOOKUP(N$5,NFI,5,0),1,0)*Table_NFI[[#This Row],[Mosquito net]],Table_NFI[Mosquito net])</f>
        <v>#REF!</v>
      </c>
      <c r="AF453" s="532" t="e">
        <f>IF(NFI_Expiration=1,IF(#REF!&lt;VLOOKUP(O$5,NFI,5,0),1,0)*Table_NFI[[#This Row],[Tarpaulin]],Table_NFI[[#This Row],[Tarpaulin]])</f>
        <v>#REF!</v>
      </c>
      <c r="AG453" s="532" t="e">
        <f>IF(NFI_Expiration=1,IF(#REF!&lt;VLOOKUP(P$5,NFI,5,0),1,0)*Table_NFI[[#This Row],[Blanket]],Table_NFI[[#This Row],[Blanket]])</f>
        <v>#REF!</v>
      </c>
      <c r="AH453" s="532" t="e">
        <f>IF(NFI_Expiration=1,IF(#REF!&lt;VLOOKUP(Q$5,NFI,5,0),1,0)*Table_NFI[[#This Row],[Kitchen Set]],Table_NFI[Kitchen Set])</f>
        <v>#REF!</v>
      </c>
      <c r="AI453" s="532" t="e">
        <f>IF(NFI_Expiration=1,IF(#REF!&lt;VLOOKUP(R$5,NFI,5,0),1,0)*Table_NFI[[#This Row],[Clothes Kit]],Table_NFI[Clothes Kit])</f>
        <v>#REF!</v>
      </c>
      <c r="AJ453" s="532" t="e">
        <f>IF(NFI_Expiration=1,IF(#REF!&lt;VLOOKUP(S$5,NFI,5,0),1,0)*Table_NFI[[#This Row],[Plastic Bucket]],Table_NFI[Plastic Bucket])</f>
        <v>#REF!</v>
      </c>
      <c r="AK453" s="532" t="e">
        <f>IF(NFI_Expiration=1,IF(#REF!&lt;VLOOKUP(T$5,NFI,5,0),1,0)*Table_NFI[[#This Row],[Plastic Mat]],Table_NFI[Plastic Mat])*IF(Table_NFI[[#This Row],[Distribution Date]]&gt;"2014-04-01",1,2.5)</f>
        <v>#REF!</v>
      </c>
      <c r="AL453" s="532" t="e">
        <f>IF(NFI_Expiration=1,IF(#REF!&lt;VLOOKUP(U$5,NFI,5,0),1,0)*Table_NFI[[#This Row],[Winter Clothes Adult]],Table_NFI[Winter Clothes Adult])</f>
        <v>#REF!</v>
      </c>
      <c r="AM453" s="532"/>
      <c r="AN453" s="532"/>
      <c r="AO453" s="532"/>
      <c r="AP453" s="532">
        <f>IF(Table_NFI[[#This Row],[Winter Clothes Adult]]+Table_NFI[[#This Row],[Winter Clothes Children]]+Table_NFI[[#This Row],[Winter Items Other]]+Table_NFI[[#This Row],[Winter Blanket]]&gt;0,1,0)</f>
        <v>1</v>
      </c>
      <c r="AQ453" s="532"/>
      <c r="AR453" s="532"/>
      <c r="AS453" s="532"/>
      <c r="AT453" s="532"/>
      <c r="AU453" s="532"/>
      <c r="AV453" s="532"/>
      <c r="AW453" s="532"/>
      <c r="AX453" s="203" t="str">
        <f>IFERROR(VLOOKUP(Table_NFI[[#This Row],[Location]],CL,2,0),"")</f>
        <v/>
      </c>
      <c r="AZ453" s="524"/>
      <c r="DS453" s="181"/>
      <c r="DT453" s="181"/>
    </row>
    <row r="454" spans="2:124" hidden="1" x14ac:dyDescent="0.3">
      <c r="B454" s="530">
        <v>43449</v>
      </c>
      <c r="C454" s="530" t="str">
        <f>MONTH(Table_NFI[[#This Row],[Distribution Date]]) &amp; "/" &amp; YEAR(Table_NFI[[#This Row],[Distribution Date]])</f>
        <v>12/2018</v>
      </c>
      <c r="D454" s="628" t="s">
        <v>1916</v>
      </c>
      <c r="E454" s="196"/>
      <c r="F454" s="196" t="s">
        <v>506</v>
      </c>
      <c r="G454" s="196" t="s">
        <v>146</v>
      </c>
      <c r="H454" s="268" t="s">
        <v>1523</v>
      </c>
      <c r="I454" s="701"/>
      <c r="J454" s="531"/>
      <c r="K454" s="531"/>
      <c r="L454" s="531"/>
      <c r="M454" s="531"/>
      <c r="N454" s="531"/>
      <c r="O454" s="531"/>
      <c r="P454" s="531"/>
      <c r="Q454" s="531"/>
      <c r="R454" s="531"/>
      <c r="S454" s="531"/>
      <c r="T454" s="531">
        <v>72</v>
      </c>
      <c r="U454" s="531"/>
      <c r="V454" s="531"/>
      <c r="W454" s="531"/>
      <c r="X454" s="531">
        <v>72</v>
      </c>
      <c r="Y454" s="531"/>
      <c r="Z454" s="301">
        <v>36</v>
      </c>
      <c r="AA454" s="531"/>
      <c r="AB454" s="531"/>
      <c r="AC454" s="532" t="e">
        <f>IF(NFI_Expiration=1,IF(#REF!&lt;VLOOKUP(L$5,NFI,5,0),1,0)*Table_NFI[[#This Row],[NFI Core Kit]],Table_NFI[NFI Core Kit])</f>
        <v>#REF!</v>
      </c>
      <c r="AD454" s="532" t="e">
        <f>IF(NFI_Expiration=1,IF(#REF!&lt;VLOOKUP(M$5,NFI,5,0),1,0)*Table_NFI[[#This Row],[Sanitary Kit]],Table_NFI[Sanitary Kit])</f>
        <v>#REF!</v>
      </c>
      <c r="AE454" s="532" t="e">
        <f>IF(NFI_Expiration=1,IF(#REF!&lt;VLOOKUP(N$5,NFI,5,0),1,0)*Table_NFI[[#This Row],[Mosquito net]],Table_NFI[Mosquito net])</f>
        <v>#REF!</v>
      </c>
      <c r="AF454" s="532" t="e">
        <f>IF(NFI_Expiration=1,IF(#REF!&lt;VLOOKUP(O$5,NFI,5,0),1,0)*Table_NFI[[#This Row],[Tarpaulin]],Table_NFI[[#This Row],[Tarpaulin]])</f>
        <v>#REF!</v>
      </c>
      <c r="AG454" s="532" t="e">
        <f>IF(NFI_Expiration=1,IF(#REF!&lt;VLOOKUP(P$5,NFI,5,0),1,0)*Table_NFI[[#This Row],[Blanket]],Table_NFI[[#This Row],[Blanket]])</f>
        <v>#REF!</v>
      </c>
      <c r="AH454" s="532" t="e">
        <f>IF(NFI_Expiration=1,IF(#REF!&lt;VLOOKUP(Q$5,NFI,5,0),1,0)*Table_NFI[[#This Row],[Kitchen Set]],Table_NFI[Kitchen Set])</f>
        <v>#REF!</v>
      </c>
      <c r="AI454" s="532" t="e">
        <f>IF(NFI_Expiration=1,IF(#REF!&lt;VLOOKUP(R$5,NFI,5,0),1,0)*Table_NFI[[#This Row],[Clothes Kit]],Table_NFI[Clothes Kit])</f>
        <v>#REF!</v>
      </c>
      <c r="AJ454" s="532" t="e">
        <f>IF(NFI_Expiration=1,IF(#REF!&lt;VLOOKUP(S$5,NFI,5,0),1,0)*Table_NFI[[#This Row],[Plastic Bucket]],Table_NFI[Plastic Bucket])</f>
        <v>#REF!</v>
      </c>
      <c r="AK454" s="532" t="e">
        <f>IF(NFI_Expiration=1,IF(#REF!&lt;VLOOKUP(T$5,NFI,5,0),1,0)*Table_NFI[[#This Row],[Plastic Mat]],Table_NFI[Plastic Mat])*IF(Table_NFI[[#This Row],[Distribution Date]]&gt;"2014-04-01",1,2.5)</f>
        <v>#REF!</v>
      </c>
      <c r="AL454" s="532" t="e">
        <f>IF(NFI_Expiration=1,IF(#REF!&lt;VLOOKUP(U$5,NFI,5,0),1,0)*Table_NFI[[#This Row],[Winter Clothes Adult]],Table_NFI[Winter Clothes Adult])</f>
        <v>#REF!</v>
      </c>
      <c r="AM454" s="532"/>
      <c r="AN454" s="532"/>
      <c r="AO454" s="532"/>
      <c r="AP454" s="532">
        <f>IF(Table_NFI[[#This Row],[Winter Clothes Adult]]+Table_NFI[[#This Row],[Winter Clothes Children]]+Table_NFI[[#This Row],[Winter Items Other]]+Table_NFI[[#This Row],[Winter Blanket]]&gt;0,1,0)</f>
        <v>1</v>
      </c>
      <c r="AQ454" s="532"/>
      <c r="AR454" s="532"/>
      <c r="AS454" s="532"/>
      <c r="AT454" s="532"/>
      <c r="AU454" s="532"/>
      <c r="AV454" s="532"/>
      <c r="AW454" s="532"/>
      <c r="AX454" s="203" t="str">
        <f>IFERROR(VLOOKUP(Table_NFI[[#This Row],[Location]],CL,2,0),"")</f>
        <v>MMR015CMP249</v>
      </c>
      <c r="AZ454" s="524"/>
      <c r="DS454" s="181"/>
      <c r="DT454" s="181"/>
    </row>
    <row r="455" spans="2:124" hidden="1" x14ac:dyDescent="0.3">
      <c r="B455" s="530">
        <v>43449</v>
      </c>
      <c r="C455" s="530" t="str">
        <f>MONTH(Table_NFI[[#This Row],[Distribution Date]]) &amp; "/" &amp; YEAR(Table_NFI[[#This Row],[Distribution Date]])</f>
        <v>12/2018</v>
      </c>
      <c r="D455" s="628" t="s">
        <v>1916</v>
      </c>
      <c r="E455" s="196"/>
      <c r="F455" s="196" t="s">
        <v>506</v>
      </c>
      <c r="G455" s="196" t="s">
        <v>1755</v>
      </c>
      <c r="H455" s="195" t="s">
        <v>1763</v>
      </c>
      <c r="I455" s="701"/>
      <c r="J455" s="531"/>
      <c r="K455" s="531"/>
      <c r="L455" s="531"/>
      <c r="M455" s="531"/>
      <c r="N455" s="531"/>
      <c r="O455" s="531"/>
      <c r="P455" s="531"/>
      <c r="Q455" s="531"/>
      <c r="R455" s="531"/>
      <c r="S455" s="531"/>
      <c r="T455" s="531">
        <v>130</v>
      </c>
      <c r="U455" s="531"/>
      <c r="V455" s="531"/>
      <c r="W455" s="531"/>
      <c r="X455" s="531">
        <v>130</v>
      </c>
      <c r="Y455" s="531"/>
      <c r="Z455" s="301">
        <v>65</v>
      </c>
      <c r="AA455" s="531"/>
      <c r="AB455" s="531"/>
      <c r="AC455" s="532" t="e">
        <f>IF(NFI_Expiration=1,IF(#REF!&lt;VLOOKUP(L$5,NFI,5,0),1,0)*Table_NFI[[#This Row],[NFI Core Kit]],Table_NFI[NFI Core Kit])</f>
        <v>#REF!</v>
      </c>
      <c r="AD455" s="532" t="e">
        <f>IF(NFI_Expiration=1,IF(#REF!&lt;VLOOKUP(M$5,NFI,5,0),1,0)*Table_NFI[[#This Row],[Sanitary Kit]],Table_NFI[Sanitary Kit])</f>
        <v>#REF!</v>
      </c>
      <c r="AE455" s="532" t="e">
        <f>IF(NFI_Expiration=1,IF(#REF!&lt;VLOOKUP(N$5,NFI,5,0),1,0)*Table_NFI[[#This Row],[Mosquito net]],Table_NFI[Mosquito net])</f>
        <v>#REF!</v>
      </c>
      <c r="AF455" s="532" t="e">
        <f>IF(NFI_Expiration=1,IF(#REF!&lt;VLOOKUP(O$5,NFI,5,0),1,0)*Table_NFI[[#This Row],[Tarpaulin]],Table_NFI[[#This Row],[Tarpaulin]])</f>
        <v>#REF!</v>
      </c>
      <c r="AG455" s="532" t="e">
        <f>IF(NFI_Expiration=1,IF(#REF!&lt;VLOOKUP(P$5,NFI,5,0),1,0)*Table_NFI[[#This Row],[Blanket]],Table_NFI[[#This Row],[Blanket]])</f>
        <v>#REF!</v>
      </c>
      <c r="AH455" s="532" t="e">
        <f>IF(NFI_Expiration=1,IF(#REF!&lt;VLOOKUP(Q$5,NFI,5,0),1,0)*Table_NFI[[#This Row],[Kitchen Set]],Table_NFI[Kitchen Set])</f>
        <v>#REF!</v>
      </c>
      <c r="AI455" s="532" t="e">
        <f>IF(NFI_Expiration=1,IF(#REF!&lt;VLOOKUP(R$5,NFI,5,0),1,0)*Table_NFI[[#This Row],[Clothes Kit]],Table_NFI[Clothes Kit])</f>
        <v>#REF!</v>
      </c>
      <c r="AJ455" s="532" t="e">
        <f>IF(NFI_Expiration=1,IF(#REF!&lt;VLOOKUP(S$5,NFI,5,0),1,0)*Table_NFI[[#This Row],[Plastic Bucket]],Table_NFI[Plastic Bucket])</f>
        <v>#REF!</v>
      </c>
      <c r="AK455" s="532" t="e">
        <f>IF(NFI_Expiration=1,IF(#REF!&lt;VLOOKUP(T$5,NFI,5,0),1,0)*Table_NFI[[#This Row],[Plastic Mat]],Table_NFI[Plastic Mat])*IF(Table_NFI[[#This Row],[Distribution Date]]&gt;"2014-04-01",1,2.5)</f>
        <v>#REF!</v>
      </c>
      <c r="AL455" s="532" t="e">
        <f>IF(NFI_Expiration=1,IF(#REF!&lt;VLOOKUP(U$5,NFI,5,0),1,0)*Table_NFI[[#This Row],[Winter Clothes Adult]],Table_NFI[Winter Clothes Adult])</f>
        <v>#REF!</v>
      </c>
      <c r="AM455" s="532"/>
      <c r="AN455" s="532"/>
      <c r="AO455" s="532"/>
      <c r="AP455" s="532">
        <f>IF(Table_NFI[[#This Row],[Winter Clothes Adult]]+Table_NFI[[#This Row],[Winter Clothes Children]]+Table_NFI[[#This Row],[Winter Items Other]]+Table_NFI[[#This Row],[Winter Blanket]]&gt;0,1,0)</f>
        <v>1</v>
      </c>
      <c r="AQ455" s="532"/>
      <c r="AR455" s="532"/>
      <c r="AS455" s="532"/>
      <c r="AT455" s="532"/>
      <c r="AU455" s="532"/>
      <c r="AV455" s="532"/>
      <c r="AW455" s="532"/>
      <c r="AX455" s="203" t="str">
        <f>IFERROR(VLOOKUP(Table_NFI[[#This Row],[Location]],CL,2,0),"")</f>
        <v/>
      </c>
      <c r="AZ455" s="524"/>
      <c r="DS455" s="181"/>
      <c r="DT455" s="181"/>
    </row>
    <row r="456" spans="2:124" hidden="1" x14ac:dyDescent="0.3">
      <c r="B456" s="530">
        <v>43449</v>
      </c>
      <c r="C456" s="530" t="str">
        <f>MONTH(Table_NFI[[#This Row],[Distribution Date]]) &amp; "/" &amp; YEAR(Table_NFI[[#This Row],[Distribution Date]])</f>
        <v>12/2018</v>
      </c>
      <c r="D456" s="628" t="s">
        <v>1916</v>
      </c>
      <c r="E456" s="196"/>
      <c r="F456" s="196" t="s">
        <v>506</v>
      </c>
      <c r="G456" s="196" t="s">
        <v>1755</v>
      </c>
      <c r="H456" s="195" t="s">
        <v>1764</v>
      </c>
      <c r="I456" s="701"/>
      <c r="J456" s="531"/>
      <c r="K456" s="531"/>
      <c r="L456" s="531"/>
      <c r="M456" s="531"/>
      <c r="N456" s="531"/>
      <c r="O456" s="531"/>
      <c r="P456" s="531"/>
      <c r="Q456" s="531"/>
      <c r="R456" s="531"/>
      <c r="S456" s="531"/>
      <c r="T456" s="531">
        <v>138</v>
      </c>
      <c r="U456" s="531"/>
      <c r="V456" s="531"/>
      <c r="W456" s="531"/>
      <c r="X456" s="531">
        <v>138</v>
      </c>
      <c r="Y456" s="531"/>
      <c r="Z456" s="301">
        <v>69</v>
      </c>
      <c r="AA456" s="531"/>
      <c r="AB456" s="531"/>
      <c r="AC456" s="532" t="e">
        <f>IF(NFI_Expiration=1,IF(#REF!&lt;VLOOKUP(L$5,NFI,5,0),1,0)*Table_NFI[[#This Row],[NFI Core Kit]],Table_NFI[NFI Core Kit])</f>
        <v>#REF!</v>
      </c>
      <c r="AD456" s="532" t="e">
        <f>IF(NFI_Expiration=1,IF(#REF!&lt;VLOOKUP(M$5,NFI,5,0),1,0)*Table_NFI[[#This Row],[Sanitary Kit]],Table_NFI[Sanitary Kit])</f>
        <v>#REF!</v>
      </c>
      <c r="AE456" s="532" t="e">
        <f>IF(NFI_Expiration=1,IF(#REF!&lt;VLOOKUP(N$5,NFI,5,0),1,0)*Table_NFI[[#This Row],[Mosquito net]],Table_NFI[Mosquito net])</f>
        <v>#REF!</v>
      </c>
      <c r="AF456" s="532" t="e">
        <f>IF(NFI_Expiration=1,IF(#REF!&lt;VLOOKUP(O$5,NFI,5,0),1,0)*Table_NFI[[#This Row],[Tarpaulin]],Table_NFI[[#This Row],[Tarpaulin]])</f>
        <v>#REF!</v>
      </c>
      <c r="AG456" s="532" t="e">
        <f>IF(NFI_Expiration=1,IF(#REF!&lt;VLOOKUP(P$5,NFI,5,0),1,0)*Table_NFI[[#This Row],[Blanket]],Table_NFI[[#This Row],[Blanket]])</f>
        <v>#REF!</v>
      </c>
      <c r="AH456" s="532" t="e">
        <f>IF(NFI_Expiration=1,IF(#REF!&lt;VLOOKUP(Q$5,NFI,5,0),1,0)*Table_NFI[[#This Row],[Kitchen Set]],Table_NFI[Kitchen Set])</f>
        <v>#REF!</v>
      </c>
      <c r="AI456" s="532" t="e">
        <f>IF(NFI_Expiration=1,IF(#REF!&lt;VLOOKUP(R$5,NFI,5,0),1,0)*Table_NFI[[#This Row],[Clothes Kit]],Table_NFI[Clothes Kit])</f>
        <v>#REF!</v>
      </c>
      <c r="AJ456" s="532" t="e">
        <f>IF(NFI_Expiration=1,IF(#REF!&lt;VLOOKUP(S$5,NFI,5,0),1,0)*Table_NFI[[#This Row],[Plastic Bucket]],Table_NFI[Plastic Bucket])</f>
        <v>#REF!</v>
      </c>
      <c r="AK456" s="532" t="e">
        <f>IF(NFI_Expiration=1,IF(#REF!&lt;VLOOKUP(T$5,NFI,5,0),1,0)*Table_NFI[[#This Row],[Plastic Mat]],Table_NFI[Plastic Mat])*IF(Table_NFI[[#This Row],[Distribution Date]]&gt;"2014-04-01",1,2.5)</f>
        <v>#REF!</v>
      </c>
      <c r="AL456" s="532" t="e">
        <f>IF(NFI_Expiration=1,IF(#REF!&lt;VLOOKUP(U$5,NFI,5,0),1,0)*Table_NFI[[#This Row],[Winter Clothes Adult]],Table_NFI[Winter Clothes Adult])</f>
        <v>#REF!</v>
      </c>
      <c r="AM456" s="532"/>
      <c r="AN456" s="532"/>
      <c r="AO456" s="532"/>
      <c r="AP456" s="532">
        <f>IF(Table_NFI[[#This Row],[Winter Clothes Adult]]+Table_NFI[[#This Row],[Winter Clothes Children]]+Table_NFI[[#This Row],[Winter Items Other]]+Table_NFI[[#This Row],[Winter Blanket]]&gt;0,1,0)</f>
        <v>1</v>
      </c>
      <c r="AQ456" s="532"/>
      <c r="AR456" s="532"/>
      <c r="AS456" s="532"/>
      <c r="AT456" s="532"/>
      <c r="AU456" s="532"/>
      <c r="AV456" s="532"/>
      <c r="AW456" s="532"/>
      <c r="AX456" s="203" t="str">
        <f>IFERROR(VLOOKUP(Table_NFI[[#This Row],[Location]],CL,2,0),"")</f>
        <v/>
      </c>
      <c r="AZ456" s="524"/>
      <c r="DS456" s="181"/>
      <c r="DT456" s="181"/>
    </row>
    <row r="457" spans="2:124" hidden="1" x14ac:dyDescent="0.3">
      <c r="B457" s="530">
        <v>43449</v>
      </c>
      <c r="C457" s="530" t="str">
        <f>MONTH(Table_NFI[[#This Row],[Distribution Date]]) &amp; "/" &amp; YEAR(Table_NFI[[#This Row],[Distribution Date]])</f>
        <v>12/2018</v>
      </c>
      <c r="D457" s="628" t="s">
        <v>1916</v>
      </c>
      <c r="E457" s="196"/>
      <c r="F457" s="196" t="s">
        <v>506</v>
      </c>
      <c r="G457" s="196" t="s">
        <v>1756</v>
      </c>
      <c r="H457" s="195" t="s">
        <v>1765</v>
      </c>
      <c r="I457" s="701"/>
      <c r="J457" s="531"/>
      <c r="K457" s="531"/>
      <c r="L457" s="531"/>
      <c r="M457" s="531"/>
      <c r="N457" s="531"/>
      <c r="O457" s="531"/>
      <c r="P457" s="531"/>
      <c r="Q457" s="531"/>
      <c r="R457" s="531"/>
      <c r="S457" s="531"/>
      <c r="T457" s="531">
        <v>174</v>
      </c>
      <c r="U457" s="531"/>
      <c r="V457" s="531"/>
      <c r="W457" s="531"/>
      <c r="X457" s="531">
        <v>174</v>
      </c>
      <c r="Y457" s="531"/>
      <c r="Z457" s="301">
        <v>87</v>
      </c>
      <c r="AA457" s="531"/>
      <c r="AB457" s="531"/>
      <c r="AC457" s="532" t="e">
        <f>IF(NFI_Expiration=1,IF(#REF!&lt;VLOOKUP(L$5,NFI,5,0),1,0)*Table_NFI[[#This Row],[NFI Core Kit]],Table_NFI[NFI Core Kit])</f>
        <v>#REF!</v>
      </c>
      <c r="AD457" s="532" t="e">
        <f>IF(NFI_Expiration=1,IF(#REF!&lt;VLOOKUP(M$5,NFI,5,0),1,0)*Table_NFI[[#This Row],[Sanitary Kit]],Table_NFI[Sanitary Kit])</f>
        <v>#REF!</v>
      </c>
      <c r="AE457" s="532" t="e">
        <f>IF(NFI_Expiration=1,IF(#REF!&lt;VLOOKUP(N$5,NFI,5,0),1,0)*Table_NFI[[#This Row],[Mosquito net]],Table_NFI[Mosquito net])</f>
        <v>#REF!</v>
      </c>
      <c r="AF457" s="532" t="e">
        <f>IF(NFI_Expiration=1,IF(#REF!&lt;VLOOKUP(O$5,NFI,5,0),1,0)*Table_NFI[[#This Row],[Tarpaulin]],Table_NFI[[#This Row],[Tarpaulin]])</f>
        <v>#REF!</v>
      </c>
      <c r="AG457" s="532" t="e">
        <f>IF(NFI_Expiration=1,IF(#REF!&lt;VLOOKUP(P$5,NFI,5,0),1,0)*Table_NFI[[#This Row],[Blanket]],Table_NFI[[#This Row],[Blanket]])</f>
        <v>#REF!</v>
      </c>
      <c r="AH457" s="532" t="e">
        <f>IF(NFI_Expiration=1,IF(#REF!&lt;VLOOKUP(Q$5,NFI,5,0),1,0)*Table_NFI[[#This Row],[Kitchen Set]],Table_NFI[Kitchen Set])</f>
        <v>#REF!</v>
      </c>
      <c r="AI457" s="532" t="e">
        <f>IF(NFI_Expiration=1,IF(#REF!&lt;VLOOKUP(R$5,NFI,5,0),1,0)*Table_NFI[[#This Row],[Clothes Kit]],Table_NFI[Clothes Kit])</f>
        <v>#REF!</v>
      </c>
      <c r="AJ457" s="532" t="e">
        <f>IF(NFI_Expiration=1,IF(#REF!&lt;VLOOKUP(S$5,NFI,5,0),1,0)*Table_NFI[[#This Row],[Plastic Bucket]],Table_NFI[Plastic Bucket])</f>
        <v>#REF!</v>
      </c>
      <c r="AK457" s="532" t="e">
        <f>IF(NFI_Expiration=1,IF(#REF!&lt;VLOOKUP(T$5,NFI,5,0),1,0)*Table_NFI[[#This Row],[Plastic Mat]],Table_NFI[Plastic Mat])*IF(Table_NFI[[#This Row],[Distribution Date]]&gt;"2014-04-01",1,2.5)</f>
        <v>#REF!</v>
      </c>
      <c r="AL457" s="532" t="e">
        <f>IF(NFI_Expiration=1,IF(#REF!&lt;VLOOKUP(U$5,NFI,5,0),1,0)*Table_NFI[[#This Row],[Winter Clothes Adult]],Table_NFI[Winter Clothes Adult])</f>
        <v>#REF!</v>
      </c>
      <c r="AM457" s="532"/>
      <c r="AN457" s="532"/>
      <c r="AO457" s="532"/>
      <c r="AP457" s="532">
        <f>IF(Table_NFI[[#This Row],[Winter Clothes Adult]]+Table_NFI[[#This Row],[Winter Clothes Children]]+Table_NFI[[#This Row],[Winter Items Other]]+Table_NFI[[#This Row],[Winter Blanket]]&gt;0,1,0)</f>
        <v>1</v>
      </c>
      <c r="AQ457" s="532"/>
      <c r="AR457" s="532"/>
      <c r="AS457" s="532"/>
      <c r="AT457" s="532"/>
      <c r="AU457" s="532"/>
      <c r="AV457" s="532"/>
      <c r="AW457" s="532"/>
      <c r="AX457" s="203" t="str">
        <f>IFERROR(VLOOKUP(Table_NFI[[#This Row],[Location]],CL,2,0),"")</f>
        <v/>
      </c>
      <c r="AZ457" s="524"/>
      <c r="DS457" s="181"/>
      <c r="DT457" s="181"/>
    </row>
    <row r="458" spans="2:124" hidden="1" x14ac:dyDescent="0.3">
      <c r="B458" s="530">
        <v>43449</v>
      </c>
      <c r="C458" s="530" t="str">
        <f>MONTH(Table_NFI[[#This Row],[Distribution Date]]) &amp; "/" &amp; YEAR(Table_NFI[[#This Row],[Distribution Date]])</f>
        <v>12/2018</v>
      </c>
      <c r="D458" s="628" t="s">
        <v>1916</v>
      </c>
      <c r="E458" s="196"/>
      <c r="F458" s="196" t="s">
        <v>506</v>
      </c>
      <c r="G458" s="196" t="s">
        <v>1757</v>
      </c>
      <c r="H458" s="195" t="s">
        <v>1766</v>
      </c>
      <c r="I458" s="701"/>
      <c r="J458" s="531"/>
      <c r="K458" s="531"/>
      <c r="L458" s="531"/>
      <c r="M458" s="531"/>
      <c r="N458" s="531"/>
      <c r="O458" s="531"/>
      <c r="P458" s="531"/>
      <c r="Q458" s="531"/>
      <c r="R458" s="531"/>
      <c r="S458" s="531"/>
      <c r="T458" s="531">
        <v>54</v>
      </c>
      <c r="U458" s="531"/>
      <c r="V458" s="531"/>
      <c r="W458" s="531"/>
      <c r="X458" s="531">
        <v>54</v>
      </c>
      <c r="Y458" s="531"/>
      <c r="Z458" s="301">
        <v>27</v>
      </c>
      <c r="AA458" s="531"/>
      <c r="AB458" s="531"/>
      <c r="AC458" s="532" t="e">
        <f>IF(NFI_Expiration=1,IF(#REF!&lt;VLOOKUP(L$5,NFI,5,0),1,0)*Table_NFI[[#This Row],[NFI Core Kit]],Table_NFI[NFI Core Kit])</f>
        <v>#REF!</v>
      </c>
      <c r="AD458" s="532" t="e">
        <f>IF(NFI_Expiration=1,IF(#REF!&lt;VLOOKUP(M$5,NFI,5,0),1,0)*Table_NFI[[#This Row],[Sanitary Kit]],Table_NFI[Sanitary Kit])</f>
        <v>#REF!</v>
      </c>
      <c r="AE458" s="532" t="e">
        <f>IF(NFI_Expiration=1,IF(#REF!&lt;VLOOKUP(N$5,NFI,5,0),1,0)*Table_NFI[[#This Row],[Mosquito net]],Table_NFI[Mosquito net])</f>
        <v>#REF!</v>
      </c>
      <c r="AF458" s="532" t="e">
        <f>IF(NFI_Expiration=1,IF(#REF!&lt;VLOOKUP(O$5,NFI,5,0),1,0)*Table_NFI[[#This Row],[Tarpaulin]],Table_NFI[[#This Row],[Tarpaulin]])</f>
        <v>#REF!</v>
      </c>
      <c r="AG458" s="532" t="e">
        <f>IF(NFI_Expiration=1,IF(#REF!&lt;VLOOKUP(P$5,NFI,5,0),1,0)*Table_NFI[[#This Row],[Blanket]],Table_NFI[[#This Row],[Blanket]])</f>
        <v>#REF!</v>
      </c>
      <c r="AH458" s="532" t="e">
        <f>IF(NFI_Expiration=1,IF(#REF!&lt;VLOOKUP(Q$5,NFI,5,0),1,0)*Table_NFI[[#This Row],[Kitchen Set]],Table_NFI[Kitchen Set])</f>
        <v>#REF!</v>
      </c>
      <c r="AI458" s="532" t="e">
        <f>IF(NFI_Expiration=1,IF(#REF!&lt;VLOOKUP(R$5,NFI,5,0),1,0)*Table_NFI[[#This Row],[Clothes Kit]],Table_NFI[Clothes Kit])</f>
        <v>#REF!</v>
      </c>
      <c r="AJ458" s="532" t="e">
        <f>IF(NFI_Expiration=1,IF(#REF!&lt;VLOOKUP(S$5,NFI,5,0),1,0)*Table_NFI[[#This Row],[Plastic Bucket]],Table_NFI[Plastic Bucket])</f>
        <v>#REF!</v>
      </c>
      <c r="AK458" s="532" t="e">
        <f>IF(NFI_Expiration=1,IF(#REF!&lt;VLOOKUP(T$5,NFI,5,0),1,0)*Table_NFI[[#This Row],[Plastic Mat]],Table_NFI[Plastic Mat])*IF(Table_NFI[[#This Row],[Distribution Date]]&gt;"2014-04-01",1,2.5)</f>
        <v>#REF!</v>
      </c>
      <c r="AL458" s="532" t="e">
        <f>IF(NFI_Expiration=1,IF(#REF!&lt;VLOOKUP(U$5,NFI,5,0),1,0)*Table_NFI[[#This Row],[Winter Clothes Adult]],Table_NFI[Winter Clothes Adult])</f>
        <v>#REF!</v>
      </c>
      <c r="AM458" s="532"/>
      <c r="AN458" s="532"/>
      <c r="AO458" s="532"/>
      <c r="AP458" s="532">
        <f>IF(Table_NFI[[#This Row],[Winter Clothes Adult]]+Table_NFI[[#This Row],[Winter Clothes Children]]+Table_NFI[[#This Row],[Winter Items Other]]+Table_NFI[[#This Row],[Winter Blanket]]&gt;0,1,0)</f>
        <v>1</v>
      </c>
      <c r="AQ458" s="532"/>
      <c r="AR458" s="532"/>
      <c r="AS458" s="532"/>
      <c r="AT458" s="532"/>
      <c r="AU458" s="532"/>
      <c r="AV458" s="532"/>
      <c r="AW458" s="532"/>
      <c r="AX458" s="203" t="str">
        <f>IFERROR(VLOOKUP(Table_NFI[[#This Row],[Location]],CL,2,0),"")</f>
        <v/>
      </c>
      <c r="AZ458" s="524"/>
      <c r="DS458" s="181"/>
      <c r="DT458" s="181"/>
    </row>
    <row r="459" spans="2:124" hidden="1" x14ac:dyDescent="0.3">
      <c r="B459" s="530">
        <v>43449</v>
      </c>
      <c r="C459" s="530" t="str">
        <f>MONTH(Table_NFI[[#This Row],[Distribution Date]]) &amp; "/" &amp; YEAR(Table_NFI[[#This Row],[Distribution Date]])</f>
        <v>12/2018</v>
      </c>
      <c r="D459" s="628" t="s">
        <v>1916</v>
      </c>
      <c r="E459" s="196"/>
      <c r="F459" s="196" t="s">
        <v>506</v>
      </c>
      <c r="G459" s="196" t="s">
        <v>1758</v>
      </c>
      <c r="H459" s="195" t="s">
        <v>1767</v>
      </c>
      <c r="I459" s="701"/>
      <c r="J459" s="531"/>
      <c r="K459" s="531"/>
      <c r="L459" s="531"/>
      <c r="M459" s="531"/>
      <c r="N459" s="531"/>
      <c r="O459" s="531"/>
      <c r="P459" s="531"/>
      <c r="Q459" s="531"/>
      <c r="R459" s="531"/>
      <c r="S459" s="531"/>
      <c r="T459" s="531">
        <v>150</v>
      </c>
      <c r="U459" s="531"/>
      <c r="V459" s="531"/>
      <c r="W459" s="531"/>
      <c r="X459" s="531">
        <v>150</v>
      </c>
      <c r="Y459" s="531"/>
      <c r="Z459" s="301">
        <v>75</v>
      </c>
      <c r="AA459" s="531"/>
      <c r="AB459" s="531"/>
      <c r="AC459" s="532" t="e">
        <f>IF(NFI_Expiration=1,IF(#REF!&lt;VLOOKUP(L$5,NFI,5,0),1,0)*Table_NFI[[#This Row],[NFI Core Kit]],Table_NFI[NFI Core Kit])</f>
        <v>#REF!</v>
      </c>
      <c r="AD459" s="532" t="e">
        <f>IF(NFI_Expiration=1,IF(#REF!&lt;VLOOKUP(M$5,NFI,5,0),1,0)*Table_NFI[[#This Row],[Sanitary Kit]],Table_NFI[Sanitary Kit])</f>
        <v>#REF!</v>
      </c>
      <c r="AE459" s="532" t="e">
        <f>IF(NFI_Expiration=1,IF(#REF!&lt;VLOOKUP(N$5,NFI,5,0),1,0)*Table_NFI[[#This Row],[Mosquito net]],Table_NFI[Mosquito net])</f>
        <v>#REF!</v>
      </c>
      <c r="AF459" s="532" t="e">
        <f>IF(NFI_Expiration=1,IF(#REF!&lt;VLOOKUP(O$5,NFI,5,0),1,0)*Table_NFI[[#This Row],[Tarpaulin]],Table_NFI[[#This Row],[Tarpaulin]])</f>
        <v>#REF!</v>
      </c>
      <c r="AG459" s="532" t="e">
        <f>IF(NFI_Expiration=1,IF(#REF!&lt;VLOOKUP(P$5,NFI,5,0),1,0)*Table_NFI[[#This Row],[Blanket]],Table_NFI[[#This Row],[Blanket]])</f>
        <v>#REF!</v>
      </c>
      <c r="AH459" s="532" t="e">
        <f>IF(NFI_Expiration=1,IF(#REF!&lt;VLOOKUP(Q$5,NFI,5,0),1,0)*Table_NFI[[#This Row],[Kitchen Set]],Table_NFI[Kitchen Set])</f>
        <v>#REF!</v>
      </c>
      <c r="AI459" s="532" t="e">
        <f>IF(NFI_Expiration=1,IF(#REF!&lt;VLOOKUP(R$5,NFI,5,0),1,0)*Table_NFI[[#This Row],[Clothes Kit]],Table_NFI[Clothes Kit])</f>
        <v>#REF!</v>
      </c>
      <c r="AJ459" s="532" t="e">
        <f>IF(NFI_Expiration=1,IF(#REF!&lt;VLOOKUP(S$5,NFI,5,0),1,0)*Table_NFI[[#This Row],[Plastic Bucket]],Table_NFI[Plastic Bucket])</f>
        <v>#REF!</v>
      </c>
      <c r="AK459" s="532" t="e">
        <f>IF(NFI_Expiration=1,IF(#REF!&lt;VLOOKUP(T$5,NFI,5,0),1,0)*Table_NFI[[#This Row],[Plastic Mat]],Table_NFI[Plastic Mat])*IF(Table_NFI[[#This Row],[Distribution Date]]&gt;"2014-04-01",1,2.5)</f>
        <v>#REF!</v>
      </c>
      <c r="AL459" s="532" t="e">
        <f>IF(NFI_Expiration=1,IF(#REF!&lt;VLOOKUP(U$5,NFI,5,0),1,0)*Table_NFI[[#This Row],[Winter Clothes Adult]],Table_NFI[Winter Clothes Adult])</f>
        <v>#REF!</v>
      </c>
      <c r="AM459" s="532"/>
      <c r="AN459" s="532"/>
      <c r="AO459" s="532"/>
      <c r="AP459" s="532">
        <f>IF(Table_NFI[[#This Row],[Winter Clothes Adult]]+Table_NFI[[#This Row],[Winter Clothes Children]]+Table_NFI[[#This Row],[Winter Items Other]]+Table_NFI[[#This Row],[Winter Blanket]]&gt;0,1,0)</f>
        <v>1</v>
      </c>
      <c r="AQ459" s="532"/>
      <c r="AR459" s="532"/>
      <c r="AS459" s="532"/>
      <c r="AT459" s="532"/>
      <c r="AU459" s="532"/>
      <c r="AV459" s="532"/>
      <c r="AW459" s="532"/>
      <c r="AX459" s="203" t="str">
        <f>IFERROR(VLOOKUP(Table_NFI[[#This Row],[Location]],CL,2,0),"")</f>
        <v/>
      </c>
      <c r="AZ459" s="524"/>
      <c r="DS459" s="181"/>
      <c r="DT459" s="181"/>
    </row>
    <row r="460" spans="2:124" hidden="1" x14ac:dyDescent="0.3">
      <c r="B460" s="530">
        <v>43449</v>
      </c>
      <c r="C460" s="530" t="str">
        <f>MONTH(Table_NFI[[#This Row],[Distribution Date]]) &amp; "/" &amp; YEAR(Table_NFI[[#This Row],[Distribution Date]])</f>
        <v>12/2018</v>
      </c>
      <c r="D460" s="628" t="s">
        <v>1916</v>
      </c>
      <c r="E460" s="196"/>
      <c r="F460" s="196" t="s">
        <v>506</v>
      </c>
      <c r="G460" s="196" t="s">
        <v>1757</v>
      </c>
      <c r="H460" s="195" t="s">
        <v>1768</v>
      </c>
      <c r="I460" s="701"/>
      <c r="J460" s="531"/>
      <c r="K460" s="531"/>
      <c r="L460" s="531"/>
      <c r="M460" s="531"/>
      <c r="N460" s="531"/>
      <c r="O460" s="531"/>
      <c r="P460" s="531"/>
      <c r="Q460" s="531"/>
      <c r="R460" s="531"/>
      <c r="S460" s="531"/>
      <c r="T460" s="531">
        <v>42</v>
      </c>
      <c r="U460" s="531"/>
      <c r="V460" s="531"/>
      <c r="W460" s="531"/>
      <c r="X460" s="531">
        <v>42</v>
      </c>
      <c r="Y460" s="531"/>
      <c r="Z460" s="301">
        <v>21</v>
      </c>
      <c r="AA460" s="531"/>
      <c r="AB460" s="531"/>
      <c r="AC460" s="532" t="e">
        <f>IF(NFI_Expiration=1,IF(#REF!&lt;VLOOKUP(L$5,NFI,5,0),1,0)*Table_NFI[[#This Row],[NFI Core Kit]],Table_NFI[NFI Core Kit])</f>
        <v>#REF!</v>
      </c>
      <c r="AD460" s="532" t="e">
        <f>IF(NFI_Expiration=1,IF(#REF!&lt;VLOOKUP(M$5,NFI,5,0),1,0)*Table_NFI[[#This Row],[Sanitary Kit]],Table_NFI[Sanitary Kit])</f>
        <v>#REF!</v>
      </c>
      <c r="AE460" s="532" t="e">
        <f>IF(NFI_Expiration=1,IF(#REF!&lt;VLOOKUP(N$5,NFI,5,0),1,0)*Table_NFI[[#This Row],[Mosquito net]],Table_NFI[Mosquito net])</f>
        <v>#REF!</v>
      </c>
      <c r="AF460" s="532" t="e">
        <f>IF(NFI_Expiration=1,IF(#REF!&lt;VLOOKUP(O$5,NFI,5,0),1,0)*Table_NFI[[#This Row],[Tarpaulin]],Table_NFI[[#This Row],[Tarpaulin]])</f>
        <v>#REF!</v>
      </c>
      <c r="AG460" s="532" t="e">
        <f>IF(NFI_Expiration=1,IF(#REF!&lt;VLOOKUP(P$5,NFI,5,0),1,0)*Table_NFI[[#This Row],[Blanket]],Table_NFI[[#This Row],[Blanket]])</f>
        <v>#REF!</v>
      </c>
      <c r="AH460" s="532" t="e">
        <f>IF(NFI_Expiration=1,IF(#REF!&lt;VLOOKUP(Q$5,NFI,5,0),1,0)*Table_NFI[[#This Row],[Kitchen Set]],Table_NFI[Kitchen Set])</f>
        <v>#REF!</v>
      </c>
      <c r="AI460" s="532" t="e">
        <f>IF(NFI_Expiration=1,IF(#REF!&lt;VLOOKUP(R$5,NFI,5,0),1,0)*Table_NFI[[#This Row],[Clothes Kit]],Table_NFI[Clothes Kit])</f>
        <v>#REF!</v>
      </c>
      <c r="AJ460" s="532" t="e">
        <f>IF(NFI_Expiration=1,IF(#REF!&lt;VLOOKUP(S$5,NFI,5,0),1,0)*Table_NFI[[#This Row],[Plastic Bucket]],Table_NFI[Plastic Bucket])</f>
        <v>#REF!</v>
      </c>
      <c r="AK460" s="532" t="e">
        <f>IF(NFI_Expiration=1,IF(#REF!&lt;VLOOKUP(T$5,NFI,5,0),1,0)*Table_NFI[[#This Row],[Plastic Mat]],Table_NFI[Plastic Mat])*IF(Table_NFI[[#This Row],[Distribution Date]]&gt;"2014-04-01",1,2.5)</f>
        <v>#REF!</v>
      </c>
      <c r="AL460" s="532" t="e">
        <f>IF(NFI_Expiration=1,IF(#REF!&lt;VLOOKUP(U$5,NFI,5,0),1,0)*Table_NFI[[#This Row],[Winter Clothes Adult]],Table_NFI[Winter Clothes Adult])</f>
        <v>#REF!</v>
      </c>
      <c r="AM460" s="532"/>
      <c r="AN460" s="532"/>
      <c r="AO460" s="532"/>
      <c r="AP460" s="532">
        <f>IF(Table_NFI[[#This Row],[Winter Clothes Adult]]+Table_NFI[[#This Row],[Winter Clothes Children]]+Table_NFI[[#This Row],[Winter Items Other]]+Table_NFI[[#This Row],[Winter Blanket]]&gt;0,1,0)</f>
        <v>1</v>
      </c>
      <c r="AQ460" s="532"/>
      <c r="AR460" s="532"/>
      <c r="AS460" s="532"/>
      <c r="AT460" s="532"/>
      <c r="AU460" s="532"/>
      <c r="AV460" s="532"/>
      <c r="AW460" s="532"/>
      <c r="AX460" s="203" t="str">
        <f>IFERROR(VLOOKUP(Table_NFI[[#This Row],[Location]],CL,2,0),"")</f>
        <v/>
      </c>
      <c r="AZ460" s="524"/>
      <c r="DS460" s="181"/>
      <c r="DT460" s="181"/>
    </row>
    <row r="461" spans="2:124" hidden="1" x14ac:dyDescent="0.3">
      <c r="B461" s="530">
        <v>43449</v>
      </c>
      <c r="C461" s="530" t="str">
        <f>MONTH(Table_NFI[[#This Row],[Distribution Date]]) &amp; "/" &amp; YEAR(Table_NFI[[#This Row],[Distribution Date]])</f>
        <v>12/2018</v>
      </c>
      <c r="D461" s="628" t="s">
        <v>1916</v>
      </c>
      <c r="E461" s="196"/>
      <c r="F461" s="196" t="s">
        <v>506</v>
      </c>
      <c r="G461" s="196" t="s">
        <v>1758</v>
      </c>
      <c r="H461" s="195" t="s">
        <v>1769</v>
      </c>
      <c r="I461" s="701"/>
      <c r="J461" s="531"/>
      <c r="K461" s="531"/>
      <c r="L461" s="531"/>
      <c r="M461" s="531"/>
      <c r="N461" s="531"/>
      <c r="O461" s="531"/>
      <c r="P461" s="531"/>
      <c r="Q461" s="531"/>
      <c r="R461" s="531"/>
      <c r="S461" s="531"/>
      <c r="T461" s="531">
        <v>1186</v>
      </c>
      <c r="U461" s="531"/>
      <c r="V461" s="531"/>
      <c r="W461" s="531"/>
      <c r="X461" s="531">
        <v>1186</v>
      </c>
      <c r="Y461" s="531"/>
      <c r="Z461" s="301">
        <v>593</v>
      </c>
      <c r="AA461" s="531"/>
      <c r="AB461" s="531"/>
      <c r="AC461" s="532" t="e">
        <f>IF(NFI_Expiration=1,IF(#REF!&lt;VLOOKUP(L$5,NFI,5,0),1,0)*Table_NFI[[#This Row],[NFI Core Kit]],Table_NFI[NFI Core Kit])</f>
        <v>#REF!</v>
      </c>
      <c r="AD461" s="532" t="e">
        <f>IF(NFI_Expiration=1,IF(#REF!&lt;VLOOKUP(M$5,NFI,5,0),1,0)*Table_NFI[[#This Row],[Sanitary Kit]],Table_NFI[Sanitary Kit])</f>
        <v>#REF!</v>
      </c>
      <c r="AE461" s="532" t="e">
        <f>IF(NFI_Expiration=1,IF(#REF!&lt;VLOOKUP(N$5,NFI,5,0),1,0)*Table_NFI[[#This Row],[Mosquito net]],Table_NFI[Mosquito net])</f>
        <v>#REF!</v>
      </c>
      <c r="AF461" s="532" t="e">
        <f>IF(NFI_Expiration=1,IF(#REF!&lt;VLOOKUP(O$5,NFI,5,0),1,0)*Table_NFI[[#This Row],[Tarpaulin]],Table_NFI[[#This Row],[Tarpaulin]])</f>
        <v>#REF!</v>
      </c>
      <c r="AG461" s="532" t="e">
        <f>IF(NFI_Expiration=1,IF(#REF!&lt;VLOOKUP(P$5,NFI,5,0),1,0)*Table_NFI[[#This Row],[Blanket]],Table_NFI[[#This Row],[Blanket]])</f>
        <v>#REF!</v>
      </c>
      <c r="AH461" s="532" t="e">
        <f>IF(NFI_Expiration=1,IF(#REF!&lt;VLOOKUP(Q$5,NFI,5,0),1,0)*Table_NFI[[#This Row],[Kitchen Set]],Table_NFI[Kitchen Set])</f>
        <v>#REF!</v>
      </c>
      <c r="AI461" s="532" t="e">
        <f>IF(NFI_Expiration=1,IF(#REF!&lt;VLOOKUP(R$5,NFI,5,0),1,0)*Table_NFI[[#This Row],[Clothes Kit]],Table_NFI[Clothes Kit])</f>
        <v>#REF!</v>
      </c>
      <c r="AJ461" s="532" t="e">
        <f>IF(NFI_Expiration=1,IF(#REF!&lt;VLOOKUP(S$5,NFI,5,0),1,0)*Table_NFI[[#This Row],[Plastic Bucket]],Table_NFI[Plastic Bucket])</f>
        <v>#REF!</v>
      </c>
      <c r="AK461" s="532" t="e">
        <f>IF(NFI_Expiration=1,IF(#REF!&lt;VLOOKUP(T$5,NFI,5,0),1,0)*Table_NFI[[#This Row],[Plastic Mat]],Table_NFI[Plastic Mat])*IF(Table_NFI[[#This Row],[Distribution Date]]&gt;"2014-04-01",1,2.5)</f>
        <v>#REF!</v>
      </c>
      <c r="AL461" s="532" t="e">
        <f>IF(NFI_Expiration=1,IF(#REF!&lt;VLOOKUP(U$5,NFI,5,0),1,0)*Table_NFI[[#This Row],[Winter Clothes Adult]],Table_NFI[Winter Clothes Adult])</f>
        <v>#REF!</v>
      </c>
      <c r="AM461" s="532"/>
      <c r="AN461" s="532"/>
      <c r="AO461" s="532"/>
      <c r="AP461" s="532">
        <f>IF(Table_NFI[[#This Row],[Winter Clothes Adult]]+Table_NFI[[#This Row],[Winter Clothes Children]]+Table_NFI[[#This Row],[Winter Items Other]]+Table_NFI[[#This Row],[Winter Blanket]]&gt;0,1,0)</f>
        <v>1</v>
      </c>
      <c r="AQ461" s="532"/>
      <c r="AR461" s="532"/>
      <c r="AS461" s="532"/>
      <c r="AT461" s="532"/>
      <c r="AU461" s="532"/>
      <c r="AV461" s="532"/>
      <c r="AW461" s="532"/>
      <c r="AX461" s="203" t="str">
        <f>IFERROR(VLOOKUP(Table_NFI[[#This Row],[Location]],CL,2,0),"")</f>
        <v/>
      </c>
      <c r="AZ461" s="524"/>
      <c r="DS461" s="181"/>
      <c r="DT461" s="181"/>
    </row>
    <row r="462" spans="2:124" hidden="1" x14ac:dyDescent="0.3">
      <c r="B462" s="530">
        <v>43449</v>
      </c>
      <c r="C462" s="530" t="str">
        <f>MONTH(Table_NFI[[#This Row],[Distribution Date]]) &amp; "/" &amp; YEAR(Table_NFI[[#This Row],[Distribution Date]])</f>
        <v>12/2018</v>
      </c>
      <c r="D462" s="628" t="s">
        <v>1916</v>
      </c>
      <c r="E462" s="196"/>
      <c r="F462" s="196" t="s">
        <v>506</v>
      </c>
      <c r="G462" s="196" t="s">
        <v>1758</v>
      </c>
      <c r="H462" s="195" t="s">
        <v>1770</v>
      </c>
      <c r="I462" s="701"/>
      <c r="J462" s="531"/>
      <c r="K462" s="531"/>
      <c r="L462" s="531"/>
      <c r="M462" s="531"/>
      <c r="N462" s="531"/>
      <c r="O462" s="531"/>
      <c r="P462" s="531"/>
      <c r="Q462" s="531"/>
      <c r="R462" s="531"/>
      <c r="S462" s="531"/>
      <c r="T462" s="531">
        <v>122</v>
      </c>
      <c r="U462" s="531"/>
      <c r="V462" s="531"/>
      <c r="W462" s="531"/>
      <c r="X462" s="531">
        <v>122</v>
      </c>
      <c r="Y462" s="531"/>
      <c r="Z462" s="301">
        <v>61</v>
      </c>
      <c r="AA462" s="531"/>
      <c r="AB462" s="531"/>
      <c r="AC462" s="532" t="e">
        <f>IF(NFI_Expiration=1,IF(#REF!&lt;VLOOKUP(L$5,NFI,5,0),1,0)*Table_NFI[[#This Row],[NFI Core Kit]],Table_NFI[NFI Core Kit])</f>
        <v>#REF!</v>
      </c>
      <c r="AD462" s="532" t="e">
        <f>IF(NFI_Expiration=1,IF(#REF!&lt;VLOOKUP(M$5,NFI,5,0),1,0)*Table_NFI[[#This Row],[Sanitary Kit]],Table_NFI[Sanitary Kit])</f>
        <v>#REF!</v>
      </c>
      <c r="AE462" s="532" t="e">
        <f>IF(NFI_Expiration=1,IF(#REF!&lt;VLOOKUP(N$5,NFI,5,0),1,0)*Table_NFI[[#This Row],[Mosquito net]],Table_NFI[Mosquito net])</f>
        <v>#REF!</v>
      </c>
      <c r="AF462" s="532" t="e">
        <f>IF(NFI_Expiration=1,IF(#REF!&lt;VLOOKUP(O$5,NFI,5,0),1,0)*Table_NFI[[#This Row],[Tarpaulin]],Table_NFI[[#This Row],[Tarpaulin]])</f>
        <v>#REF!</v>
      </c>
      <c r="AG462" s="532" t="e">
        <f>IF(NFI_Expiration=1,IF(#REF!&lt;VLOOKUP(P$5,NFI,5,0),1,0)*Table_NFI[[#This Row],[Blanket]],Table_NFI[[#This Row],[Blanket]])</f>
        <v>#REF!</v>
      </c>
      <c r="AH462" s="532" t="e">
        <f>IF(NFI_Expiration=1,IF(#REF!&lt;VLOOKUP(Q$5,NFI,5,0),1,0)*Table_NFI[[#This Row],[Kitchen Set]],Table_NFI[Kitchen Set])</f>
        <v>#REF!</v>
      </c>
      <c r="AI462" s="532" t="e">
        <f>IF(NFI_Expiration=1,IF(#REF!&lt;VLOOKUP(R$5,NFI,5,0),1,0)*Table_NFI[[#This Row],[Clothes Kit]],Table_NFI[Clothes Kit])</f>
        <v>#REF!</v>
      </c>
      <c r="AJ462" s="532" t="e">
        <f>IF(NFI_Expiration=1,IF(#REF!&lt;VLOOKUP(S$5,NFI,5,0),1,0)*Table_NFI[[#This Row],[Plastic Bucket]],Table_NFI[Plastic Bucket])</f>
        <v>#REF!</v>
      </c>
      <c r="AK462" s="532" t="e">
        <f>IF(NFI_Expiration=1,IF(#REF!&lt;VLOOKUP(T$5,NFI,5,0),1,0)*Table_NFI[[#This Row],[Plastic Mat]],Table_NFI[Plastic Mat])*IF(Table_NFI[[#This Row],[Distribution Date]]&gt;"2014-04-01",1,2.5)</f>
        <v>#REF!</v>
      </c>
      <c r="AL462" s="532" t="e">
        <f>IF(NFI_Expiration=1,IF(#REF!&lt;VLOOKUP(U$5,NFI,5,0),1,0)*Table_NFI[[#This Row],[Winter Clothes Adult]],Table_NFI[Winter Clothes Adult])</f>
        <v>#REF!</v>
      </c>
      <c r="AM462" s="532"/>
      <c r="AN462" s="532"/>
      <c r="AO462" s="532"/>
      <c r="AP462" s="532">
        <f>IF(Table_NFI[[#This Row],[Winter Clothes Adult]]+Table_NFI[[#This Row],[Winter Clothes Children]]+Table_NFI[[#This Row],[Winter Items Other]]+Table_NFI[[#This Row],[Winter Blanket]]&gt;0,1,0)</f>
        <v>1</v>
      </c>
      <c r="AQ462" s="532"/>
      <c r="AR462" s="532"/>
      <c r="AS462" s="532"/>
      <c r="AT462" s="532"/>
      <c r="AU462" s="532"/>
      <c r="AV462" s="532"/>
      <c r="AW462" s="532"/>
      <c r="AX462" s="203" t="str">
        <f>IFERROR(VLOOKUP(Table_NFI[[#This Row],[Location]],CL,2,0),"")</f>
        <v/>
      </c>
      <c r="AZ462" s="524"/>
      <c r="DS462" s="181"/>
      <c r="DT462" s="181"/>
    </row>
    <row r="463" spans="2:124" hidden="1" x14ac:dyDescent="0.3">
      <c r="B463" s="530">
        <v>43449</v>
      </c>
      <c r="C463" s="530" t="str">
        <f>MONTH(Table_NFI[[#This Row],[Distribution Date]]) &amp; "/" &amp; YEAR(Table_NFI[[#This Row],[Distribution Date]])</f>
        <v>12/2018</v>
      </c>
      <c r="D463" s="628" t="s">
        <v>1916</v>
      </c>
      <c r="E463" s="196"/>
      <c r="F463" s="196" t="s">
        <v>506</v>
      </c>
      <c r="G463" s="196" t="s">
        <v>1758</v>
      </c>
      <c r="H463" s="195" t="s">
        <v>1771</v>
      </c>
      <c r="I463" s="701"/>
      <c r="J463" s="531"/>
      <c r="K463" s="531"/>
      <c r="L463" s="531"/>
      <c r="M463" s="531"/>
      <c r="N463" s="531"/>
      <c r="O463" s="531"/>
      <c r="P463" s="531"/>
      <c r="Q463" s="531"/>
      <c r="R463" s="531"/>
      <c r="S463" s="531"/>
      <c r="T463" s="531">
        <v>220</v>
      </c>
      <c r="U463" s="531"/>
      <c r="V463" s="531"/>
      <c r="W463" s="531"/>
      <c r="X463" s="531">
        <v>220</v>
      </c>
      <c r="Y463" s="531"/>
      <c r="Z463" s="3">
        <v>110</v>
      </c>
      <c r="AA463" s="531"/>
      <c r="AB463" s="531"/>
      <c r="AC463" s="532" t="e">
        <f>IF(NFI_Expiration=1,IF(#REF!&lt;VLOOKUP(L$5,NFI,5,0),1,0)*Table_NFI[[#This Row],[NFI Core Kit]],Table_NFI[NFI Core Kit])</f>
        <v>#REF!</v>
      </c>
      <c r="AD463" s="532" t="e">
        <f>IF(NFI_Expiration=1,IF(#REF!&lt;VLOOKUP(M$5,NFI,5,0),1,0)*Table_NFI[[#This Row],[Sanitary Kit]],Table_NFI[Sanitary Kit])</f>
        <v>#REF!</v>
      </c>
      <c r="AE463" s="532" t="e">
        <f>IF(NFI_Expiration=1,IF(#REF!&lt;VLOOKUP(N$5,NFI,5,0),1,0)*Table_NFI[[#This Row],[Mosquito net]],Table_NFI[Mosquito net])</f>
        <v>#REF!</v>
      </c>
      <c r="AF463" s="532" t="e">
        <f>IF(NFI_Expiration=1,IF(#REF!&lt;VLOOKUP(O$5,NFI,5,0),1,0)*Table_NFI[[#This Row],[Tarpaulin]],Table_NFI[[#This Row],[Tarpaulin]])</f>
        <v>#REF!</v>
      </c>
      <c r="AG463" s="532" t="e">
        <f>IF(NFI_Expiration=1,IF(#REF!&lt;VLOOKUP(P$5,NFI,5,0),1,0)*Table_NFI[[#This Row],[Blanket]],Table_NFI[[#This Row],[Blanket]])</f>
        <v>#REF!</v>
      </c>
      <c r="AH463" s="532" t="e">
        <f>IF(NFI_Expiration=1,IF(#REF!&lt;VLOOKUP(Q$5,NFI,5,0),1,0)*Table_NFI[[#This Row],[Kitchen Set]],Table_NFI[Kitchen Set])</f>
        <v>#REF!</v>
      </c>
      <c r="AI463" s="532" t="e">
        <f>IF(NFI_Expiration=1,IF(#REF!&lt;VLOOKUP(R$5,NFI,5,0),1,0)*Table_NFI[[#This Row],[Clothes Kit]],Table_NFI[Clothes Kit])</f>
        <v>#REF!</v>
      </c>
      <c r="AJ463" s="532" t="e">
        <f>IF(NFI_Expiration=1,IF(#REF!&lt;VLOOKUP(S$5,NFI,5,0),1,0)*Table_NFI[[#This Row],[Plastic Bucket]],Table_NFI[Plastic Bucket])</f>
        <v>#REF!</v>
      </c>
      <c r="AK463" s="532" t="e">
        <f>IF(NFI_Expiration=1,IF(#REF!&lt;VLOOKUP(T$5,NFI,5,0),1,0)*Table_NFI[[#This Row],[Plastic Mat]],Table_NFI[Plastic Mat])*IF(Table_NFI[[#This Row],[Distribution Date]]&gt;"2014-04-01",1,2.5)</f>
        <v>#REF!</v>
      </c>
      <c r="AL463" s="532" t="e">
        <f>IF(NFI_Expiration=1,IF(#REF!&lt;VLOOKUP(U$5,NFI,5,0),1,0)*Table_NFI[[#This Row],[Winter Clothes Adult]],Table_NFI[Winter Clothes Adult])</f>
        <v>#REF!</v>
      </c>
      <c r="AM463" s="532"/>
      <c r="AN463" s="532"/>
      <c r="AO463" s="532"/>
      <c r="AP463" s="532">
        <f>IF(Table_NFI[[#This Row],[Winter Clothes Adult]]+Table_NFI[[#This Row],[Winter Clothes Children]]+Table_NFI[[#This Row],[Winter Items Other]]+Table_NFI[[#This Row],[Winter Blanket]]&gt;0,1,0)</f>
        <v>1</v>
      </c>
      <c r="AQ463" s="532"/>
      <c r="AR463" s="532"/>
      <c r="AS463" s="532"/>
      <c r="AT463" s="532"/>
      <c r="AU463" s="532"/>
      <c r="AV463" s="532"/>
      <c r="AW463" s="532"/>
      <c r="AX463" s="203" t="str">
        <f>IFERROR(VLOOKUP(Table_NFI[[#This Row],[Location]],CL,2,0),"")</f>
        <v/>
      </c>
      <c r="AZ463" s="524"/>
      <c r="DS463" s="181"/>
      <c r="DT463" s="181"/>
    </row>
    <row r="464" spans="2:124" hidden="1" x14ac:dyDescent="0.3">
      <c r="B464" s="530">
        <v>43410</v>
      </c>
      <c r="C464" s="530" t="str">
        <f>MONTH(Table_NFI[[#This Row],[Distribution Date]]) &amp; "/" &amp; YEAR(Table_NFI[[#This Row],[Distribution Date]])</f>
        <v>11/2018</v>
      </c>
      <c r="D464" s="196" t="s">
        <v>1452</v>
      </c>
      <c r="E464" s="196"/>
      <c r="F464" s="196" t="s">
        <v>506</v>
      </c>
      <c r="G464" s="196" t="s">
        <v>166</v>
      </c>
      <c r="H464" s="195" t="s">
        <v>167</v>
      </c>
      <c r="I464" s="701"/>
      <c r="J464" s="531"/>
      <c r="K464" s="531"/>
      <c r="L464" s="531">
        <v>1</v>
      </c>
      <c r="M464" s="531"/>
      <c r="N464" s="531">
        <v>1</v>
      </c>
      <c r="O464" s="531"/>
      <c r="P464" s="531">
        <v>1</v>
      </c>
      <c r="Q464" s="531"/>
      <c r="R464" s="531"/>
      <c r="S464" s="531"/>
      <c r="T464" s="531">
        <v>1</v>
      </c>
      <c r="U464" s="531"/>
      <c r="V464" s="531"/>
      <c r="W464" s="531">
        <v>1</v>
      </c>
      <c r="X464" s="531"/>
      <c r="Y464" s="531"/>
      <c r="Z464" s="702"/>
      <c r="AA464" s="531"/>
      <c r="AB464" s="531"/>
      <c r="AC464" s="532" t="e">
        <f>IF(NFI_Expiration=1,IF(#REF!&lt;VLOOKUP(L$5,NFI,5,0),1,0)*Table_NFI[[#This Row],[NFI Core Kit]],Table_NFI[NFI Core Kit])</f>
        <v>#REF!</v>
      </c>
      <c r="AD464" s="532" t="e">
        <f>IF(NFI_Expiration=1,IF(#REF!&lt;VLOOKUP(M$5,NFI,5,0),1,0)*Table_NFI[[#This Row],[Sanitary Kit]],Table_NFI[Sanitary Kit])</f>
        <v>#REF!</v>
      </c>
      <c r="AE464" s="532" t="e">
        <f>IF(NFI_Expiration=1,IF(#REF!&lt;VLOOKUP(N$5,NFI,5,0),1,0)*Table_NFI[[#This Row],[Mosquito net]],Table_NFI[Mosquito net])</f>
        <v>#REF!</v>
      </c>
      <c r="AF464" s="532" t="e">
        <f>IF(NFI_Expiration=1,IF(#REF!&lt;VLOOKUP(O$5,NFI,5,0),1,0)*Table_NFI[[#This Row],[Tarpaulin]],Table_NFI[[#This Row],[Tarpaulin]])</f>
        <v>#REF!</v>
      </c>
      <c r="AG464" s="532" t="e">
        <f>IF(NFI_Expiration=1,IF(#REF!&lt;VLOOKUP(P$5,NFI,5,0),1,0)*Table_NFI[[#This Row],[Blanket]],Table_NFI[[#This Row],[Blanket]])</f>
        <v>#REF!</v>
      </c>
      <c r="AH464" s="532" t="e">
        <f>IF(NFI_Expiration=1,IF(#REF!&lt;VLOOKUP(Q$5,NFI,5,0),1,0)*Table_NFI[[#This Row],[Kitchen Set]],Table_NFI[Kitchen Set])</f>
        <v>#REF!</v>
      </c>
      <c r="AI464" s="532" t="e">
        <f>IF(NFI_Expiration=1,IF(#REF!&lt;VLOOKUP(R$5,NFI,5,0),1,0)*Table_NFI[[#This Row],[Clothes Kit]],Table_NFI[Clothes Kit])</f>
        <v>#REF!</v>
      </c>
      <c r="AJ464" s="532" t="e">
        <f>IF(NFI_Expiration=1,IF(#REF!&lt;VLOOKUP(S$5,NFI,5,0),1,0)*Table_NFI[[#This Row],[Plastic Bucket]],Table_NFI[Plastic Bucket])</f>
        <v>#REF!</v>
      </c>
      <c r="AK464" s="532" t="e">
        <f>IF(NFI_Expiration=1,IF(#REF!&lt;VLOOKUP(T$5,NFI,5,0),1,0)*Table_NFI[[#This Row],[Plastic Mat]],Table_NFI[Plastic Mat])*IF(Table_NFI[[#This Row],[Distribution Date]]&gt;"2014-04-01",1,2.5)</f>
        <v>#REF!</v>
      </c>
      <c r="AL464" s="532" t="e">
        <f>IF(NFI_Expiration=1,IF(#REF!&lt;VLOOKUP(U$5,NFI,5,0),1,0)*Table_NFI[[#This Row],[Winter Clothes Adult]],Table_NFI[Winter Clothes Adult])</f>
        <v>#REF!</v>
      </c>
      <c r="AM464" s="532"/>
      <c r="AN464" s="532"/>
      <c r="AO464" s="532"/>
      <c r="AP464" s="532">
        <f>IF(Table_NFI[[#This Row],[Winter Clothes Adult]]+Table_NFI[[#This Row],[Winter Clothes Children]]+Table_NFI[[#This Row],[Winter Items Other]]+Table_NFI[[#This Row],[Winter Blanket]]&gt;0,1,0)</f>
        <v>1</v>
      </c>
      <c r="AQ464" s="532"/>
      <c r="AR464" s="532"/>
      <c r="AS464" s="532"/>
      <c r="AT464" s="532"/>
      <c r="AU464" s="532"/>
      <c r="AV464" s="532"/>
      <c r="AW464" s="532"/>
      <c r="AX464" s="203" t="str">
        <f>IFERROR(VLOOKUP(Table_NFI[[#This Row],[Location]],CL,2,0),"")</f>
        <v>MMR015CMP009</v>
      </c>
      <c r="AZ464" s="524"/>
      <c r="DS464" s="181"/>
      <c r="DT464" s="181"/>
    </row>
    <row r="465" spans="2:124" hidden="1" x14ac:dyDescent="0.3">
      <c r="B465" s="530">
        <v>43410</v>
      </c>
      <c r="C465" s="530" t="str">
        <f>MONTH(Table_NFI[[#This Row],[Distribution Date]]) &amp; "/" &amp; YEAR(Table_NFI[[#This Row],[Distribution Date]])</f>
        <v>11/2018</v>
      </c>
      <c r="D465" s="196" t="s">
        <v>1452</v>
      </c>
      <c r="E465" s="196"/>
      <c r="F465" s="196" t="s">
        <v>506</v>
      </c>
      <c r="G465" s="196" t="s">
        <v>1773</v>
      </c>
      <c r="H465" s="195" t="s">
        <v>1237</v>
      </c>
      <c r="I465" s="701"/>
      <c r="J465" s="531"/>
      <c r="K465" s="531"/>
      <c r="L465" s="531"/>
      <c r="M465" s="531"/>
      <c r="N465" s="531"/>
      <c r="O465" s="531"/>
      <c r="P465" s="531"/>
      <c r="Q465" s="531"/>
      <c r="R465" s="531"/>
      <c r="S465" s="531"/>
      <c r="T465" s="531"/>
      <c r="U465" s="531"/>
      <c r="V465" s="531"/>
      <c r="W465" s="531"/>
      <c r="X465" s="531"/>
      <c r="Y465" s="531"/>
      <c r="Z465" s="702">
        <v>1</v>
      </c>
      <c r="AA465" s="531"/>
      <c r="AB465" s="531"/>
      <c r="AC465" s="532" t="e">
        <f>IF(NFI_Expiration=1,IF(#REF!&lt;VLOOKUP(L$5,NFI,5,0),1,0)*Table_NFI[[#This Row],[NFI Core Kit]],Table_NFI[NFI Core Kit])</f>
        <v>#REF!</v>
      </c>
      <c r="AD465" s="532" t="e">
        <f>IF(NFI_Expiration=1,IF(#REF!&lt;VLOOKUP(M$5,NFI,5,0),1,0)*Table_NFI[[#This Row],[Sanitary Kit]],Table_NFI[Sanitary Kit])</f>
        <v>#REF!</v>
      </c>
      <c r="AE465" s="532" t="e">
        <f>IF(NFI_Expiration=1,IF(#REF!&lt;VLOOKUP(N$5,NFI,5,0),1,0)*Table_NFI[[#This Row],[Mosquito net]],Table_NFI[Mosquito net])</f>
        <v>#REF!</v>
      </c>
      <c r="AF465" s="532" t="e">
        <f>IF(NFI_Expiration=1,IF(#REF!&lt;VLOOKUP(O$5,NFI,5,0),1,0)*Table_NFI[[#This Row],[Tarpaulin]],Table_NFI[[#This Row],[Tarpaulin]])</f>
        <v>#REF!</v>
      </c>
      <c r="AG465" s="532" t="e">
        <f>IF(NFI_Expiration=1,IF(#REF!&lt;VLOOKUP(P$5,NFI,5,0),1,0)*Table_NFI[[#This Row],[Blanket]],Table_NFI[[#This Row],[Blanket]])</f>
        <v>#REF!</v>
      </c>
      <c r="AH465" s="532" t="e">
        <f>IF(NFI_Expiration=1,IF(#REF!&lt;VLOOKUP(Q$5,NFI,5,0),1,0)*Table_NFI[[#This Row],[Kitchen Set]],Table_NFI[Kitchen Set])</f>
        <v>#REF!</v>
      </c>
      <c r="AI465" s="532" t="e">
        <f>IF(NFI_Expiration=1,IF(#REF!&lt;VLOOKUP(R$5,NFI,5,0),1,0)*Table_NFI[[#This Row],[Clothes Kit]],Table_NFI[Clothes Kit])</f>
        <v>#REF!</v>
      </c>
      <c r="AJ465" s="532" t="e">
        <f>IF(NFI_Expiration=1,IF(#REF!&lt;VLOOKUP(S$5,NFI,5,0),1,0)*Table_NFI[[#This Row],[Plastic Bucket]],Table_NFI[Plastic Bucket])</f>
        <v>#REF!</v>
      </c>
      <c r="AK465" s="532" t="e">
        <f>IF(NFI_Expiration=1,IF(#REF!&lt;VLOOKUP(T$5,NFI,5,0),1,0)*Table_NFI[[#This Row],[Plastic Mat]],Table_NFI[Plastic Mat])*IF(Table_NFI[[#This Row],[Distribution Date]]&gt;"2014-04-01",1,2.5)</f>
        <v>#REF!</v>
      </c>
      <c r="AL465" s="532" t="e">
        <f>IF(NFI_Expiration=1,IF(#REF!&lt;VLOOKUP(U$5,NFI,5,0),1,0)*Table_NFI[[#This Row],[Winter Clothes Adult]],Table_NFI[Winter Clothes Adult])</f>
        <v>#REF!</v>
      </c>
      <c r="AM465" s="532"/>
      <c r="AN465" s="532"/>
      <c r="AO465" s="532"/>
      <c r="AP465" s="532">
        <f>IF(Table_NFI[[#This Row],[Winter Clothes Adult]]+Table_NFI[[#This Row],[Winter Clothes Children]]+Table_NFI[[#This Row],[Winter Items Other]]+Table_NFI[[#This Row],[Winter Blanket]]&gt;0,1,0)</f>
        <v>0</v>
      </c>
      <c r="AQ465" s="532"/>
      <c r="AR465" s="532"/>
      <c r="AS465" s="532"/>
      <c r="AT465" s="532"/>
      <c r="AU465" s="532"/>
      <c r="AV465" s="532"/>
      <c r="AW465" s="532"/>
      <c r="AX465" s="203" t="str">
        <f>IFERROR(VLOOKUP(Table_NFI[[#This Row],[Location]],CL,2,0),"")</f>
        <v>MMR015CMP246</v>
      </c>
      <c r="AZ465" s="524"/>
      <c r="DS465" s="181"/>
      <c r="DT465" s="181"/>
    </row>
    <row r="466" spans="2:124" hidden="1" x14ac:dyDescent="0.3">
      <c r="B466" s="530">
        <v>43411</v>
      </c>
      <c r="C466" s="530" t="str">
        <f>MONTH(Table_NFI[[#This Row],[Distribution Date]]) &amp; "/" &amp; YEAR(Table_NFI[[#This Row],[Distribution Date]])</f>
        <v>11/2018</v>
      </c>
      <c r="D466" s="196" t="s">
        <v>1452</v>
      </c>
      <c r="E466" s="196"/>
      <c r="F466" s="196" t="s">
        <v>506</v>
      </c>
      <c r="G466" s="196" t="s">
        <v>1774</v>
      </c>
      <c r="H466" s="703" t="s">
        <v>1128</v>
      </c>
      <c r="I466" s="210">
        <v>8</v>
      </c>
      <c r="J466" s="531"/>
      <c r="K466" s="531"/>
      <c r="L466" s="531"/>
      <c r="M466" s="531"/>
      <c r="N466" s="531"/>
      <c r="O466" s="531"/>
      <c r="P466" s="531"/>
      <c r="Q466" s="531"/>
      <c r="R466" s="531"/>
      <c r="S466" s="531"/>
      <c r="T466" s="531"/>
      <c r="U466" s="531"/>
      <c r="V466" s="531"/>
      <c r="W466" s="531"/>
      <c r="X466" s="531"/>
      <c r="Y466" s="531"/>
      <c r="Z466" s="702"/>
      <c r="AA466" s="531"/>
      <c r="AB466" s="531"/>
      <c r="AC466" s="532" t="e">
        <f>IF(NFI_Expiration=1,IF(#REF!&lt;VLOOKUP(L$5,NFI,5,0),1,0)*Table_NFI[[#This Row],[NFI Core Kit]],Table_NFI[NFI Core Kit])</f>
        <v>#REF!</v>
      </c>
      <c r="AD466" s="532" t="e">
        <f>IF(NFI_Expiration=1,IF(#REF!&lt;VLOOKUP(M$5,NFI,5,0),1,0)*Table_NFI[[#This Row],[Sanitary Kit]],Table_NFI[Sanitary Kit])</f>
        <v>#REF!</v>
      </c>
      <c r="AE466" s="532" t="e">
        <f>IF(NFI_Expiration=1,IF(#REF!&lt;VLOOKUP(N$5,NFI,5,0),1,0)*Table_NFI[[#This Row],[Mosquito net]],Table_NFI[Mosquito net])</f>
        <v>#REF!</v>
      </c>
      <c r="AF466" s="532" t="e">
        <f>IF(NFI_Expiration=1,IF(#REF!&lt;VLOOKUP(O$5,NFI,5,0),1,0)*Table_NFI[[#This Row],[Tarpaulin]],Table_NFI[[#This Row],[Tarpaulin]])</f>
        <v>#REF!</v>
      </c>
      <c r="AG466" s="532" t="e">
        <f>IF(NFI_Expiration=1,IF(#REF!&lt;VLOOKUP(P$5,NFI,5,0),1,0)*Table_NFI[[#This Row],[Blanket]],Table_NFI[[#This Row],[Blanket]])</f>
        <v>#REF!</v>
      </c>
      <c r="AH466" s="532" t="e">
        <f>IF(NFI_Expiration=1,IF(#REF!&lt;VLOOKUP(Q$5,NFI,5,0),1,0)*Table_NFI[[#This Row],[Kitchen Set]],Table_NFI[Kitchen Set])</f>
        <v>#REF!</v>
      </c>
      <c r="AI466" s="532" t="e">
        <f>IF(NFI_Expiration=1,IF(#REF!&lt;VLOOKUP(R$5,NFI,5,0),1,0)*Table_NFI[[#This Row],[Clothes Kit]],Table_NFI[Clothes Kit])</f>
        <v>#REF!</v>
      </c>
      <c r="AJ466" s="532" t="e">
        <f>IF(NFI_Expiration=1,IF(#REF!&lt;VLOOKUP(S$5,NFI,5,0),1,0)*Table_NFI[[#This Row],[Plastic Bucket]],Table_NFI[Plastic Bucket])</f>
        <v>#REF!</v>
      </c>
      <c r="AK466" s="532" t="e">
        <f>IF(NFI_Expiration=1,IF(#REF!&lt;VLOOKUP(T$5,NFI,5,0),1,0)*Table_NFI[[#This Row],[Plastic Mat]],Table_NFI[Plastic Mat])*IF(Table_NFI[[#This Row],[Distribution Date]]&gt;"2014-04-01",1,2.5)</f>
        <v>#REF!</v>
      </c>
      <c r="AL466" s="532" t="e">
        <f>IF(NFI_Expiration=1,IF(#REF!&lt;VLOOKUP(U$5,NFI,5,0),1,0)*Table_NFI[[#This Row],[Winter Clothes Adult]],Table_NFI[Winter Clothes Adult])</f>
        <v>#REF!</v>
      </c>
      <c r="AM466" s="532"/>
      <c r="AN466" s="532"/>
      <c r="AO466" s="532"/>
      <c r="AP466" s="532">
        <f>IF(Table_NFI[[#This Row],[Winter Clothes Adult]]+Table_NFI[[#This Row],[Winter Clothes Children]]+Table_NFI[[#This Row],[Winter Items Other]]+Table_NFI[[#This Row],[Winter Blanket]]&gt;0,1,0)</f>
        <v>0</v>
      </c>
      <c r="AQ466" s="532"/>
      <c r="AR466" s="532"/>
      <c r="AS466" s="532"/>
      <c r="AT466" s="532"/>
      <c r="AU466" s="532"/>
      <c r="AV466" s="532"/>
      <c r="AW466" s="532"/>
      <c r="AX466" s="203" t="str">
        <f>IFERROR(VLOOKUP(Table_NFI[[#This Row],[Location]],CL,2,0),"")</f>
        <v>MMR015CMP224</v>
      </c>
      <c r="AZ466" s="524"/>
      <c r="DS466" s="181"/>
      <c r="DT466" s="181"/>
    </row>
    <row r="467" spans="2:124" hidden="1" x14ac:dyDescent="0.3">
      <c r="B467" s="530">
        <v>43411</v>
      </c>
      <c r="C467" s="530" t="str">
        <f>MONTH(Table_NFI[[#This Row],[Distribution Date]]) &amp; "/" &amp; YEAR(Table_NFI[[#This Row],[Distribution Date]])</f>
        <v>11/2018</v>
      </c>
      <c r="D467" s="196" t="s">
        <v>1452</v>
      </c>
      <c r="E467" s="196"/>
      <c r="F467" s="196" t="s">
        <v>506</v>
      </c>
      <c r="G467" s="196" t="s">
        <v>230</v>
      </c>
      <c r="H467" s="705" t="s">
        <v>911</v>
      </c>
      <c r="I467" s="701"/>
      <c r="J467" s="531"/>
      <c r="K467" s="531"/>
      <c r="L467" s="531">
        <v>1</v>
      </c>
      <c r="M467" s="531"/>
      <c r="N467" s="531"/>
      <c r="O467" s="531"/>
      <c r="P467" s="531">
        <v>1</v>
      </c>
      <c r="Q467" s="531"/>
      <c r="R467" s="531"/>
      <c r="S467" s="531"/>
      <c r="T467" s="531">
        <v>1</v>
      </c>
      <c r="U467" s="531"/>
      <c r="V467" s="531"/>
      <c r="W467" s="531">
        <v>1</v>
      </c>
      <c r="X467" s="531"/>
      <c r="Y467" s="531"/>
      <c r="Z467" s="702"/>
      <c r="AA467" s="531"/>
      <c r="AB467" s="531"/>
      <c r="AC467" s="532" t="e">
        <f>IF(NFI_Expiration=1,IF(#REF!&lt;VLOOKUP(L$5,NFI,5,0),1,0)*Table_NFI[[#This Row],[NFI Core Kit]],Table_NFI[NFI Core Kit])</f>
        <v>#REF!</v>
      </c>
      <c r="AD467" s="532" t="e">
        <f>IF(NFI_Expiration=1,IF(#REF!&lt;VLOOKUP(M$5,NFI,5,0),1,0)*Table_NFI[[#This Row],[Sanitary Kit]],Table_NFI[Sanitary Kit])</f>
        <v>#REF!</v>
      </c>
      <c r="AE467" s="532" t="e">
        <f>IF(NFI_Expiration=1,IF(#REF!&lt;VLOOKUP(N$5,NFI,5,0),1,0)*Table_NFI[[#This Row],[Mosquito net]],Table_NFI[Mosquito net])</f>
        <v>#REF!</v>
      </c>
      <c r="AF467" s="532" t="e">
        <f>IF(NFI_Expiration=1,IF(#REF!&lt;VLOOKUP(O$5,NFI,5,0),1,0)*Table_NFI[[#This Row],[Tarpaulin]],Table_NFI[[#This Row],[Tarpaulin]])</f>
        <v>#REF!</v>
      </c>
      <c r="AG467" s="532" t="e">
        <f>IF(NFI_Expiration=1,IF(#REF!&lt;VLOOKUP(P$5,NFI,5,0),1,0)*Table_NFI[[#This Row],[Blanket]],Table_NFI[[#This Row],[Blanket]])</f>
        <v>#REF!</v>
      </c>
      <c r="AH467" s="532" t="e">
        <f>IF(NFI_Expiration=1,IF(#REF!&lt;VLOOKUP(Q$5,NFI,5,0),1,0)*Table_NFI[[#This Row],[Kitchen Set]],Table_NFI[Kitchen Set])</f>
        <v>#REF!</v>
      </c>
      <c r="AI467" s="532" t="e">
        <f>IF(NFI_Expiration=1,IF(#REF!&lt;VLOOKUP(R$5,NFI,5,0),1,0)*Table_NFI[[#This Row],[Clothes Kit]],Table_NFI[Clothes Kit])</f>
        <v>#REF!</v>
      </c>
      <c r="AJ467" s="532" t="e">
        <f>IF(NFI_Expiration=1,IF(#REF!&lt;VLOOKUP(S$5,NFI,5,0),1,0)*Table_NFI[[#This Row],[Plastic Bucket]],Table_NFI[Plastic Bucket])</f>
        <v>#REF!</v>
      </c>
      <c r="AK467" s="532" t="e">
        <f>IF(NFI_Expiration=1,IF(#REF!&lt;VLOOKUP(T$5,NFI,5,0),1,0)*Table_NFI[[#This Row],[Plastic Mat]],Table_NFI[Plastic Mat])*IF(Table_NFI[[#This Row],[Distribution Date]]&gt;"2014-04-01",1,2.5)</f>
        <v>#REF!</v>
      </c>
      <c r="AL467" s="532" t="e">
        <f>IF(NFI_Expiration=1,IF(#REF!&lt;VLOOKUP(U$5,NFI,5,0),1,0)*Table_NFI[[#This Row],[Winter Clothes Adult]],Table_NFI[Winter Clothes Adult])</f>
        <v>#REF!</v>
      </c>
      <c r="AM467" s="532"/>
      <c r="AN467" s="532"/>
      <c r="AO467" s="532"/>
      <c r="AP467" s="532">
        <f>IF(Table_NFI[[#This Row],[Winter Clothes Adult]]+Table_NFI[[#This Row],[Winter Clothes Children]]+Table_NFI[[#This Row],[Winter Items Other]]+Table_NFI[[#This Row],[Winter Blanket]]&gt;0,1,0)</f>
        <v>1</v>
      </c>
      <c r="AQ467" s="532"/>
      <c r="AR467" s="532"/>
      <c r="AS467" s="532"/>
      <c r="AT467" s="532"/>
      <c r="AU467" s="532"/>
      <c r="AV467" s="532"/>
      <c r="AW467" s="532"/>
      <c r="AX467" s="203" t="str">
        <f>IFERROR(VLOOKUP(Table_NFI[[#This Row],[Location]],CL,2,0),"")</f>
        <v>MMR015CMP216</v>
      </c>
      <c r="AZ467" s="524"/>
      <c r="DS467" s="181"/>
      <c r="DT467" s="181"/>
    </row>
    <row r="468" spans="2:124" hidden="1" x14ac:dyDescent="0.3">
      <c r="B468" s="530">
        <v>43411</v>
      </c>
      <c r="C468" s="530" t="str">
        <f>MONTH(Table_NFI[[#This Row],[Distribution Date]]) &amp; "/" &amp; YEAR(Table_NFI[[#This Row],[Distribution Date]])</f>
        <v>11/2018</v>
      </c>
      <c r="D468" s="196" t="s">
        <v>1452</v>
      </c>
      <c r="E468" s="196"/>
      <c r="F468" s="196" t="s">
        <v>506</v>
      </c>
      <c r="G468" s="196" t="s">
        <v>230</v>
      </c>
      <c r="H468" s="704" t="s">
        <v>911</v>
      </c>
      <c r="I468" s="701"/>
      <c r="J468" s="531"/>
      <c r="K468" s="531"/>
      <c r="L468" s="531"/>
      <c r="M468" s="531"/>
      <c r="N468" s="531"/>
      <c r="O468" s="531"/>
      <c r="P468" s="531"/>
      <c r="Q468" s="531"/>
      <c r="R468" s="531">
        <v>17</v>
      </c>
      <c r="S468" s="531">
        <v>17</v>
      </c>
      <c r="T468" s="531">
        <v>17</v>
      </c>
      <c r="U468" s="531"/>
      <c r="V468" s="531">
        <v>17</v>
      </c>
      <c r="W468" s="531"/>
      <c r="X468" s="531"/>
      <c r="Y468" s="531"/>
      <c r="Z468" s="702"/>
      <c r="AA468" s="531"/>
      <c r="AB468" s="531"/>
      <c r="AC468" s="532" t="e">
        <f>IF(NFI_Expiration=1,IF(#REF!&lt;VLOOKUP(L$5,NFI,5,0),1,0)*Table_NFI[[#This Row],[NFI Core Kit]],Table_NFI[NFI Core Kit])</f>
        <v>#REF!</v>
      </c>
      <c r="AD468" s="532" t="e">
        <f>IF(NFI_Expiration=1,IF(#REF!&lt;VLOOKUP(M$5,NFI,5,0),1,0)*Table_NFI[[#This Row],[Sanitary Kit]],Table_NFI[Sanitary Kit])</f>
        <v>#REF!</v>
      </c>
      <c r="AE468" s="532" t="e">
        <f>IF(NFI_Expiration=1,IF(#REF!&lt;VLOOKUP(N$5,NFI,5,0),1,0)*Table_NFI[[#This Row],[Mosquito net]],Table_NFI[Mosquito net])</f>
        <v>#REF!</v>
      </c>
      <c r="AF468" s="532" t="e">
        <f>IF(NFI_Expiration=1,IF(#REF!&lt;VLOOKUP(O$5,NFI,5,0),1,0)*Table_NFI[[#This Row],[Tarpaulin]],Table_NFI[[#This Row],[Tarpaulin]])</f>
        <v>#REF!</v>
      </c>
      <c r="AG468" s="532" t="e">
        <f>IF(NFI_Expiration=1,IF(#REF!&lt;VLOOKUP(P$5,NFI,5,0),1,0)*Table_NFI[[#This Row],[Blanket]],Table_NFI[[#This Row],[Blanket]])</f>
        <v>#REF!</v>
      </c>
      <c r="AH468" s="532" t="e">
        <f>IF(NFI_Expiration=1,IF(#REF!&lt;VLOOKUP(Q$5,NFI,5,0),1,0)*Table_NFI[[#This Row],[Kitchen Set]],Table_NFI[Kitchen Set])</f>
        <v>#REF!</v>
      </c>
      <c r="AI468" s="532" t="e">
        <f>IF(NFI_Expiration=1,IF(#REF!&lt;VLOOKUP(R$5,NFI,5,0),1,0)*Table_NFI[[#This Row],[Clothes Kit]],Table_NFI[Clothes Kit])</f>
        <v>#REF!</v>
      </c>
      <c r="AJ468" s="532" t="e">
        <f>IF(NFI_Expiration=1,IF(#REF!&lt;VLOOKUP(S$5,NFI,5,0),1,0)*Table_NFI[[#This Row],[Plastic Bucket]],Table_NFI[Plastic Bucket])</f>
        <v>#REF!</v>
      </c>
      <c r="AK468" s="532" t="e">
        <f>IF(NFI_Expiration=1,IF(#REF!&lt;VLOOKUP(T$5,NFI,5,0),1,0)*Table_NFI[[#This Row],[Plastic Mat]],Table_NFI[Plastic Mat])*IF(Table_NFI[[#This Row],[Distribution Date]]&gt;"2014-04-01",1,2.5)</f>
        <v>#REF!</v>
      </c>
      <c r="AL468" s="532" t="e">
        <f>IF(NFI_Expiration=1,IF(#REF!&lt;VLOOKUP(U$5,NFI,5,0),1,0)*Table_NFI[[#This Row],[Winter Clothes Adult]],Table_NFI[Winter Clothes Adult])</f>
        <v>#REF!</v>
      </c>
      <c r="AM468" s="532"/>
      <c r="AN468" s="532"/>
      <c r="AO468" s="532"/>
      <c r="AP468" s="532">
        <f>IF(Table_NFI[[#This Row],[Winter Clothes Adult]]+Table_NFI[[#This Row],[Winter Clothes Children]]+Table_NFI[[#This Row],[Winter Items Other]]+Table_NFI[[#This Row],[Winter Blanket]]&gt;0,1,0)</f>
        <v>1</v>
      </c>
      <c r="AQ468" s="532"/>
      <c r="AR468" s="532"/>
      <c r="AS468" s="532"/>
      <c r="AT468" s="532"/>
      <c r="AU468" s="532"/>
      <c r="AV468" s="532"/>
      <c r="AW468" s="532"/>
      <c r="AX468" s="203" t="str">
        <f>IFERROR(VLOOKUP(Table_NFI[[#This Row],[Location]],CL,2,0),"")</f>
        <v>MMR015CMP216</v>
      </c>
      <c r="AZ468" s="524"/>
      <c r="DS468" s="181"/>
      <c r="DT468" s="181"/>
    </row>
    <row r="469" spans="2:124" hidden="1" x14ac:dyDescent="0.3">
      <c r="B469" s="530">
        <v>43412</v>
      </c>
      <c r="C469" s="530" t="str">
        <f>MONTH(Table_NFI[[#This Row],[Distribution Date]]) &amp; "/" &amp; YEAR(Table_NFI[[#This Row],[Distribution Date]])</f>
        <v>11/2018</v>
      </c>
      <c r="D469" s="196" t="s">
        <v>1452</v>
      </c>
      <c r="E469" s="196"/>
      <c r="F469" s="196" t="s">
        <v>506</v>
      </c>
      <c r="G469" s="196" t="s">
        <v>297</v>
      </c>
      <c r="H469" s="706" t="s">
        <v>1135</v>
      </c>
      <c r="I469" s="701">
        <v>17</v>
      </c>
      <c r="J469" s="531"/>
      <c r="K469" s="531"/>
      <c r="L469" s="531"/>
      <c r="M469" s="531"/>
      <c r="N469" s="531"/>
      <c r="O469" s="531"/>
      <c r="P469" s="531"/>
      <c r="Q469" s="531"/>
      <c r="R469" s="531"/>
      <c r="S469" s="531"/>
      <c r="T469" s="531"/>
      <c r="U469" s="531"/>
      <c r="V469" s="531"/>
      <c r="W469" s="531"/>
      <c r="X469" s="531"/>
      <c r="Y469" s="531"/>
      <c r="Z469" s="702"/>
      <c r="AA469" s="531">
        <v>1</v>
      </c>
      <c r="AB469" s="531"/>
      <c r="AC469" s="532" t="e">
        <f>IF(NFI_Expiration=1,IF(#REF!&lt;VLOOKUP(L$5,NFI,5,0),1,0)*Table_NFI[[#This Row],[NFI Core Kit]],Table_NFI[NFI Core Kit])</f>
        <v>#REF!</v>
      </c>
      <c r="AD469" s="532" t="e">
        <f>IF(NFI_Expiration=1,IF(#REF!&lt;VLOOKUP(M$5,NFI,5,0),1,0)*Table_NFI[[#This Row],[Sanitary Kit]],Table_NFI[Sanitary Kit])</f>
        <v>#REF!</v>
      </c>
      <c r="AE469" s="532" t="e">
        <f>IF(NFI_Expiration=1,IF(#REF!&lt;VLOOKUP(N$5,NFI,5,0),1,0)*Table_NFI[[#This Row],[Mosquito net]],Table_NFI[Mosquito net])</f>
        <v>#REF!</v>
      </c>
      <c r="AF469" s="532" t="e">
        <f>IF(NFI_Expiration=1,IF(#REF!&lt;VLOOKUP(O$5,NFI,5,0),1,0)*Table_NFI[[#This Row],[Tarpaulin]],Table_NFI[[#This Row],[Tarpaulin]])</f>
        <v>#REF!</v>
      </c>
      <c r="AG469" s="532" t="e">
        <f>IF(NFI_Expiration=1,IF(#REF!&lt;VLOOKUP(P$5,NFI,5,0),1,0)*Table_NFI[[#This Row],[Blanket]],Table_NFI[[#This Row],[Blanket]])</f>
        <v>#REF!</v>
      </c>
      <c r="AH469" s="532" t="e">
        <f>IF(NFI_Expiration=1,IF(#REF!&lt;VLOOKUP(Q$5,NFI,5,0),1,0)*Table_NFI[[#This Row],[Kitchen Set]],Table_NFI[Kitchen Set])</f>
        <v>#REF!</v>
      </c>
      <c r="AI469" s="532" t="e">
        <f>IF(NFI_Expiration=1,IF(#REF!&lt;VLOOKUP(R$5,NFI,5,0),1,0)*Table_NFI[[#This Row],[Clothes Kit]],Table_NFI[Clothes Kit])</f>
        <v>#REF!</v>
      </c>
      <c r="AJ469" s="532" t="e">
        <f>IF(NFI_Expiration=1,IF(#REF!&lt;VLOOKUP(S$5,NFI,5,0),1,0)*Table_NFI[[#This Row],[Plastic Bucket]],Table_NFI[Plastic Bucket])</f>
        <v>#REF!</v>
      </c>
      <c r="AK469" s="532" t="e">
        <f>IF(NFI_Expiration=1,IF(#REF!&lt;VLOOKUP(T$5,NFI,5,0),1,0)*Table_NFI[[#This Row],[Plastic Mat]],Table_NFI[Plastic Mat])*IF(Table_NFI[[#This Row],[Distribution Date]]&gt;"2014-04-01",1,2.5)</f>
        <v>#REF!</v>
      </c>
      <c r="AL469" s="532" t="e">
        <f>IF(NFI_Expiration=1,IF(#REF!&lt;VLOOKUP(U$5,NFI,5,0),1,0)*Table_NFI[[#This Row],[Winter Clothes Adult]],Table_NFI[Winter Clothes Adult])</f>
        <v>#REF!</v>
      </c>
      <c r="AM469" s="532"/>
      <c r="AN469" s="532"/>
      <c r="AO469" s="532"/>
      <c r="AP469" s="532">
        <f>IF(Table_NFI[[#This Row],[Winter Clothes Adult]]+Table_NFI[[#This Row],[Winter Clothes Children]]+Table_NFI[[#This Row],[Winter Items Other]]+Table_NFI[[#This Row],[Winter Blanket]]&gt;0,1,0)</f>
        <v>0</v>
      </c>
      <c r="AQ469" s="532"/>
      <c r="AR469" s="532"/>
      <c r="AS469" s="532"/>
      <c r="AT469" s="532"/>
      <c r="AU469" s="532"/>
      <c r="AV469" s="532"/>
      <c r="AW469" s="532"/>
      <c r="AX469" s="203" t="str">
        <f>IFERROR(VLOOKUP(Table_NFI[[#This Row],[Location]],CL,2,0),"")</f>
        <v>MMR015CMP221</v>
      </c>
      <c r="AZ469" s="524"/>
      <c r="DS469" s="181"/>
      <c r="DT469" s="181"/>
    </row>
    <row r="470" spans="2:124" hidden="1" x14ac:dyDescent="0.3">
      <c r="B470" s="530">
        <v>43413</v>
      </c>
      <c r="C470" s="530" t="str">
        <f>MONTH(Table_NFI[[#This Row],[Distribution Date]]) &amp; "/" &amp; YEAR(Table_NFI[[#This Row],[Distribution Date]])</f>
        <v>11/2018</v>
      </c>
      <c r="D470" s="196" t="s">
        <v>1452</v>
      </c>
      <c r="E470" s="196"/>
      <c r="F470" s="196" t="s">
        <v>378</v>
      </c>
      <c r="G470" s="196" t="s">
        <v>151</v>
      </c>
      <c r="H470" s="195" t="s">
        <v>1476</v>
      </c>
      <c r="I470" s="701"/>
      <c r="J470" s="531"/>
      <c r="K470" s="531"/>
      <c r="L470" s="531">
        <v>2</v>
      </c>
      <c r="M470" s="531"/>
      <c r="N470" s="531"/>
      <c r="O470" s="531"/>
      <c r="P470" s="531"/>
      <c r="Q470" s="531"/>
      <c r="R470" s="531"/>
      <c r="S470" s="531"/>
      <c r="T470" s="531"/>
      <c r="U470" s="531"/>
      <c r="V470" s="531"/>
      <c r="W470" s="531"/>
      <c r="X470" s="531"/>
      <c r="Y470" s="531"/>
      <c r="Z470" s="702"/>
      <c r="AA470" s="531"/>
      <c r="AB470" s="531"/>
      <c r="AC470" s="532" t="e">
        <f>IF(NFI_Expiration=1,IF(#REF!&lt;VLOOKUP(L$5,NFI,5,0),1,0)*Table_NFI[[#This Row],[NFI Core Kit]],Table_NFI[NFI Core Kit])</f>
        <v>#REF!</v>
      </c>
      <c r="AD470" s="532" t="e">
        <f>IF(NFI_Expiration=1,IF(#REF!&lt;VLOOKUP(M$5,NFI,5,0),1,0)*Table_NFI[[#This Row],[Sanitary Kit]],Table_NFI[Sanitary Kit])</f>
        <v>#REF!</v>
      </c>
      <c r="AE470" s="532" t="e">
        <f>IF(NFI_Expiration=1,IF(#REF!&lt;VLOOKUP(N$5,NFI,5,0),1,0)*Table_NFI[[#This Row],[Mosquito net]],Table_NFI[Mosquito net])</f>
        <v>#REF!</v>
      </c>
      <c r="AF470" s="532" t="e">
        <f>IF(NFI_Expiration=1,IF(#REF!&lt;VLOOKUP(O$5,NFI,5,0),1,0)*Table_NFI[[#This Row],[Tarpaulin]],Table_NFI[[#This Row],[Tarpaulin]])</f>
        <v>#REF!</v>
      </c>
      <c r="AG470" s="532" t="e">
        <f>IF(NFI_Expiration=1,IF(#REF!&lt;VLOOKUP(P$5,NFI,5,0),1,0)*Table_NFI[[#This Row],[Blanket]],Table_NFI[[#This Row],[Blanket]])</f>
        <v>#REF!</v>
      </c>
      <c r="AH470" s="532" t="e">
        <f>IF(NFI_Expiration=1,IF(#REF!&lt;VLOOKUP(Q$5,NFI,5,0),1,0)*Table_NFI[[#This Row],[Kitchen Set]],Table_NFI[Kitchen Set])</f>
        <v>#REF!</v>
      </c>
      <c r="AI470" s="532" t="e">
        <f>IF(NFI_Expiration=1,IF(#REF!&lt;VLOOKUP(R$5,NFI,5,0),1,0)*Table_NFI[[#This Row],[Clothes Kit]],Table_NFI[Clothes Kit])</f>
        <v>#REF!</v>
      </c>
      <c r="AJ470" s="532" t="e">
        <f>IF(NFI_Expiration=1,IF(#REF!&lt;VLOOKUP(S$5,NFI,5,0),1,0)*Table_NFI[[#This Row],[Plastic Bucket]],Table_NFI[Plastic Bucket])</f>
        <v>#REF!</v>
      </c>
      <c r="AK470" s="532" t="e">
        <f>IF(NFI_Expiration=1,IF(#REF!&lt;VLOOKUP(T$5,NFI,5,0),1,0)*Table_NFI[[#This Row],[Plastic Mat]],Table_NFI[Plastic Mat])*IF(Table_NFI[[#This Row],[Distribution Date]]&gt;"2014-04-01",1,2.5)</f>
        <v>#REF!</v>
      </c>
      <c r="AL470" s="532" t="e">
        <f>IF(NFI_Expiration=1,IF(#REF!&lt;VLOOKUP(U$5,NFI,5,0),1,0)*Table_NFI[[#This Row],[Winter Clothes Adult]],Table_NFI[Winter Clothes Adult])</f>
        <v>#REF!</v>
      </c>
      <c r="AM470" s="532"/>
      <c r="AN470" s="532"/>
      <c r="AO470" s="532"/>
      <c r="AP470" s="532">
        <f>IF(Table_NFI[[#This Row],[Winter Clothes Adult]]+Table_NFI[[#This Row],[Winter Clothes Children]]+Table_NFI[[#This Row],[Winter Items Other]]+Table_NFI[[#This Row],[Winter Blanket]]&gt;0,1,0)</f>
        <v>0</v>
      </c>
      <c r="AQ470" s="532"/>
      <c r="AR470" s="532"/>
      <c r="AS470" s="532"/>
      <c r="AT470" s="532"/>
      <c r="AU470" s="532"/>
      <c r="AV470" s="532"/>
      <c r="AW470" s="532"/>
      <c r="AX470" s="203" t="str">
        <f>IFERROR(VLOOKUP(Table_NFI[[#This Row],[Location]],CL,2,0),"")</f>
        <v/>
      </c>
      <c r="AZ470" s="524"/>
      <c r="DS470" s="181"/>
      <c r="DT470" s="181"/>
    </row>
    <row r="471" spans="2:124" hidden="1" x14ac:dyDescent="0.3">
      <c r="B471" s="530">
        <v>43413</v>
      </c>
      <c r="C471" s="530" t="str">
        <f>MONTH(Table_NFI[[#This Row],[Distribution Date]]) &amp; "/" &amp; YEAR(Table_NFI[[#This Row],[Distribution Date]])</f>
        <v>11/2018</v>
      </c>
      <c r="D471" s="196" t="s">
        <v>1452</v>
      </c>
      <c r="E471" s="196"/>
      <c r="F471" s="196" t="s">
        <v>506</v>
      </c>
      <c r="G471" s="196" t="s">
        <v>1774</v>
      </c>
      <c r="H471" s="195" t="s">
        <v>1499</v>
      </c>
      <c r="I471" s="701"/>
      <c r="J471" s="531"/>
      <c r="K471" s="531"/>
      <c r="L471" s="531"/>
      <c r="M471" s="531"/>
      <c r="N471" s="531"/>
      <c r="O471" s="531"/>
      <c r="P471" s="531">
        <v>1</v>
      </c>
      <c r="Q471" s="531"/>
      <c r="R471" s="531"/>
      <c r="S471" s="531"/>
      <c r="T471" s="531"/>
      <c r="U471" s="531"/>
      <c r="V471" s="531"/>
      <c r="W471" s="531"/>
      <c r="X471" s="531"/>
      <c r="Y471" s="531"/>
      <c r="Z471" s="702"/>
      <c r="AA471" s="531"/>
      <c r="AB471" s="531"/>
      <c r="AC471" s="532" t="e">
        <f>IF(NFI_Expiration=1,IF(#REF!&lt;VLOOKUP(L$5,NFI,5,0),1,0)*Table_NFI[[#This Row],[NFI Core Kit]],Table_NFI[NFI Core Kit])</f>
        <v>#REF!</v>
      </c>
      <c r="AD471" s="532" t="e">
        <f>IF(NFI_Expiration=1,IF(#REF!&lt;VLOOKUP(M$5,NFI,5,0),1,0)*Table_NFI[[#This Row],[Sanitary Kit]],Table_NFI[Sanitary Kit])</f>
        <v>#REF!</v>
      </c>
      <c r="AE471" s="532" t="e">
        <f>IF(NFI_Expiration=1,IF(#REF!&lt;VLOOKUP(N$5,NFI,5,0),1,0)*Table_NFI[[#This Row],[Mosquito net]],Table_NFI[Mosquito net])</f>
        <v>#REF!</v>
      </c>
      <c r="AF471" s="532" t="e">
        <f>IF(NFI_Expiration=1,IF(#REF!&lt;VLOOKUP(O$5,NFI,5,0),1,0)*Table_NFI[[#This Row],[Tarpaulin]],Table_NFI[[#This Row],[Tarpaulin]])</f>
        <v>#REF!</v>
      </c>
      <c r="AG471" s="532" t="e">
        <f>IF(NFI_Expiration=1,IF(#REF!&lt;VLOOKUP(P$5,NFI,5,0),1,0)*Table_NFI[[#This Row],[Blanket]],Table_NFI[[#This Row],[Blanket]])</f>
        <v>#REF!</v>
      </c>
      <c r="AH471" s="532" t="e">
        <f>IF(NFI_Expiration=1,IF(#REF!&lt;VLOOKUP(Q$5,NFI,5,0),1,0)*Table_NFI[[#This Row],[Kitchen Set]],Table_NFI[Kitchen Set])</f>
        <v>#REF!</v>
      </c>
      <c r="AI471" s="532" t="e">
        <f>IF(NFI_Expiration=1,IF(#REF!&lt;VLOOKUP(R$5,NFI,5,0),1,0)*Table_NFI[[#This Row],[Clothes Kit]],Table_NFI[Clothes Kit])</f>
        <v>#REF!</v>
      </c>
      <c r="AJ471" s="532" t="e">
        <f>IF(NFI_Expiration=1,IF(#REF!&lt;VLOOKUP(S$5,NFI,5,0),1,0)*Table_NFI[[#This Row],[Plastic Bucket]],Table_NFI[Plastic Bucket])</f>
        <v>#REF!</v>
      </c>
      <c r="AK471" s="532" t="e">
        <f>IF(NFI_Expiration=1,IF(#REF!&lt;VLOOKUP(T$5,NFI,5,0),1,0)*Table_NFI[[#This Row],[Plastic Mat]],Table_NFI[Plastic Mat])*IF(Table_NFI[[#This Row],[Distribution Date]]&gt;"2014-04-01",1,2.5)</f>
        <v>#REF!</v>
      </c>
      <c r="AL471" s="532" t="e">
        <f>IF(NFI_Expiration=1,IF(#REF!&lt;VLOOKUP(U$5,NFI,5,0),1,0)*Table_NFI[[#This Row],[Winter Clothes Adult]],Table_NFI[Winter Clothes Adult])</f>
        <v>#REF!</v>
      </c>
      <c r="AM471" s="532"/>
      <c r="AN471" s="532"/>
      <c r="AO471" s="532"/>
      <c r="AP471" s="532">
        <f>IF(Table_NFI[[#This Row],[Winter Clothes Adult]]+Table_NFI[[#This Row],[Winter Clothes Children]]+Table_NFI[[#This Row],[Winter Items Other]]+Table_NFI[[#This Row],[Winter Blanket]]&gt;0,1,0)</f>
        <v>0</v>
      </c>
      <c r="AQ471" s="532"/>
      <c r="AR471" s="532"/>
      <c r="AS471" s="532"/>
      <c r="AT471" s="532"/>
      <c r="AU471" s="532"/>
      <c r="AV471" s="532"/>
      <c r="AW471" s="532"/>
      <c r="AX471" s="203" t="str">
        <f>IFERROR(VLOOKUP(Table_NFI[[#This Row],[Location]],CL,2,0),"")</f>
        <v/>
      </c>
      <c r="AZ471" s="524"/>
      <c r="DS471" s="181"/>
      <c r="DT471" s="181"/>
    </row>
    <row r="472" spans="2:124" hidden="1" x14ac:dyDescent="0.3">
      <c r="B472" s="530">
        <v>43417</v>
      </c>
      <c r="C472" s="530" t="str">
        <f>MONTH(Table_NFI[[#This Row],[Distribution Date]]) &amp; "/" &amp; YEAR(Table_NFI[[#This Row],[Distribution Date]])</f>
        <v>11/2018</v>
      </c>
      <c r="D472" s="196" t="s">
        <v>1452</v>
      </c>
      <c r="E472" s="196"/>
      <c r="F472" s="196" t="s">
        <v>506</v>
      </c>
      <c r="G472" s="181" t="s">
        <v>1773</v>
      </c>
      <c r="H472" s="235" t="s">
        <v>1080</v>
      </c>
      <c r="I472" s="701"/>
      <c r="J472" s="531"/>
      <c r="K472" s="531"/>
      <c r="L472" s="531">
        <v>1</v>
      </c>
      <c r="M472" s="531"/>
      <c r="N472" s="531">
        <v>1</v>
      </c>
      <c r="O472" s="531"/>
      <c r="P472" s="531">
        <v>1</v>
      </c>
      <c r="Q472" s="531"/>
      <c r="R472" s="531"/>
      <c r="S472" s="531"/>
      <c r="T472" s="531">
        <v>1</v>
      </c>
      <c r="U472" s="531"/>
      <c r="V472" s="531"/>
      <c r="W472" s="531"/>
      <c r="X472" s="531"/>
      <c r="Y472" s="531"/>
      <c r="Z472" s="702"/>
      <c r="AA472" s="531">
        <v>1</v>
      </c>
      <c r="AB472" s="531"/>
      <c r="AC472" s="532" t="e">
        <f>IF(NFI_Expiration=1,IF(#REF!&lt;VLOOKUP(L$5,NFI,5,0),1,0)*Table_NFI[[#This Row],[NFI Core Kit]],Table_NFI[NFI Core Kit])</f>
        <v>#REF!</v>
      </c>
      <c r="AD472" s="532" t="e">
        <f>IF(NFI_Expiration=1,IF(#REF!&lt;VLOOKUP(M$5,NFI,5,0),1,0)*Table_NFI[[#This Row],[Sanitary Kit]],Table_NFI[Sanitary Kit])</f>
        <v>#REF!</v>
      </c>
      <c r="AE472" s="532" t="e">
        <f>IF(NFI_Expiration=1,IF(#REF!&lt;VLOOKUP(N$5,NFI,5,0),1,0)*Table_NFI[[#This Row],[Mosquito net]],Table_NFI[Mosquito net])</f>
        <v>#REF!</v>
      </c>
      <c r="AF472" s="532" t="e">
        <f>IF(NFI_Expiration=1,IF(#REF!&lt;VLOOKUP(O$5,NFI,5,0),1,0)*Table_NFI[[#This Row],[Tarpaulin]],Table_NFI[[#This Row],[Tarpaulin]])</f>
        <v>#REF!</v>
      </c>
      <c r="AG472" s="532" t="e">
        <f>IF(NFI_Expiration=1,IF(#REF!&lt;VLOOKUP(P$5,NFI,5,0),1,0)*Table_NFI[[#This Row],[Blanket]],Table_NFI[[#This Row],[Blanket]])</f>
        <v>#REF!</v>
      </c>
      <c r="AH472" s="532" t="e">
        <f>IF(NFI_Expiration=1,IF(#REF!&lt;VLOOKUP(Q$5,NFI,5,0),1,0)*Table_NFI[[#This Row],[Kitchen Set]],Table_NFI[Kitchen Set])</f>
        <v>#REF!</v>
      </c>
      <c r="AI472" s="532" t="e">
        <f>IF(NFI_Expiration=1,IF(#REF!&lt;VLOOKUP(R$5,NFI,5,0),1,0)*Table_NFI[[#This Row],[Clothes Kit]],Table_NFI[Clothes Kit])</f>
        <v>#REF!</v>
      </c>
      <c r="AJ472" s="532" t="e">
        <f>IF(NFI_Expiration=1,IF(#REF!&lt;VLOOKUP(S$5,NFI,5,0),1,0)*Table_NFI[[#This Row],[Plastic Bucket]],Table_NFI[Plastic Bucket])</f>
        <v>#REF!</v>
      </c>
      <c r="AK472" s="532" t="e">
        <f>IF(NFI_Expiration=1,IF(#REF!&lt;VLOOKUP(T$5,NFI,5,0),1,0)*Table_NFI[[#This Row],[Plastic Mat]],Table_NFI[Plastic Mat])*IF(Table_NFI[[#This Row],[Distribution Date]]&gt;"2014-04-01",1,2.5)</f>
        <v>#REF!</v>
      </c>
      <c r="AL472" s="532" t="e">
        <f>IF(NFI_Expiration=1,IF(#REF!&lt;VLOOKUP(U$5,NFI,5,0),1,0)*Table_NFI[[#This Row],[Winter Clothes Adult]],Table_NFI[Winter Clothes Adult])</f>
        <v>#REF!</v>
      </c>
      <c r="AM472" s="532"/>
      <c r="AN472" s="532"/>
      <c r="AO472" s="532"/>
      <c r="AP472" s="532">
        <f>IF(Table_NFI[[#This Row],[Winter Clothes Adult]]+Table_NFI[[#This Row],[Winter Clothes Children]]+Table_NFI[[#This Row],[Winter Items Other]]+Table_NFI[[#This Row],[Winter Blanket]]&gt;0,1,0)</f>
        <v>0</v>
      </c>
      <c r="AQ472" s="532"/>
      <c r="AR472" s="532"/>
      <c r="AS472" s="532"/>
      <c r="AT472" s="532"/>
      <c r="AU472" s="532"/>
      <c r="AV472" s="532"/>
      <c r="AW472" s="532"/>
      <c r="AX472" s="203" t="str">
        <f>IFERROR(VLOOKUP(Table_NFI[[#This Row],[Location]],CL,2,0),"")</f>
        <v>MMR015CMP219</v>
      </c>
      <c r="AZ472" s="524"/>
      <c r="DS472" s="181"/>
      <c r="DT472" s="181"/>
    </row>
    <row r="473" spans="2:124" hidden="1" x14ac:dyDescent="0.3">
      <c r="B473" s="530">
        <v>43418</v>
      </c>
      <c r="C473" s="530" t="str">
        <f>MONTH(Table_NFI[[#This Row],[Distribution Date]]) &amp; "/" &amp; YEAR(Table_NFI[[#This Row],[Distribution Date]])</f>
        <v>11/2018</v>
      </c>
      <c r="D473" s="196" t="s">
        <v>1452</v>
      </c>
      <c r="E473" s="196"/>
      <c r="F473" s="196" t="s">
        <v>506</v>
      </c>
      <c r="G473" s="707" t="s">
        <v>1774</v>
      </c>
      <c r="H473" s="714" t="s">
        <v>291</v>
      </c>
      <c r="I473" s="701"/>
      <c r="J473" s="531"/>
      <c r="K473" s="531"/>
      <c r="L473" s="531">
        <v>1</v>
      </c>
      <c r="M473" s="531"/>
      <c r="N473" s="531"/>
      <c r="O473" s="531"/>
      <c r="P473" s="531"/>
      <c r="Q473" s="531"/>
      <c r="R473" s="531"/>
      <c r="S473" s="531"/>
      <c r="T473" s="531"/>
      <c r="U473" s="531"/>
      <c r="V473" s="531"/>
      <c r="W473" s="531"/>
      <c r="X473" s="531"/>
      <c r="Y473" s="531"/>
      <c r="Z473" s="702"/>
      <c r="AA473" s="531"/>
      <c r="AB473" s="531"/>
      <c r="AC473" s="532" t="e">
        <f>IF(NFI_Expiration=1,IF(#REF!&lt;VLOOKUP(L$5,NFI,5,0),1,0)*Table_NFI[[#This Row],[NFI Core Kit]],Table_NFI[NFI Core Kit])</f>
        <v>#REF!</v>
      </c>
      <c r="AD473" s="532" t="e">
        <f>IF(NFI_Expiration=1,IF(#REF!&lt;VLOOKUP(M$5,NFI,5,0),1,0)*Table_NFI[[#This Row],[Sanitary Kit]],Table_NFI[Sanitary Kit])</f>
        <v>#REF!</v>
      </c>
      <c r="AE473" s="532" t="e">
        <f>IF(NFI_Expiration=1,IF(#REF!&lt;VLOOKUP(N$5,NFI,5,0),1,0)*Table_NFI[[#This Row],[Mosquito net]],Table_NFI[Mosquito net])</f>
        <v>#REF!</v>
      </c>
      <c r="AF473" s="532" t="e">
        <f>IF(NFI_Expiration=1,IF(#REF!&lt;VLOOKUP(O$5,NFI,5,0),1,0)*Table_NFI[[#This Row],[Tarpaulin]],Table_NFI[[#This Row],[Tarpaulin]])</f>
        <v>#REF!</v>
      </c>
      <c r="AG473" s="532" t="e">
        <f>IF(NFI_Expiration=1,IF(#REF!&lt;VLOOKUP(P$5,NFI,5,0),1,0)*Table_NFI[[#This Row],[Blanket]],Table_NFI[[#This Row],[Blanket]])</f>
        <v>#REF!</v>
      </c>
      <c r="AH473" s="532" t="e">
        <f>IF(NFI_Expiration=1,IF(#REF!&lt;VLOOKUP(Q$5,NFI,5,0),1,0)*Table_NFI[[#This Row],[Kitchen Set]],Table_NFI[Kitchen Set])</f>
        <v>#REF!</v>
      </c>
      <c r="AI473" s="532" t="e">
        <f>IF(NFI_Expiration=1,IF(#REF!&lt;VLOOKUP(R$5,NFI,5,0),1,0)*Table_NFI[[#This Row],[Clothes Kit]],Table_NFI[Clothes Kit])</f>
        <v>#REF!</v>
      </c>
      <c r="AJ473" s="532" t="e">
        <f>IF(NFI_Expiration=1,IF(#REF!&lt;VLOOKUP(S$5,NFI,5,0),1,0)*Table_NFI[[#This Row],[Plastic Bucket]],Table_NFI[Plastic Bucket])</f>
        <v>#REF!</v>
      </c>
      <c r="AK473" s="532" t="e">
        <f>IF(NFI_Expiration=1,IF(#REF!&lt;VLOOKUP(T$5,NFI,5,0),1,0)*Table_NFI[[#This Row],[Plastic Mat]],Table_NFI[Plastic Mat])*IF(Table_NFI[[#This Row],[Distribution Date]]&gt;"2014-04-01",1,2.5)</f>
        <v>#REF!</v>
      </c>
      <c r="AL473" s="532" t="e">
        <f>IF(NFI_Expiration=1,IF(#REF!&lt;VLOOKUP(U$5,NFI,5,0),1,0)*Table_NFI[[#This Row],[Winter Clothes Adult]],Table_NFI[Winter Clothes Adult])</f>
        <v>#REF!</v>
      </c>
      <c r="AM473" s="532"/>
      <c r="AN473" s="532"/>
      <c r="AO473" s="532"/>
      <c r="AP473" s="532">
        <f>IF(Table_NFI[[#This Row],[Winter Clothes Adult]]+Table_NFI[[#This Row],[Winter Clothes Children]]+Table_NFI[[#This Row],[Winter Items Other]]+Table_NFI[[#This Row],[Winter Blanket]]&gt;0,1,0)</f>
        <v>0</v>
      </c>
      <c r="AQ473" s="532"/>
      <c r="AR473" s="532"/>
      <c r="AS473" s="532"/>
      <c r="AT473" s="532"/>
      <c r="AU473" s="532"/>
      <c r="AV473" s="532"/>
      <c r="AW473" s="532"/>
      <c r="AX473" s="203" t="str">
        <f>IFERROR(VLOOKUP(Table_NFI[[#This Row],[Location]],CL,2,0),"")</f>
        <v>MMR015CMP004</v>
      </c>
      <c r="AZ473" s="524"/>
      <c r="DS473" s="181"/>
      <c r="DT473" s="181"/>
    </row>
    <row r="474" spans="2:124" ht="28.8" hidden="1" x14ac:dyDescent="0.3">
      <c r="B474" s="530">
        <v>43418</v>
      </c>
      <c r="C474" s="530" t="str">
        <f>MONTH(Table_NFI[[#This Row],[Distribution Date]]) &amp; "/" &amp; YEAR(Table_NFI[[#This Row],[Distribution Date]])</f>
        <v>11/2018</v>
      </c>
      <c r="D474" s="196" t="s">
        <v>1452</v>
      </c>
      <c r="E474" s="196"/>
      <c r="F474" s="196" t="s">
        <v>506</v>
      </c>
      <c r="G474" s="181" t="s">
        <v>1774</v>
      </c>
      <c r="H474" s="713" t="s">
        <v>1498</v>
      </c>
      <c r="I474" s="701"/>
      <c r="J474" s="531"/>
      <c r="K474" s="531"/>
      <c r="L474" s="531">
        <v>44</v>
      </c>
      <c r="M474" s="531">
        <v>60</v>
      </c>
      <c r="N474" s="531">
        <v>90</v>
      </c>
      <c r="O474" s="531">
        <v>8</v>
      </c>
      <c r="P474" s="531">
        <v>2</v>
      </c>
      <c r="Q474" s="531"/>
      <c r="R474" s="531"/>
      <c r="S474" s="531"/>
      <c r="T474" s="531"/>
      <c r="U474" s="531"/>
      <c r="V474" s="531"/>
      <c r="W474" s="531"/>
      <c r="X474" s="531"/>
      <c r="Y474" s="531"/>
      <c r="Z474" s="702"/>
      <c r="AA474" s="531"/>
      <c r="AB474" s="531"/>
      <c r="AC474" s="532" t="e">
        <f>IF(NFI_Expiration=1,IF(#REF!&lt;VLOOKUP(L$5,NFI,5,0),1,0)*Table_NFI[[#This Row],[NFI Core Kit]],Table_NFI[NFI Core Kit])</f>
        <v>#REF!</v>
      </c>
      <c r="AD474" s="532" t="e">
        <f>IF(NFI_Expiration=1,IF(#REF!&lt;VLOOKUP(M$5,NFI,5,0),1,0)*Table_NFI[[#This Row],[Sanitary Kit]],Table_NFI[Sanitary Kit])</f>
        <v>#REF!</v>
      </c>
      <c r="AE474" s="532" t="e">
        <f>IF(NFI_Expiration=1,IF(#REF!&lt;VLOOKUP(N$5,NFI,5,0),1,0)*Table_NFI[[#This Row],[Mosquito net]],Table_NFI[Mosquito net])</f>
        <v>#REF!</v>
      </c>
      <c r="AF474" s="532" t="e">
        <f>IF(NFI_Expiration=1,IF(#REF!&lt;VLOOKUP(O$5,NFI,5,0),1,0)*Table_NFI[[#This Row],[Tarpaulin]],Table_NFI[[#This Row],[Tarpaulin]])</f>
        <v>#REF!</v>
      </c>
      <c r="AG474" s="532" t="e">
        <f>IF(NFI_Expiration=1,IF(#REF!&lt;VLOOKUP(P$5,NFI,5,0),1,0)*Table_NFI[[#This Row],[Blanket]],Table_NFI[[#This Row],[Blanket]])</f>
        <v>#REF!</v>
      </c>
      <c r="AH474" s="532" t="e">
        <f>IF(NFI_Expiration=1,IF(#REF!&lt;VLOOKUP(Q$5,NFI,5,0),1,0)*Table_NFI[[#This Row],[Kitchen Set]],Table_NFI[Kitchen Set])</f>
        <v>#REF!</v>
      </c>
      <c r="AI474" s="532" t="e">
        <f>IF(NFI_Expiration=1,IF(#REF!&lt;VLOOKUP(R$5,NFI,5,0),1,0)*Table_NFI[[#This Row],[Clothes Kit]],Table_NFI[Clothes Kit])</f>
        <v>#REF!</v>
      </c>
      <c r="AJ474" s="532" t="e">
        <f>IF(NFI_Expiration=1,IF(#REF!&lt;VLOOKUP(S$5,NFI,5,0),1,0)*Table_NFI[[#This Row],[Plastic Bucket]],Table_NFI[Plastic Bucket])</f>
        <v>#REF!</v>
      </c>
      <c r="AK474" s="532" t="e">
        <f>IF(NFI_Expiration=1,IF(#REF!&lt;VLOOKUP(T$5,NFI,5,0),1,0)*Table_NFI[[#This Row],[Plastic Mat]],Table_NFI[Plastic Mat])*IF(Table_NFI[[#This Row],[Distribution Date]]&gt;"2014-04-01",1,2.5)</f>
        <v>#REF!</v>
      </c>
      <c r="AL474" s="532" t="e">
        <f>IF(NFI_Expiration=1,IF(#REF!&lt;VLOOKUP(U$5,NFI,5,0),1,0)*Table_NFI[[#This Row],[Winter Clothes Adult]],Table_NFI[Winter Clothes Adult])</f>
        <v>#REF!</v>
      </c>
      <c r="AM474" s="532"/>
      <c r="AN474" s="532"/>
      <c r="AO474" s="532"/>
      <c r="AP474" s="532">
        <f>IF(Table_NFI[[#This Row],[Winter Clothes Adult]]+Table_NFI[[#This Row],[Winter Clothes Children]]+Table_NFI[[#This Row],[Winter Items Other]]+Table_NFI[[#This Row],[Winter Blanket]]&gt;0,1,0)</f>
        <v>0</v>
      </c>
      <c r="AQ474" s="532"/>
      <c r="AR474" s="532"/>
      <c r="AS474" s="532"/>
      <c r="AT474" s="532"/>
      <c r="AU474" s="532"/>
      <c r="AV474" s="532"/>
      <c r="AW474" s="532"/>
      <c r="AX474" s="203" t="str">
        <f>IFERROR(VLOOKUP(Table_NFI[[#This Row],[Location]],CL,2,0),"")</f>
        <v/>
      </c>
      <c r="AZ474" s="524"/>
      <c r="DS474" s="181"/>
      <c r="DT474" s="181"/>
    </row>
    <row r="475" spans="2:124" ht="28.8" hidden="1" x14ac:dyDescent="0.3">
      <c r="B475" s="530">
        <v>43423</v>
      </c>
      <c r="C475" s="530" t="str">
        <f>MONTH(Table_NFI[[#This Row],[Distribution Date]]) &amp; "/" &amp; YEAR(Table_NFI[[#This Row],[Distribution Date]])</f>
        <v>11/2018</v>
      </c>
      <c r="D475" s="196" t="s">
        <v>1452</v>
      </c>
      <c r="E475" s="196"/>
      <c r="F475" s="196" t="s">
        <v>506</v>
      </c>
      <c r="G475" s="707" t="s">
        <v>1774</v>
      </c>
      <c r="H475" s="715" t="s">
        <v>1498</v>
      </c>
      <c r="I475" s="701"/>
      <c r="J475" s="531"/>
      <c r="K475" s="531"/>
      <c r="L475" s="531">
        <v>1</v>
      </c>
      <c r="M475" s="531"/>
      <c r="N475" s="531"/>
      <c r="O475" s="531"/>
      <c r="P475" s="531"/>
      <c r="Q475" s="531"/>
      <c r="R475" s="531"/>
      <c r="S475" s="531"/>
      <c r="T475" s="531"/>
      <c r="U475" s="531"/>
      <c r="V475" s="531"/>
      <c r="W475" s="531"/>
      <c r="X475" s="531"/>
      <c r="Y475" s="531"/>
      <c r="Z475" s="702"/>
      <c r="AA475" s="531"/>
      <c r="AB475" s="531"/>
      <c r="AC475" s="532" t="e">
        <f>IF(NFI_Expiration=1,IF(#REF!&lt;VLOOKUP(L$5,NFI,5,0),1,0)*Table_NFI[[#This Row],[NFI Core Kit]],Table_NFI[NFI Core Kit])</f>
        <v>#REF!</v>
      </c>
      <c r="AD475" s="532" t="e">
        <f>IF(NFI_Expiration=1,IF(#REF!&lt;VLOOKUP(M$5,NFI,5,0),1,0)*Table_NFI[[#This Row],[Sanitary Kit]],Table_NFI[Sanitary Kit])</f>
        <v>#REF!</v>
      </c>
      <c r="AE475" s="532" t="e">
        <f>IF(NFI_Expiration=1,IF(#REF!&lt;VLOOKUP(N$5,NFI,5,0),1,0)*Table_NFI[[#This Row],[Mosquito net]],Table_NFI[Mosquito net])</f>
        <v>#REF!</v>
      </c>
      <c r="AF475" s="532" t="e">
        <f>IF(NFI_Expiration=1,IF(#REF!&lt;VLOOKUP(O$5,NFI,5,0),1,0)*Table_NFI[[#This Row],[Tarpaulin]],Table_NFI[[#This Row],[Tarpaulin]])</f>
        <v>#REF!</v>
      </c>
      <c r="AG475" s="532" t="e">
        <f>IF(NFI_Expiration=1,IF(#REF!&lt;VLOOKUP(P$5,NFI,5,0),1,0)*Table_NFI[[#This Row],[Blanket]],Table_NFI[[#This Row],[Blanket]])</f>
        <v>#REF!</v>
      </c>
      <c r="AH475" s="532" t="e">
        <f>IF(NFI_Expiration=1,IF(#REF!&lt;VLOOKUP(Q$5,NFI,5,0),1,0)*Table_NFI[[#This Row],[Kitchen Set]],Table_NFI[Kitchen Set])</f>
        <v>#REF!</v>
      </c>
      <c r="AI475" s="532" t="e">
        <f>IF(NFI_Expiration=1,IF(#REF!&lt;VLOOKUP(R$5,NFI,5,0),1,0)*Table_NFI[[#This Row],[Clothes Kit]],Table_NFI[Clothes Kit])</f>
        <v>#REF!</v>
      </c>
      <c r="AJ475" s="532" t="e">
        <f>IF(NFI_Expiration=1,IF(#REF!&lt;VLOOKUP(S$5,NFI,5,0),1,0)*Table_NFI[[#This Row],[Plastic Bucket]],Table_NFI[Plastic Bucket])</f>
        <v>#REF!</v>
      </c>
      <c r="AK475" s="532" t="e">
        <f>IF(NFI_Expiration=1,IF(#REF!&lt;VLOOKUP(T$5,NFI,5,0),1,0)*Table_NFI[[#This Row],[Plastic Mat]],Table_NFI[Plastic Mat])*IF(Table_NFI[[#This Row],[Distribution Date]]&gt;"2014-04-01",1,2.5)</f>
        <v>#REF!</v>
      </c>
      <c r="AL475" s="532" t="e">
        <f>IF(NFI_Expiration=1,IF(#REF!&lt;VLOOKUP(U$5,NFI,5,0),1,0)*Table_NFI[[#This Row],[Winter Clothes Adult]],Table_NFI[Winter Clothes Adult])</f>
        <v>#REF!</v>
      </c>
      <c r="AM475" s="532"/>
      <c r="AN475" s="532"/>
      <c r="AO475" s="532"/>
      <c r="AP475" s="532">
        <f>IF(Table_NFI[[#This Row],[Winter Clothes Adult]]+Table_NFI[[#This Row],[Winter Clothes Children]]+Table_NFI[[#This Row],[Winter Items Other]]+Table_NFI[[#This Row],[Winter Blanket]]&gt;0,1,0)</f>
        <v>0</v>
      </c>
      <c r="AQ475" s="532"/>
      <c r="AR475" s="532"/>
      <c r="AS475" s="532"/>
      <c r="AT475" s="532"/>
      <c r="AU475" s="532"/>
      <c r="AV475" s="532"/>
      <c r="AW475" s="532"/>
      <c r="AX475" s="203" t="str">
        <f>IFERROR(VLOOKUP(Table_NFI[[#This Row],[Location]],CL,2,0),"")</f>
        <v/>
      </c>
      <c r="AZ475" s="524"/>
      <c r="DS475" s="181"/>
      <c r="DT475" s="181"/>
    </row>
    <row r="476" spans="2:124" hidden="1" x14ac:dyDescent="0.3">
      <c r="B476" s="530">
        <v>43423</v>
      </c>
      <c r="C476" s="530" t="str">
        <f>MONTH(Table_NFI[[#This Row],[Distribution Date]]) &amp; "/" &amp; YEAR(Table_NFI[[#This Row],[Distribution Date]])</f>
        <v>11/2018</v>
      </c>
      <c r="D476" s="196" t="s">
        <v>1452</v>
      </c>
      <c r="E476" s="196"/>
      <c r="F476" s="196" t="s">
        <v>506</v>
      </c>
      <c r="G476" s="181" t="s">
        <v>1773</v>
      </c>
      <c r="H476" s="196" t="s">
        <v>1237</v>
      </c>
      <c r="I476" s="701"/>
      <c r="J476" s="531"/>
      <c r="K476" s="531"/>
      <c r="L476" s="531">
        <v>1</v>
      </c>
      <c r="M476" s="531"/>
      <c r="N476" s="531"/>
      <c r="O476" s="531"/>
      <c r="P476" s="531"/>
      <c r="Q476" s="531"/>
      <c r="R476" s="531"/>
      <c r="S476" s="531"/>
      <c r="T476" s="531"/>
      <c r="U476" s="531"/>
      <c r="V476" s="531"/>
      <c r="W476" s="531"/>
      <c r="X476" s="531"/>
      <c r="Y476" s="531"/>
      <c r="Z476" s="702"/>
      <c r="AA476" s="531"/>
      <c r="AB476" s="531"/>
      <c r="AC476" s="532" t="e">
        <f>IF(NFI_Expiration=1,IF(#REF!&lt;VLOOKUP(L$5,NFI,5,0),1,0)*Table_NFI[[#This Row],[NFI Core Kit]],Table_NFI[NFI Core Kit])</f>
        <v>#REF!</v>
      </c>
      <c r="AD476" s="532" t="e">
        <f>IF(NFI_Expiration=1,IF(#REF!&lt;VLOOKUP(M$5,NFI,5,0),1,0)*Table_NFI[[#This Row],[Sanitary Kit]],Table_NFI[Sanitary Kit])</f>
        <v>#REF!</v>
      </c>
      <c r="AE476" s="532" t="e">
        <f>IF(NFI_Expiration=1,IF(#REF!&lt;VLOOKUP(N$5,NFI,5,0),1,0)*Table_NFI[[#This Row],[Mosquito net]],Table_NFI[Mosquito net])</f>
        <v>#REF!</v>
      </c>
      <c r="AF476" s="532" t="e">
        <f>IF(NFI_Expiration=1,IF(#REF!&lt;VLOOKUP(O$5,NFI,5,0),1,0)*Table_NFI[[#This Row],[Tarpaulin]],Table_NFI[[#This Row],[Tarpaulin]])</f>
        <v>#REF!</v>
      </c>
      <c r="AG476" s="532" t="e">
        <f>IF(NFI_Expiration=1,IF(#REF!&lt;VLOOKUP(P$5,NFI,5,0),1,0)*Table_NFI[[#This Row],[Blanket]],Table_NFI[[#This Row],[Blanket]])</f>
        <v>#REF!</v>
      </c>
      <c r="AH476" s="532" t="e">
        <f>IF(NFI_Expiration=1,IF(#REF!&lt;VLOOKUP(Q$5,NFI,5,0),1,0)*Table_NFI[[#This Row],[Kitchen Set]],Table_NFI[Kitchen Set])</f>
        <v>#REF!</v>
      </c>
      <c r="AI476" s="532" t="e">
        <f>IF(NFI_Expiration=1,IF(#REF!&lt;VLOOKUP(R$5,NFI,5,0),1,0)*Table_NFI[[#This Row],[Clothes Kit]],Table_NFI[Clothes Kit])</f>
        <v>#REF!</v>
      </c>
      <c r="AJ476" s="532" t="e">
        <f>IF(NFI_Expiration=1,IF(#REF!&lt;VLOOKUP(S$5,NFI,5,0),1,0)*Table_NFI[[#This Row],[Plastic Bucket]],Table_NFI[Plastic Bucket])</f>
        <v>#REF!</v>
      </c>
      <c r="AK476" s="532" t="e">
        <f>IF(NFI_Expiration=1,IF(#REF!&lt;VLOOKUP(T$5,NFI,5,0),1,0)*Table_NFI[[#This Row],[Plastic Mat]],Table_NFI[Plastic Mat])*IF(Table_NFI[[#This Row],[Distribution Date]]&gt;"2014-04-01",1,2.5)</f>
        <v>#REF!</v>
      </c>
      <c r="AL476" s="532" t="e">
        <f>IF(NFI_Expiration=1,IF(#REF!&lt;VLOOKUP(U$5,NFI,5,0),1,0)*Table_NFI[[#This Row],[Winter Clothes Adult]],Table_NFI[Winter Clothes Adult])</f>
        <v>#REF!</v>
      </c>
      <c r="AM476" s="532"/>
      <c r="AN476" s="532"/>
      <c r="AO476" s="532"/>
      <c r="AP476" s="532">
        <f>IF(Table_NFI[[#This Row],[Winter Clothes Adult]]+Table_NFI[[#This Row],[Winter Clothes Children]]+Table_NFI[[#This Row],[Winter Items Other]]+Table_NFI[[#This Row],[Winter Blanket]]&gt;0,1,0)</f>
        <v>0</v>
      </c>
      <c r="AQ476" s="532"/>
      <c r="AR476" s="532"/>
      <c r="AS476" s="532"/>
      <c r="AT476" s="532"/>
      <c r="AU476" s="532"/>
      <c r="AV476" s="532"/>
      <c r="AW476" s="532"/>
      <c r="AX476" s="203" t="str">
        <f>IFERROR(VLOOKUP(Table_NFI[[#This Row],[Location]],CL,2,0),"")</f>
        <v>MMR015CMP246</v>
      </c>
      <c r="AZ476" s="524"/>
      <c r="DS476" s="181"/>
      <c r="DT476" s="181"/>
    </row>
    <row r="477" spans="2:124" hidden="1" x14ac:dyDescent="0.3">
      <c r="B477" s="710">
        <v>43424</v>
      </c>
      <c r="C477" s="530" t="str">
        <f>MONTH(Table_NFI[[#This Row],[Distribution Date]]) &amp; "/" &amp; YEAR(Table_NFI[[#This Row],[Distribution Date]])</f>
        <v>11/2018</v>
      </c>
      <c r="D477" s="196" t="s">
        <v>1452</v>
      </c>
      <c r="E477" s="196"/>
      <c r="F477" s="196" t="s">
        <v>378</v>
      </c>
      <c r="G477" s="708" t="s">
        <v>151</v>
      </c>
      <c r="H477" s="716" t="s">
        <v>1477</v>
      </c>
      <c r="I477" s="701"/>
      <c r="J477" s="531"/>
      <c r="K477" s="531"/>
      <c r="L477" s="531">
        <v>2</v>
      </c>
      <c r="M477" s="531"/>
      <c r="N477" s="531"/>
      <c r="O477" s="531"/>
      <c r="P477" s="531"/>
      <c r="Q477" s="531"/>
      <c r="R477" s="531"/>
      <c r="S477" s="531"/>
      <c r="T477" s="531"/>
      <c r="U477" s="531"/>
      <c r="V477" s="531"/>
      <c r="W477" s="531"/>
      <c r="X477" s="531"/>
      <c r="Y477" s="531"/>
      <c r="Z477" s="702"/>
      <c r="AA477" s="531"/>
      <c r="AB477" s="531"/>
      <c r="AC477" s="532" t="e">
        <f>IF(NFI_Expiration=1,IF(#REF!&lt;VLOOKUP(L$5,NFI,5,0),1,0)*Table_NFI[[#This Row],[NFI Core Kit]],Table_NFI[NFI Core Kit])</f>
        <v>#REF!</v>
      </c>
      <c r="AD477" s="532" t="e">
        <f>IF(NFI_Expiration=1,IF(#REF!&lt;VLOOKUP(M$5,NFI,5,0),1,0)*Table_NFI[[#This Row],[Sanitary Kit]],Table_NFI[Sanitary Kit])</f>
        <v>#REF!</v>
      </c>
      <c r="AE477" s="532" t="e">
        <f>IF(NFI_Expiration=1,IF(#REF!&lt;VLOOKUP(N$5,NFI,5,0),1,0)*Table_NFI[[#This Row],[Mosquito net]],Table_NFI[Mosquito net])</f>
        <v>#REF!</v>
      </c>
      <c r="AF477" s="532" t="e">
        <f>IF(NFI_Expiration=1,IF(#REF!&lt;VLOOKUP(O$5,NFI,5,0),1,0)*Table_NFI[[#This Row],[Tarpaulin]],Table_NFI[[#This Row],[Tarpaulin]])</f>
        <v>#REF!</v>
      </c>
      <c r="AG477" s="532" t="e">
        <f>IF(NFI_Expiration=1,IF(#REF!&lt;VLOOKUP(P$5,NFI,5,0),1,0)*Table_NFI[[#This Row],[Blanket]],Table_NFI[[#This Row],[Blanket]])</f>
        <v>#REF!</v>
      </c>
      <c r="AH477" s="532" t="e">
        <f>IF(NFI_Expiration=1,IF(#REF!&lt;VLOOKUP(Q$5,NFI,5,0),1,0)*Table_NFI[[#This Row],[Kitchen Set]],Table_NFI[Kitchen Set])</f>
        <v>#REF!</v>
      </c>
      <c r="AI477" s="532" t="e">
        <f>IF(NFI_Expiration=1,IF(#REF!&lt;VLOOKUP(R$5,NFI,5,0),1,0)*Table_NFI[[#This Row],[Clothes Kit]],Table_NFI[Clothes Kit])</f>
        <v>#REF!</v>
      </c>
      <c r="AJ477" s="532" t="e">
        <f>IF(NFI_Expiration=1,IF(#REF!&lt;VLOOKUP(S$5,NFI,5,0),1,0)*Table_NFI[[#This Row],[Plastic Bucket]],Table_NFI[Plastic Bucket])</f>
        <v>#REF!</v>
      </c>
      <c r="AK477" s="532" t="e">
        <f>IF(NFI_Expiration=1,IF(#REF!&lt;VLOOKUP(T$5,NFI,5,0),1,0)*Table_NFI[[#This Row],[Plastic Mat]],Table_NFI[Plastic Mat])*IF(Table_NFI[[#This Row],[Distribution Date]]&gt;"2014-04-01",1,2.5)</f>
        <v>#REF!</v>
      </c>
      <c r="AL477" s="532" t="e">
        <f>IF(NFI_Expiration=1,IF(#REF!&lt;VLOOKUP(U$5,NFI,5,0),1,0)*Table_NFI[[#This Row],[Winter Clothes Adult]],Table_NFI[Winter Clothes Adult])</f>
        <v>#REF!</v>
      </c>
      <c r="AM477" s="532"/>
      <c r="AN477" s="532"/>
      <c r="AO477" s="532"/>
      <c r="AP477" s="532">
        <f>IF(Table_NFI[[#This Row],[Winter Clothes Adult]]+Table_NFI[[#This Row],[Winter Clothes Children]]+Table_NFI[[#This Row],[Winter Items Other]]+Table_NFI[[#This Row],[Winter Blanket]]&gt;0,1,0)</f>
        <v>0</v>
      </c>
      <c r="AQ477" s="532"/>
      <c r="AR477" s="532"/>
      <c r="AS477" s="532"/>
      <c r="AT477" s="532"/>
      <c r="AU477" s="532"/>
      <c r="AV477" s="532"/>
      <c r="AW477" s="532"/>
      <c r="AX477" s="203" t="str">
        <f>IFERROR(VLOOKUP(Table_NFI[[#This Row],[Location]],CL,2,0),"")</f>
        <v/>
      </c>
      <c r="AZ477" s="524"/>
      <c r="DS477" s="181"/>
      <c r="DT477" s="181"/>
    </row>
    <row r="478" spans="2:124" hidden="1" x14ac:dyDescent="0.3">
      <c r="B478" s="530">
        <v>43424</v>
      </c>
      <c r="C478" s="530" t="str">
        <f>MONTH(Table_NFI[[#This Row],[Distribution Date]]) &amp; "/" &amp; YEAR(Table_NFI[[#This Row],[Distribution Date]])</f>
        <v>11/2018</v>
      </c>
      <c r="D478" s="196" t="s">
        <v>1452</v>
      </c>
      <c r="E478" s="196"/>
      <c r="F478" s="196" t="s">
        <v>506</v>
      </c>
      <c r="G478" s="181" t="s">
        <v>1773</v>
      </c>
      <c r="H478" s="171" t="s">
        <v>367</v>
      </c>
      <c r="I478" s="701"/>
      <c r="J478" s="531"/>
      <c r="K478" s="531"/>
      <c r="L478" s="531">
        <v>1</v>
      </c>
      <c r="M478" s="531"/>
      <c r="N478" s="531"/>
      <c r="O478" s="531"/>
      <c r="P478" s="531">
        <v>1</v>
      </c>
      <c r="Q478" s="531"/>
      <c r="R478" s="531"/>
      <c r="S478" s="531"/>
      <c r="T478" s="531">
        <v>1</v>
      </c>
      <c r="U478" s="531"/>
      <c r="V478" s="531"/>
      <c r="W478" s="531"/>
      <c r="X478" s="531"/>
      <c r="Y478" s="531"/>
      <c r="Z478" s="702"/>
      <c r="AA478" s="531"/>
      <c r="AB478" s="531"/>
      <c r="AC478" s="532" t="e">
        <f>IF(NFI_Expiration=1,IF(#REF!&lt;VLOOKUP(L$5,NFI,5,0),1,0)*Table_NFI[[#This Row],[NFI Core Kit]],Table_NFI[NFI Core Kit])</f>
        <v>#REF!</v>
      </c>
      <c r="AD478" s="532" t="e">
        <f>IF(NFI_Expiration=1,IF(#REF!&lt;VLOOKUP(M$5,NFI,5,0),1,0)*Table_NFI[[#This Row],[Sanitary Kit]],Table_NFI[Sanitary Kit])</f>
        <v>#REF!</v>
      </c>
      <c r="AE478" s="532" t="e">
        <f>IF(NFI_Expiration=1,IF(#REF!&lt;VLOOKUP(N$5,NFI,5,0),1,0)*Table_NFI[[#This Row],[Mosquito net]],Table_NFI[Mosquito net])</f>
        <v>#REF!</v>
      </c>
      <c r="AF478" s="532" t="e">
        <f>IF(NFI_Expiration=1,IF(#REF!&lt;VLOOKUP(O$5,NFI,5,0),1,0)*Table_NFI[[#This Row],[Tarpaulin]],Table_NFI[[#This Row],[Tarpaulin]])</f>
        <v>#REF!</v>
      </c>
      <c r="AG478" s="532" t="e">
        <f>IF(NFI_Expiration=1,IF(#REF!&lt;VLOOKUP(P$5,NFI,5,0),1,0)*Table_NFI[[#This Row],[Blanket]],Table_NFI[[#This Row],[Blanket]])</f>
        <v>#REF!</v>
      </c>
      <c r="AH478" s="532" t="e">
        <f>IF(NFI_Expiration=1,IF(#REF!&lt;VLOOKUP(Q$5,NFI,5,0),1,0)*Table_NFI[[#This Row],[Kitchen Set]],Table_NFI[Kitchen Set])</f>
        <v>#REF!</v>
      </c>
      <c r="AI478" s="532" t="e">
        <f>IF(NFI_Expiration=1,IF(#REF!&lt;VLOOKUP(R$5,NFI,5,0),1,0)*Table_NFI[[#This Row],[Clothes Kit]],Table_NFI[Clothes Kit])</f>
        <v>#REF!</v>
      </c>
      <c r="AJ478" s="532" t="e">
        <f>IF(NFI_Expiration=1,IF(#REF!&lt;VLOOKUP(S$5,NFI,5,0),1,0)*Table_NFI[[#This Row],[Plastic Bucket]],Table_NFI[Plastic Bucket])</f>
        <v>#REF!</v>
      </c>
      <c r="AK478" s="532" t="e">
        <f>IF(NFI_Expiration=1,IF(#REF!&lt;VLOOKUP(T$5,NFI,5,0),1,0)*Table_NFI[[#This Row],[Plastic Mat]],Table_NFI[Plastic Mat])*IF(Table_NFI[[#This Row],[Distribution Date]]&gt;"2014-04-01",1,2.5)</f>
        <v>#REF!</v>
      </c>
      <c r="AL478" s="532" t="e">
        <f>IF(NFI_Expiration=1,IF(#REF!&lt;VLOOKUP(U$5,NFI,5,0),1,0)*Table_NFI[[#This Row],[Winter Clothes Adult]],Table_NFI[Winter Clothes Adult])</f>
        <v>#REF!</v>
      </c>
      <c r="AM478" s="532"/>
      <c r="AN478" s="532"/>
      <c r="AO478" s="532"/>
      <c r="AP478" s="532">
        <f>IF(Table_NFI[[#This Row],[Winter Clothes Adult]]+Table_NFI[[#This Row],[Winter Clothes Children]]+Table_NFI[[#This Row],[Winter Items Other]]+Table_NFI[[#This Row],[Winter Blanket]]&gt;0,1,0)</f>
        <v>0</v>
      </c>
      <c r="AQ478" s="532"/>
      <c r="AR478" s="532"/>
      <c r="AS478" s="532"/>
      <c r="AT478" s="532"/>
      <c r="AU478" s="532"/>
      <c r="AV478" s="532"/>
      <c r="AW478" s="532"/>
      <c r="AX478" s="203" t="str">
        <f>IFERROR(VLOOKUP(Table_NFI[[#This Row],[Location]],CL,2,0),"")</f>
        <v>MMR015CMP016</v>
      </c>
      <c r="AZ478" s="524"/>
      <c r="DS478" s="181"/>
      <c r="DT478" s="181"/>
    </row>
    <row r="479" spans="2:124" hidden="1" x14ac:dyDescent="0.3">
      <c r="B479" s="710">
        <v>43424</v>
      </c>
      <c r="C479" s="530" t="str">
        <f>MONTH(Table_NFI[[#This Row],[Distribution Date]]) &amp; "/" &amp; YEAR(Table_NFI[[#This Row],[Distribution Date]])</f>
        <v>11/2018</v>
      </c>
      <c r="D479" s="196" t="s">
        <v>1452</v>
      </c>
      <c r="E479" s="196"/>
      <c r="F479" s="196" t="s">
        <v>506</v>
      </c>
      <c r="G479" s="709" t="s">
        <v>1773</v>
      </c>
      <c r="H479" s="717" t="s">
        <v>1080</v>
      </c>
      <c r="I479" s="701"/>
      <c r="J479" s="531"/>
      <c r="K479" s="531"/>
      <c r="L479" s="531"/>
      <c r="M479" s="531"/>
      <c r="N479" s="531"/>
      <c r="O479" s="531"/>
      <c r="P479" s="531"/>
      <c r="Q479" s="531"/>
      <c r="R479" s="531"/>
      <c r="S479" s="531"/>
      <c r="T479" s="531">
        <v>1</v>
      </c>
      <c r="U479" s="531"/>
      <c r="V479" s="531"/>
      <c r="W479" s="531"/>
      <c r="X479" s="531"/>
      <c r="Y479" s="531"/>
      <c r="Z479" s="702"/>
      <c r="AA479" s="531"/>
      <c r="AB479" s="531"/>
      <c r="AC479" s="532" t="e">
        <f>IF(NFI_Expiration=1,IF(#REF!&lt;VLOOKUP(L$5,NFI,5,0),1,0)*Table_NFI[[#This Row],[NFI Core Kit]],Table_NFI[NFI Core Kit])</f>
        <v>#REF!</v>
      </c>
      <c r="AD479" s="532" t="e">
        <f>IF(NFI_Expiration=1,IF(#REF!&lt;VLOOKUP(M$5,NFI,5,0),1,0)*Table_NFI[[#This Row],[Sanitary Kit]],Table_NFI[Sanitary Kit])</f>
        <v>#REF!</v>
      </c>
      <c r="AE479" s="532" t="e">
        <f>IF(NFI_Expiration=1,IF(#REF!&lt;VLOOKUP(N$5,NFI,5,0),1,0)*Table_NFI[[#This Row],[Mosquito net]],Table_NFI[Mosquito net])</f>
        <v>#REF!</v>
      </c>
      <c r="AF479" s="532" t="e">
        <f>IF(NFI_Expiration=1,IF(#REF!&lt;VLOOKUP(O$5,NFI,5,0),1,0)*Table_NFI[[#This Row],[Tarpaulin]],Table_NFI[[#This Row],[Tarpaulin]])</f>
        <v>#REF!</v>
      </c>
      <c r="AG479" s="532" t="e">
        <f>IF(NFI_Expiration=1,IF(#REF!&lt;VLOOKUP(P$5,NFI,5,0),1,0)*Table_NFI[[#This Row],[Blanket]],Table_NFI[[#This Row],[Blanket]])</f>
        <v>#REF!</v>
      </c>
      <c r="AH479" s="532" t="e">
        <f>IF(NFI_Expiration=1,IF(#REF!&lt;VLOOKUP(Q$5,NFI,5,0),1,0)*Table_NFI[[#This Row],[Kitchen Set]],Table_NFI[Kitchen Set])</f>
        <v>#REF!</v>
      </c>
      <c r="AI479" s="532" t="e">
        <f>IF(NFI_Expiration=1,IF(#REF!&lt;VLOOKUP(R$5,NFI,5,0),1,0)*Table_NFI[[#This Row],[Clothes Kit]],Table_NFI[Clothes Kit])</f>
        <v>#REF!</v>
      </c>
      <c r="AJ479" s="532" t="e">
        <f>IF(NFI_Expiration=1,IF(#REF!&lt;VLOOKUP(S$5,NFI,5,0),1,0)*Table_NFI[[#This Row],[Plastic Bucket]],Table_NFI[Plastic Bucket])</f>
        <v>#REF!</v>
      </c>
      <c r="AK479" s="532" t="e">
        <f>IF(NFI_Expiration=1,IF(#REF!&lt;VLOOKUP(T$5,NFI,5,0),1,0)*Table_NFI[[#This Row],[Plastic Mat]],Table_NFI[Plastic Mat])*IF(Table_NFI[[#This Row],[Distribution Date]]&gt;"2014-04-01",1,2.5)</f>
        <v>#REF!</v>
      </c>
      <c r="AL479" s="532" t="e">
        <f>IF(NFI_Expiration=1,IF(#REF!&lt;VLOOKUP(U$5,NFI,5,0),1,0)*Table_NFI[[#This Row],[Winter Clothes Adult]],Table_NFI[Winter Clothes Adult])</f>
        <v>#REF!</v>
      </c>
      <c r="AM479" s="532"/>
      <c r="AN479" s="532"/>
      <c r="AO479" s="532"/>
      <c r="AP479" s="532">
        <f>IF(Table_NFI[[#This Row],[Winter Clothes Adult]]+Table_NFI[[#This Row],[Winter Clothes Children]]+Table_NFI[[#This Row],[Winter Items Other]]+Table_NFI[[#This Row],[Winter Blanket]]&gt;0,1,0)</f>
        <v>0</v>
      </c>
      <c r="AQ479" s="532"/>
      <c r="AR479" s="532"/>
      <c r="AS479" s="532"/>
      <c r="AT479" s="532"/>
      <c r="AU479" s="532"/>
      <c r="AV479" s="532"/>
      <c r="AW479" s="532"/>
      <c r="AX479" s="203" t="str">
        <f>IFERROR(VLOOKUP(Table_NFI[[#This Row],[Location]],CL,2,0),"")</f>
        <v>MMR015CMP219</v>
      </c>
      <c r="AZ479" s="524"/>
      <c r="DS479" s="181"/>
      <c r="DT479" s="181"/>
    </row>
    <row r="480" spans="2:124" hidden="1" x14ac:dyDescent="0.3">
      <c r="B480" s="530">
        <v>43430</v>
      </c>
      <c r="C480" s="530" t="str">
        <f>MONTH(Table_NFI[[#This Row],[Distribution Date]]) &amp; "/" &amp; YEAR(Table_NFI[[#This Row],[Distribution Date]])</f>
        <v>11/2018</v>
      </c>
      <c r="D480" s="196" t="s">
        <v>1452</v>
      </c>
      <c r="E480" s="196"/>
      <c r="F480" s="181" t="s">
        <v>506</v>
      </c>
      <c r="G480" s="181" t="s">
        <v>230</v>
      </c>
      <c r="H480" s="195" t="s">
        <v>901</v>
      </c>
      <c r="I480" s="701"/>
      <c r="J480" s="531"/>
      <c r="K480" s="531"/>
      <c r="L480" s="531"/>
      <c r="M480" s="531"/>
      <c r="N480" s="531"/>
      <c r="O480" s="531"/>
      <c r="P480" s="531"/>
      <c r="Q480" s="531">
        <v>41</v>
      </c>
      <c r="R480" s="531"/>
      <c r="S480" s="531"/>
      <c r="T480" s="531"/>
      <c r="U480" s="531"/>
      <c r="V480" s="531"/>
      <c r="W480" s="531"/>
      <c r="X480" s="531"/>
      <c r="Y480" s="531"/>
      <c r="Z480" s="702"/>
      <c r="AA480" s="531"/>
      <c r="AB480" s="531"/>
      <c r="AC480" s="532" t="e">
        <f>IF(NFI_Expiration=1,IF(#REF!&lt;VLOOKUP(L$5,NFI,5,0),1,0)*Table_NFI[[#This Row],[NFI Core Kit]],Table_NFI[NFI Core Kit])</f>
        <v>#REF!</v>
      </c>
      <c r="AD480" s="532" t="e">
        <f>IF(NFI_Expiration=1,IF(#REF!&lt;VLOOKUP(M$5,NFI,5,0),1,0)*Table_NFI[[#This Row],[Sanitary Kit]],Table_NFI[Sanitary Kit])</f>
        <v>#REF!</v>
      </c>
      <c r="AE480" s="532" t="e">
        <f>IF(NFI_Expiration=1,IF(#REF!&lt;VLOOKUP(N$5,NFI,5,0),1,0)*Table_NFI[[#This Row],[Mosquito net]],Table_NFI[Mosquito net])</f>
        <v>#REF!</v>
      </c>
      <c r="AF480" s="532" t="e">
        <f>IF(NFI_Expiration=1,IF(#REF!&lt;VLOOKUP(O$5,NFI,5,0),1,0)*Table_NFI[[#This Row],[Tarpaulin]],Table_NFI[[#This Row],[Tarpaulin]])</f>
        <v>#REF!</v>
      </c>
      <c r="AG480" s="532" t="e">
        <f>IF(NFI_Expiration=1,IF(#REF!&lt;VLOOKUP(P$5,NFI,5,0),1,0)*Table_NFI[[#This Row],[Blanket]],Table_NFI[[#This Row],[Blanket]])</f>
        <v>#REF!</v>
      </c>
      <c r="AH480" s="532" t="e">
        <f>IF(NFI_Expiration=1,IF(#REF!&lt;VLOOKUP(Q$5,NFI,5,0),1,0)*Table_NFI[[#This Row],[Kitchen Set]],Table_NFI[Kitchen Set])</f>
        <v>#REF!</v>
      </c>
      <c r="AI480" s="532" t="e">
        <f>IF(NFI_Expiration=1,IF(#REF!&lt;VLOOKUP(R$5,NFI,5,0),1,0)*Table_NFI[[#This Row],[Clothes Kit]],Table_NFI[Clothes Kit])</f>
        <v>#REF!</v>
      </c>
      <c r="AJ480" s="532" t="e">
        <f>IF(NFI_Expiration=1,IF(#REF!&lt;VLOOKUP(S$5,NFI,5,0),1,0)*Table_NFI[[#This Row],[Plastic Bucket]],Table_NFI[Plastic Bucket])</f>
        <v>#REF!</v>
      </c>
      <c r="AK480" s="532" t="e">
        <f>IF(NFI_Expiration=1,IF(#REF!&lt;VLOOKUP(T$5,NFI,5,0),1,0)*Table_NFI[[#This Row],[Plastic Mat]],Table_NFI[Plastic Mat])*IF(Table_NFI[[#This Row],[Distribution Date]]&gt;"2014-04-01",1,2.5)</f>
        <v>#REF!</v>
      </c>
      <c r="AL480" s="532" t="e">
        <f>IF(NFI_Expiration=1,IF(#REF!&lt;VLOOKUP(U$5,NFI,5,0),1,0)*Table_NFI[[#This Row],[Winter Clothes Adult]],Table_NFI[Winter Clothes Adult])</f>
        <v>#REF!</v>
      </c>
      <c r="AM480" s="532"/>
      <c r="AN480" s="532"/>
      <c r="AO480" s="532"/>
      <c r="AP480" s="532">
        <f>IF(Table_NFI[[#This Row],[Winter Clothes Adult]]+Table_NFI[[#This Row],[Winter Clothes Children]]+Table_NFI[[#This Row],[Winter Items Other]]+Table_NFI[[#This Row],[Winter Blanket]]&gt;0,1,0)</f>
        <v>0</v>
      </c>
      <c r="AQ480" s="532"/>
      <c r="AR480" s="532"/>
      <c r="AS480" s="532"/>
      <c r="AT480" s="532"/>
      <c r="AU480" s="532"/>
      <c r="AV480" s="532"/>
      <c r="AW480" s="532"/>
      <c r="AX480" s="203" t="str">
        <f>IFERROR(VLOOKUP(Table_NFI[[#This Row],[Location]],CL,2,0),"")</f>
        <v>MMR015CMP213</v>
      </c>
      <c r="AZ480" s="524"/>
      <c r="DS480" s="181"/>
      <c r="DT480" s="181"/>
    </row>
    <row r="481" spans="2:124" hidden="1" x14ac:dyDescent="0.3">
      <c r="B481" s="711">
        <v>43431</v>
      </c>
      <c r="C481" s="530" t="str">
        <f>MONTH(Table_NFI[[#This Row],[Distribution Date]]) &amp; "/" &amp; YEAR(Table_NFI[[#This Row],[Distribution Date]])</f>
        <v>11/2018</v>
      </c>
      <c r="D481" s="196" t="s">
        <v>1452</v>
      </c>
      <c r="E481" s="196"/>
      <c r="F481" s="712" t="s">
        <v>506</v>
      </c>
      <c r="G481" s="712" t="s">
        <v>166</v>
      </c>
      <c r="H481" s="718" t="s">
        <v>167</v>
      </c>
      <c r="I481" s="701"/>
      <c r="J481" s="531"/>
      <c r="K481" s="531"/>
      <c r="L481" s="531"/>
      <c r="M481" s="531"/>
      <c r="N481" s="531"/>
      <c r="O481" s="531"/>
      <c r="P481" s="531"/>
      <c r="Q481" s="531">
        <v>30</v>
      </c>
      <c r="R481" s="531"/>
      <c r="S481" s="531"/>
      <c r="T481" s="531"/>
      <c r="U481" s="531"/>
      <c r="V481" s="531"/>
      <c r="W481" s="531"/>
      <c r="X481" s="531"/>
      <c r="Y481" s="531"/>
      <c r="Z481" s="702"/>
      <c r="AA481" s="531"/>
      <c r="AB481" s="531"/>
      <c r="AC481" s="532" t="e">
        <f>IF(NFI_Expiration=1,IF(#REF!&lt;VLOOKUP(L$5,NFI,5,0),1,0)*Table_NFI[[#This Row],[NFI Core Kit]],Table_NFI[NFI Core Kit])</f>
        <v>#REF!</v>
      </c>
      <c r="AD481" s="532" t="e">
        <f>IF(NFI_Expiration=1,IF(#REF!&lt;VLOOKUP(M$5,NFI,5,0),1,0)*Table_NFI[[#This Row],[Sanitary Kit]],Table_NFI[Sanitary Kit])</f>
        <v>#REF!</v>
      </c>
      <c r="AE481" s="532" t="e">
        <f>IF(NFI_Expiration=1,IF(#REF!&lt;VLOOKUP(N$5,NFI,5,0),1,0)*Table_NFI[[#This Row],[Mosquito net]],Table_NFI[Mosquito net])</f>
        <v>#REF!</v>
      </c>
      <c r="AF481" s="532" t="e">
        <f>IF(NFI_Expiration=1,IF(#REF!&lt;VLOOKUP(O$5,NFI,5,0),1,0)*Table_NFI[[#This Row],[Tarpaulin]],Table_NFI[[#This Row],[Tarpaulin]])</f>
        <v>#REF!</v>
      </c>
      <c r="AG481" s="532" t="e">
        <f>IF(NFI_Expiration=1,IF(#REF!&lt;VLOOKUP(P$5,NFI,5,0),1,0)*Table_NFI[[#This Row],[Blanket]],Table_NFI[[#This Row],[Blanket]])</f>
        <v>#REF!</v>
      </c>
      <c r="AH481" s="532" t="e">
        <f>IF(NFI_Expiration=1,IF(#REF!&lt;VLOOKUP(Q$5,NFI,5,0),1,0)*Table_NFI[[#This Row],[Kitchen Set]],Table_NFI[Kitchen Set])</f>
        <v>#REF!</v>
      </c>
      <c r="AI481" s="532" t="e">
        <f>IF(NFI_Expiration=1,IF(#REF!&lt;VLOOKUP(R$5,NFI,5,0),1,0)*Table_NFI[[#This Row],[Clothes Kit]],Table_NFI[Clothes Kit])</f>
        <v>#REF!</v>
      </c>
      <c r="AJ481" s="532" t="e">
        <f>IF(NFI_Expiration=1,IF(#REF!&lt;VLOOKUP(S$5,NFI,5,0),1,0)*Table_NFI[[#This Row],[Plastic Bucket]],Table_NFI[Plastic Bucket])</f>
        <v>#REF!</v>
      </c>
      <c r="AK481" s="532" t="e">
        <f>IF(NFI_Expiration=1,IF(#REF!&lt;VLOOKUP(T$5,NFI,5,0),1,0)*Table_NFI[[#This Row],[Plastic Mat]],Table_NFI[Plastic Mat])*IF(Table_NFI[[#This Row],[Distribution Date]]&gt;"2014-04-01",1,2.5)</f>
        <v>#REF!</v>
      </c>
      <c r="AL481" s="532" t="e">
        <f>IF(NFI_Expiration=1,IF(#REF!&lt;VLOOKUP(U$5,NFI,5,0),1,0)*Table_NFI[[#This Row],[Winter Clothes Adult]],Table_NFI[Winter Clothes Adult])</f>
        <v>#REF!</v>
      </c>
      <c r="AM481" s="532"/>
      <c r="AN481" s="532"/>
      <c r="AO481" s="532"/>
      <c r="AP481" s="532">
        <f>IF(Table_NFI[[#This Row],[Winter Clothes Adult]]+Table_NFI[[#This Row],[Winter Clothes Children]]+Table_NFI[[#This Row],[Winter Items Other]]+Table_NFI[[#This Row],[Winter Blanket]]&gt;0,1,0)</f>
        <v>0</v>
      </c>
      <c r="AQ481" s="532"/>
      <c r="AR481" s="532"/>
      <c r="AS481" s="532"/>
      <c r="AT481" s="532"/>
      <c r="AU481" s="532"/>
      <c r="AV481" s="532"/>
      <c r="AW481" s="532"/>
      <c r="AX481" s="203" t="str">
        <f>IFERROR(VLOOKUP(Table_NFI[[#This Row],[Location]],CL,2,0),"")</f>
        <v>MMR015CMP009</v>
      </c>
      <c r="AZ481" s="524"/>
      <c r="DS481" s="181"/>
      <c r="DT481" s="181"/>
    </row>
    <row r="482" spans="2:124" hidden="1" x14ac:dyDescent="0.3">
      <c r="B482" s="530">
        <v>43432</v>
      </c>
      <c r="C482" s="530" t="str">
        <f>MONTH(Table_NFI[[#This Row],[Distribution Date]]) &amp; "/" &amp; YEAR(Table_NFI[[#This Row],[Distribution Date]])</f>
        <v>11/2018</v>
      </c>
      <c r="D482" s="196" t="s">
        <v>1452</v>
      </c>
      <c r="E482" s="196"/>
      <c r="F482" s="181" t="s">
        <v>506</v>
      </c>
      <c r="G482" s="181" t="s">
        <v>297</v>
      </c>
      <c r="H482" s="196" t="s">
        <v>1501</v>
      </c>
      <c r="I482" s="701"/>
      <c r="J482" s="531"/>
      <c r="K482" s="531"/>
      <c r="L482" s="531"/>
      <c r="M482" s="531"/>
      <c r="N482" s="531"/>
      <c r="O482" s="531"/>
      <c r="P482" s="531"/>
      <c r="Q482" s="531"/>
      <c r="R482" s="531"/>
      <c r="S482" s="531"/>
      <c r="T482" s="531">
        <v>1</v>
      </c>
      <c r="U482" s="531"/>
      <c r="V482" s="531"/>
      <c r="W482" s="531"/>
      <c r="X482" s="531"/>
      <c r="Y482" s="531"/>
      <c r="Z482" s="702"/>
      <c r="AA482" s="531"/>
      <c r="AB482" s="531"/>
      <c r="AC482" s="532" t="e">
        <f>IF(NFI_Expiration=1,IF(#REF!&lt;VLOOKUP(L$5,NFI,5,0),1,0)*Table_NFI[[#This Row],[NFI Core Kit]],Table_NFI[NFI Core Kit])</f>
        <v>#REF!</v>
      </c>
      <c r="AD482" s="532" t="e">
        <f>IF(NFI_Expiration=1,IF(#REF!&lt;VLOOKUP(M$5,NFI,5,0),1,0)*Table_NFI[[#This Row],[Sanitary Kit]],Table_NFI[Sanitary Kit])</f>
        <v>#REF!</v>
      </c>
      <c r="AE482" s="532" t="e">
        <f>IF(NFI_Expiration=1,IF(#REF!&lt;VLOOKUP(N$5,NFI,5,0),1,0)*Table_NFI[[#This Row],[Mosquito net]],Table_NFI[Mosquito net])</f>
        <v>#REF!</v>
      </c>
      <c r="AF482" s="532" t="e">
        <f>IF(NFI_Expiration=1,IF(#REF!&lt;VLOOKUP(O$5,NFI,5,0),1,0)*Table_NFI[[#This Row],[Tarpaulin]],Table_NFI[[#This Row],[Tarpaulin]])</f>
        <v>#REF!</v>
      </c>
      <c r="AG482" s="532" t="e">
        <f>IF(NFI_Expiration=1,IF(#REF!&lt;VLOOKUP(P$5,NFI,5,0),1,0)*Table_NFI[[#This Row],[Blanket]],Table_NFI[[#This Row],[Blanket]])</f>
        <v>#REF!</v>
      </c>
      <c r="AH482" s="532" t="e">
        <f>IF(NFI_Expiration=1,IF(#REF!&lt;VLOOKUP(Q$5,NFI,5,0),1,0)*Table_NFI[[#This Row],[Kitchen Set]],Table_NFI[Kitchen Set])</f>
        <v>#REF!</v>
      </c>
      <c r="AI482" s="532" t="e">
        <f>IF(NFI_Expiration=1,IF(#REF!&lt;VLOOKUP(R$5,NFI,5,0),1,0)*Table_NFI[[#This Row],[Clothes Kit]],Table_NFI[Clothes Kit])</f>
        <v>#REF!</v>
      </c>
      <c r="AJ482" s="532" t="e">
        <f>IF(NFI_Expiration=1,IF(#REF!&lt;VLOOKUP(S$5,NFI,5,0),1,0)*Table_NFI[[#This Row],[Plastic Bucket]],Table_NFI[Plastic Bucket])</f>
        <v>#REF!</v>
      </c>
      <c r="AK482" s="532" t="e">
        <f>IF(NFI_Expiration=1,IF(#REF!&lt;VLOOKUP(T$5,NFI,5,0),1,0)*Table_NFI[[#This Row],[Plastic Mat]],Table_NFI[Plastic Mat])*IF(Table_NFI[[#This Row],[Distribution Date]]&gt;"2014-04-01",1,2.5)</f>
        <v>#REF!</v>
      </c>
      <c r="AL482" s="532" t="e">
        <f>IF(NFI_Expiration=1,IF(#REF!&lt;VLOOKUP(U$5,NFI,5,0),1,0)*Table_NFI[[#This Row],[Winter Clothes Adult]],Table_NFI[Winter Clothes Adult])</f>
        <v>#REF!</v>
      </c>
      <c r="AM482" s="532"/>
      <c r="AN482" s="532"/>
      <c r="AO482" s="532"/>
      <c r="AP482" s="532">
        <f>IF(Table_NFI[[#This Row],[Winter Clothes Adult]]+Table_NFI[[#This Row],[Winter Clothes Children]]+Table_NFI[[#This Row],[Winter Items Other]]+Table_NFI[[#This Row],[Winter Blanket]]&gt;0,1,0)</f>
        <v>0</v>
      </c>
      <c r="AQ482" s="532"/>
      <c r="AR482" s="532"/>
      <c r="AS482" s="532"/>
      <c r="AT482" s="532"/>
      <c r="AU482" s="532"/>
      <c r="AV482" s="532"/>
      <c r="AW482" s="532"/>
      <c r="AX482" s="203" t="str">
        <f>IFERROR(VLOOKUP(Table_NFI[[#This Row],[Location]],CL,2,0),"")</f>
        <v/>
      </c>
      <c r="AZ482" s="524"/>
      <c r="DS482" s="181"/>
      <c r="DT482" s="181"/>
    </row>
    <row r="483" spans="2:124" hidden="1" x14ac:dyDescent="0.3">
      <c r="B483" s="711">
        <v>43433</v>
      </c>
      <c r="C483" s="530" t="str">
        <f>MONTH(Table_NFI[[#This Row],[Distribution Date]]) &amp; "/" &amp; YEAR(Table_NFI[[#This Row],[Distribution Date]])</f>
        <v>11/2018</v>
      </c>
      <c r="D483" s="196" t="s">
        <v>1452</v>
      </c>
      <c r="E483" s="196"/>
      <c r="F483" s="707" t="s">
        <v>506</v>
      </c>
      <c r="G483" s="708" t="s">
        <v>1773</v>
      </c>
      <c r="H483" s="719" t="s">
        <v>1496</v>
      </c>
      <c r="I483" s="210">
        <v>3</v>
      </c>
      <c r="J483" s="531"/>
      <c r="K483" s="531"/>
      <c r="L483" s="531"/>
      <c r="M483" s="531"/>
      <c r="N483" s="531"/>
      <c r="O483" s="531"/>
      <c r="P483" s="531"/>
      <c r="Q483" s="531"/>
      <c r="R483" s="531"/>
      <c r="S483" s="531"/>
      <c r="T483" s="531"/>
      <c r="U483" s="531"/>
      <c r="V483" s="531"/>
      <c r="W483" s="531"/>
      <c r="X483" s="531"/>
      <c r="Y483" s="531"/>
      <c r="Z483" s="702"/>
      <c r="AA483" s="531"/>
      <c r="AB483" s="531"/>
      <c r="AC483" s="532" t="e">
        <f>IF(NFI_Expiration=1,IF(#REF!&lt;VLOOKUP(L$5,NFI,5,0),1,0)*Table_NFI[[#This Row],[NFI Core Kit]],Table_NFI[NFI Core Kit])</f>
        <v>#REF!</v>
      </c>
      <c r="AD483" s="532" t="e">
        <f>IF(NFI_Expiration=1,IF(#REF!&lt;VLOOKUP(M$5,NFI,5,0),1,0)*Table_NFI[[#This Row],[Sanitary Kit]],Table_NFI[Sanitary Kit])</f>
        <v>#REF!</v>
      </c>
      <c r="AE483" s="532" t="e">
        <f>IF(NFI_Expiration=1,IF(#REF!&lt;VLOOKUP(N$5,NFI,5,0),1,0)*Table_NFI[[#This Row],[Mosquito net]],Table_NFI[Mosquito net])</f>
        <v>#REF!</v>
      </c>
      <c r="AF483" s="532" t="e">
        <f>IF(NFI_Expiration=1,IF(#REF!&lt;VLOOKUP(O$5,NFI,5,0),1,0)*Table_NFI[[#This Row],[Tarpaulin]],Table_NFI[[#This Row],[Tarpaulin]])</f>
        <v>#REF!</v>
      </c>
      <c r="AG483" s="532" t="e">
        <f>IF(NFI_Expiration=1,IF(#REF!&lt;VLOOKUP(P$5,NFI,5,0),1,0)*Table_NFI[[#This Row],[Blanket]],Table_NFI[[#This Row],[Blanket]])</f>
        <v>#REF!</v>
      </c>
      <c r="AH483" s="532" t="e">
        <f>IF(NFI_Expiration=1,IF(#REF!&lt;VLOOKUP(Q$5,NFI,5,0),1,0)*Table_NFI[[#This Row],[Kitchen Set]],Table_NFI[Kitchen Set])</f>
        <v>#REF!</v>
      </c>
      <c r="AI483" s="532" t="e">
        <f>IF(NFI_Expiration=1,IF(#REF!&lt;VLOOKUP(R$5,NFI,5,0),1,0)*Table_NFI[[#This Row],[Clothes Kit]],Table_NFI[Clothes Kit])</f>
        <v>#REF!</v>
      </c>
      <c r="AJ483" s="532" t="e">
        <f>IF(NFI_Expiration=1,IF(#REF!&lt;VLOOKUP(S$5,NFI,5,0),1,0)*Table_NFI[[#This Row],[Plastic Bucket]],Table_NFI[Plastic Bucket])</f>
        <v>#REF!</v>
      </c>
      <c r="AK483" s="532" t="e">
        <f>IF(NFI_Expiration=1,IF(#REF!&lt;VLOOKUP(T$5,NFI,5,0),1,0)*Table_NFI[[#This Row],[Plastic Mat]],Table_NFI[Plastic Mat])*IF(Table_NFI[[#This Row],[Distribution Date]]&gt;"2014-04-01",1,2.5)</f>
        <v>#REF!</v>
      </c>
      <c r="AL483" s="532" t="e">
        <f>IF(NFI_Expiration=1,IF(#REF!&lt;VLOOKUP(U$5,NFI,5,0),1,0)*Table_NFI[[#This Row],[Winter Clothes Adult]],Table_NFI[Winter Clothes Adult])</f>
        <v>#REF!</v>
      </c>
      <c r="AM483" s="532"/>
      <c r="AN483" s="532"/>
      <c r="AO483" s="532"/>
      <c r="AP483" s="532">
        <f>IF(Table_NFI[[#This Row],[Winter Clothes Adult]]+Table_NFI[[#This Row],[Winter Clothes Children]]+Table_NFI[[#This Row],[Winter Items Other]]+Table_NFI[[#This Row],[Winter Blanket]]&gt;0,1,0)</f>
        <v>0</v>
      </c>
      <c r="AQ483" s="532"/>
      <c r="AR483" s="532"/>
      <c r="AS483" s="532"/>
      <c r="AT483" s="532"/>
      <c r="AU483" s="532"/>
      <c r="AV483" s="532"/>
      <c r="AW483" s="532"/>
      <c r="AX483" s="203" t="str">
        <f>IFERROR(VLOOKUP(Table_NFI[[#This Row],[Location]],CL,2,0),"")</f>
        <v/>
      </c>
      <c r="AZ483" s="524"/>
      <c r="DS483" s="181"/>
      <c r="DT483" s="181"/>
    </row>
    <row r="484" spans="2:124" hidden="1" x14ac:dyDescent="0.3">
      <c r="B484" s="530">
        <v>43433</v>
      </c>
      <c r="C484" s="530" t="str">
        <f>MONTH(Table_NFI[[#This Row],[Distribution Date]]) &amp; "/" &amp; YEAR(Table_NFI[[#This Row],[Distribution Date]])</f>
        <v>11/2018</v>
      </c>
      <c r="D484" s="196" t="s">
        <v>1452</v>
      </c>
      <c r="E484" s="196"/>
      <c r="F484" s="181" t="s">
        <v>506</v>
      </c>
      <c r="G484" s="181" t="s">
        <v>297</v>
      </c>
      <c r="H484" s="195" t="s">
        <v>759</v>
      </c>
      <c r="I484" s="701"/>
      <c r="J484" s="531"/>
      <c r="K484" s="531"/>
      <c r="L484" s="531"/>
      <c r="M484" s="531"/>
      <c r="N484" s="531"/>
      <c r="O484" s="531"/>
      <c r="P484" s="531"/>
      <c r="Q484" s="531"/>
      <c r="R484" s="531"/>
      <c r="S484" s="531"/>
      <c r="T484" s="531"/>
      <c r="U484" s="531"/>
      <c r="V484" s="531"/>
      <c r="W484" s="531"/>
      <c r="X484" s="531"/>
      <c r="Y484" s="531"/>
      <c r="Z484" s="702"/>
      <c r="AA484" s="531"/>
      <c r="AB484" s="531"/>
      <c r="AC484" s="532" t="e">
        <f>IF(NFI_Expiration=1,IF(#REF!&lt;VLOOKUP(L$5,NFI,5,0),1,0)*Table_NFI[[#This Row],[NFI Core Kit]],Table_NFI[NFI Core Kit])</f>
        <v>#REF!</v>
      </c>
      <c r="AD484" s="532" t="e">
        <f>IF(NFI_Expiration=1,IF(#REF!&lt;VLOOKUP(M$5,NFI,5,0),1,0)*Table_NFI[[#This Row],[Sanitary Kit]],Table_NFI[Sanitary Kit])</f>
        <v>#REF!</v>
      </c>
      <c r="AE484" s="532" t="e">
        <f>IF(NFI_Expiration=1,IF(#REF!&lt;VLOOKUP(N$5,NFI,5,0),1,0)*Table_NFI[[#This Row],[Mosquito net]],Table_NFI[Mosquito net])</f>
        <v>#REF!</v>
      </c>
      <c r="AF484" s="532" t="e">
        <f>IF(NFI_Expiration=1,IF(#REF!&lt;VLOOKUP(O$5,NFI,5,0),1,0)*Table_NFI[[#This Row],[Tarpaulin]],Table_NFI[[#This Row],[Tarpaulin]])</f>
        <v>#REF!</v>
      </c>
      <c r="AG484" s="532" t="e">
        <f>IF(NFI_Expiration=1,IF(#REF!&lt;VLOOKUP(P$5,NFI,5,0),1,0)*Table_NFI[[#This Row],[Blanket]],Table_NFI[[#This Row],[Blanket]])</f>
        <v>#REF!</v>
      </c>
      <c r="AH484" s="532" t="e">
        <f>IF(NFI_Expiration=1,IF(#REF!&lt;VLOOKUP(Q$5,NFI,5,0),1,0)*Table_NFI[[#This Row],[Kitchen Set]],Table_NFI[Kitchen Set])</f>
        <v>#REF!</v>
      </c>
      <c r="AI484" s="532" t="e">
        <f>IF(NFI_Expiration=1,IF(#REF!&lt;VLOOKUP(R$5,NFI,5,0),1,0)*Table_NFI[[#This Row],[Clothes Kit]],Table_NFI[Clothes Kit])</f>
        <v>#REF!</v>
      </c>
      <c r="AJ484" s="532" t="e">
        <f>IF(NFI_Expiration=1,IF(#REF!&lt;VLOOKUP(S$5,NFI,5,0),1,0)*Table_NFI[[#This Row],[Plastic Bucket]],Table_NFI[Plastic Bucket])</f>
        <v>#REF!</v>
      </c>
      <c r="AK484" s="532" t="e">
        <f>IF(NFI_Expiration=1,IF(#REF!&lt;VLOOKUP(T$5,NFI,5,0),1,0)*Table_NFI[[#This Row],[Plastic Mat]],Table_NFI[Plastic Mat])*IF(Table_NFI[[#This Row],[Distribution Date]]&gt;"2014-04-01",1,2.5)</f>
        <v>#REF!</v>
      </c>
      <c r="AL484" s="532" t="e">
        <f>IF(NFI_Expiration=1,IF(#REF!&lt;VLOOKUP(U$5,NFI,5,0),1,0)*Table_NFI[[#This Row],[Winter Clothes Adult]],Table_NFI[Winter Clothes Adult])</f>
        <v>#REF!</v>
      </c>
      <c r="AM484" s="532"/>
      <c r="AN484" s="532"/>
      <c r="AO484" s="532"/>
      <c r="AP484" s="532">
        <f>IF(Table_NFI[[#This Row],[Winter Clothes Adult]]+Table_NFI[[#This Row],[Winter Clothes Children]]+Table_NFI[[#This Row],[Winter Items Other]]+Table_NFI[[#This Row],[Winter Blanket]]&gt;0,1,0)</f>
        <v>0</v>
      </c>
      <c r="AQ484" s="532"/>
      <c r="AR484" s="532"/>
      <c r="AS484" s="532"/>
      <c r="AT484" s="532"/>
      <c r="AU484" s="532"/>
      <c r="AV484" s="532"/>
      <c r="AW484" s="532"/>
      <c r="AX484" s="203" t="str">
        <f>IFERROR(VLOOKUP(Table_NFI[[#This Row],[Location]],CL,2,0),"")</f>
        <v>MMR015CMP014</v>
      </c>
      <c r="AZ484" s="524"/>
      <c r="DS484" s="181"/>
      <c r="DT484" s="181"/>
    </row>
    <row r="485" spans="2:124" hidden="1" x14ac:dyDescent="0.3">
      <c r="B485" s="710">
        <v>43433</v>
      </c>
      <c r="C485" s="530" t="str">
        <f>MONTH(Table_NFI[[#This Row],[Distribution Date]]) &amp; "/" &amp; YEAR(Table_NFI[[#This Row],[Distribution Date]])</f>
        <v>11/2018</v>
      </c>
      <c r="D485" s="196" t="s">
        <v>1452</v>
      </c>
      <c r="E485" s="196"/>
      <c r="F485" s="708" t="s">
        <v>506</v>
      </c>
      <c r="G485" s="708" t="s">
        <v>1774</v>
      </c>
      <c r="H485" s="718" t="s">
        <v>1128</v>
      </c>
      <c r="I485" s="701"/>
      <c r="J485" s="531"/>
      <c r="K485" s="531"/>
      <c r="L485" s="531"/>
      <c r="M485" s="531"/>
      <c r="N485" s="531"/>
      <c r="O485" s="531"/>
      <c r="P485" s="531"/>
      <c r="Q485" s="531"/>
      <c r="R485" s="531"/>
      <c r="S485" s="531"/>
      <c r="T485" s="531"/>
      <c r="U485" s="531"/>
      <c r="V485" s="531"/>
      <c r="W485" s="531">
        <v>62</v>
      </c>
      <c r="X485" s="531"/>
      <c r="Y485" s="531"/>
      <c r="Z485" s="702"/>
      <c r="AA485" s="531"/>
      <c r="AB485" s="531"/>
      <c r="AC485" s="532" t="e">
        <f>IF(NFI_Expiration=1,IF(#REF!&lt;VLOOKUP(L$5,NFI,5,0),1,0)*Table_NFI[[#This Row],[NFI Core Kit]],Table_NFI[NFI Core Kit])</f>
        <v>#REF!</v>
      </c>
      <c r="AD485" s="532" t="e">
        <f>IF(NFI_Expiration=1,IF(#REF!&lt;VLOOKUP(M$5,NFI,5,0),1,0)*Table_NFI[[#This Row],[Sanitary Kit]],Table_NFI[Sanitary Kit])</f>
        <v>#REF!</v>
      </c>
      <c r="AE485" s="532" t="e">
        <f>IF(NFI_Expiration=1,IF(#REF!&lt;VLOOKUP(N$5,NFI,5,0),1,0)*Table_NFI[[#This Row],[Mosquito net]],Table_NFI[Mosquito net])</f>
        <v>#REF!</v>
      </c>
      <c r="AF485" s="532" t="e">
        <f>IF(NFI_Expiration=1,IF(#REF!&lt;VLOOKUP(O$5,NFI,5,0),1,0)*Table_NFI[[#This Row],[Tarpaulin]],Table_NFI[[#This Row],[Tarpaulin]])</f>
        <v>#REF!</v>
      </c>
      <c r="AG485" s="532" t="e">
        <f>IF(NFI_Expiration=1,IF(#REF!&lt;VLOOKUP(P$5,NFI,5,0),1,0)*Table_NFI[[#This Row],[Blanket]],Table_NFI[[#This Row],[Blanket]])</f>
        <v>#REF!</v>
      </c>
      <c r="AH485" s="532" t="e">
        <f>IF(NFI_Expiration=1,IF(#REF!&lt;VLOOKUP(Q$5,NFI,5,0),1,0)*Table_NFI[[#This Row],[Kitchen Set]],Table_NFI[Kitchen Set])</f>
        <v>#REF!</v>
      </c>
      <c r="AI485" s="532" t="e">
        <f>IF(NFI_Expiration=1,IF(#REF!&lt;VLOOKUP(R$5,NFI,5,0),1,0)*Table_NFI[[#This Row],[Clothes Kit]],Table_NFI[Clothes Kit])</f>
        <v>#REF!</v>
      </c>
      <c r="AJ485" s="532" t="e">
        <f>IF(NFI_Expiration=1,IF(#REF!&lt;VLOOKUP(S$5,NFI,5,0),1,0)*Table_NFI[[#This Row],[Plastic Bucket]],Table_NFI[Plastic Bucket])</f>
        <v>#REF!</v>
      </c>
      <c r="AK485" s="532" t="e">
        <f>IF(NFI_Expiration=1,IF(#REF!&lt;VLOOKUP(T$5,NFI,5,0),1,0)*Table_NFI[[#This Row],[Plastic Mat]],Table_NFI[Plastic Mat])*IF(Table_NFI[[#This Row],[Distribution Date]]&gt;"2014-04-01",1,2.5)</f>
        <v>#REF!</v>
      </c>
      <c r="AL485" s="532" t="e">
        <f>IF(NFI_Expiration=1,IF(#REF!&lt;VLOOKUP(U$5,NFI,5,0),1,0)*Table_NFI[[#This Row],[Winter Clothes Adult]],Table_NFI[Winter Clothes Adult])</f>
        <v>#REF!</v>
      </c>
      <c r="AM485" s="532"/>
      <c r="AN485" s="532"/>
      <c r="AO485" s="532"/>
      <c r="AP485" s="532">
        <f>IF(Table_NFI[[#This Row],[Winter Clothes Adult]]+Table_NFI[[#This Row],[Winter Clothes Children]]+Table_NFI[[#This Row],[Winter Items Other]]+Table_NFI[[#This Row],[Winter Blanket]]&gt;0,1,0)</f>
        <v>1</v>
      </c>
      <c r="AQ485" s="532"/>
      <c r="AR485" s="532"/>
      <c r="AS485" s="532"/>
      <c r="AT485" s="532"/>
      <c r="AU485" s="532"/>
      <c r="AV485" s="532"/>
      <c r="AW485" s="532"/>
      <c r="AX485" s="203" t="str">
        <f>IFERROR(VLOOKUP(Table_NFI[[#This Row],[Location]],CL,2,0),"")</f>
        <v>MMR015CMP224</v>
      </c>
      <c r="AZ485" s="524"/>
      <c r="DS485" s="181"/>
      <c r="DT485" s="181"/>
    </row>
    <row r="486" spans="2:124" hidden="1" x14ac:dyDescent="0.3">
      <c r="B486" s="530">
        <v>43434</v>
      </c>
      <c r="C486" s="530" t="str">
        <f>MONTH(Table_NFI[[#This Row],[Distribution Date]]) &amp; "/" &amp; YEAR(Table_NFI[[#This Row],[Distribution Date]])</f>
        <v>11/2018</v>
      </c>
      <c r="D486" s="196" t="s">
        <v>1452</v>
      </c>
      <c r="E486" s="196"/>
      <c r="F486" s="181" t="s">
        <v>506</v>
      </c>
      <c r="G486" s="181" t="s">
        <v>297</v>
      </c>
      <c r="H486" s="196" t="s">
        <v>1189</v>
      </c>
      <c r="I486" s="210">
        <v>3</v>
      </c>
      <c r="J486" s="531"/>
      <c r="K486" s="531"/>
      <c r="L486" s="531">
        <v>1</v>
      </c>
      <c r="M486" s="531"/>
      <c r="N486" s="531"/>
      <c r="O486" s="531"/>
      <c r="P486" s="531"/>
      <c r="Q486" s="531"/>
      <c r="R486" s="531"/>
      <c r="S486" s="531"/>
      <c r="T486" s="531"/>
      <c r="U486" s="531"/>
      <c r="V486" s="531"/>
      <c r="W486" s="531"/>
      <c r="X486" s="531"/>
      <c r="Y486" s="531"/>
      <c r="Z486" s="702"/>
      <c r="AA486" s="531"/>
      <c r="AB486" s="531"/>
      <c r="AC486" s="532" t="e">
        <f>IF(NFI_Expiration=1,IF(#REF!&lt;VLOOKUP(L$5,NFI,5,0),1,0)*Table_NFI[[#This Row],[NFI Core Kit]],Table_NFI[NFI Core Kit])</f>
        <v>#REF!</v>
      </c>
      <c r="AD486" s="532" t="e">
        <f>IF(NFI_Expiration=1,IF(#REF!&lt;VLOOKUP(M$5,NFI,5,0),1,0)*Table_NFI[[#This Row],[Sanitary Kit]],Table_NFI[Sanitary Kit])</f>
        <v>#REF!</v>
      </c>
      <c r="AE486" s="532" t="e">
        <f>IF(NFI_Expiration=1,IF(#REF!&lt;VLOOKUP(N$5,NFI,5,0),1,0)*Table_NFI[[#This Row],[Mosquito net]],Table_NFI[Mosquito net])</f>
        <v>#REF!</v>
      </c>
      <c r="AF486" s="532" t="e">
        <f>IF(NFI_Expiration=1,IF(#REF!&lt;VLOOKUP(O$5,NFI,5,0),1,0)*Table_NFI[[#This Row],[Tarpaulin]],Table_NFI[[#This Row],[Tarpaulin]])</f>
        <v>#REF!</v>
      </c>
      <c r="AG486" s="532" t="e">
        <f>IF(NFI_Expiration=1,IF(#REF!&lt;VLOOKUP(P$5,NFI,5,0),1,0)*Table_NFI[[#This Row],[Blanket]],Table_NFI[[#This Row],[Blanket]])</f>
        <v>#REF!</v>
      </c>
      <c r="AH486" s="532" t="e">
        <f>IF(NFI_Expiration=1,IF(#REF!&lt;VLOOKUP(Q$5,NFI,5,0),1,0)*Table_NFI[[#This Row],[Kitchen Set]],Table_NFI[Kitchen Set])</f>
        <v>#REF!</v>
      </c>
      <c r="AI486" s="532" t="e">
        <f>IF(NFI_Expiration=1,IF(#REF!&lt;VLOOKUP(R$5,NFI,5,0),1,0)*Table_NFI[[#This Row],[Clothes Kit]],Table_NFI[Clothes Kit])</f>
        <v>#REF!</v>
      </c>
      <c r="AJ486" s="532" t="e">
        <f>IF(NFI_Expiration=1,IF(#REF!&lt;VLOOKUP(S$5,NFI,5,0),1,0)*Table_NFI[[#This Row],[Plastic Bucket]],Table_NFI[Plastic Bucket])</f>
        <v>#REF!</v>
      </c>
      <c r="AK486" s="532" t="e">
        <f>IF(NFI_Expiration=1,IF(#REF!&lt;VLOOKUP(T$5,NFI,5,0),1,0)*Table_NFI[[#This Row],[Plastic Mat]],Table_NFI[Plastic Mat])*IF(Table_NFI[[#This Row],[Distribution Date]]&gt;"2014-04-01",1,2.5)</f>
        <v>#REF!</v>
      </c>
      <c r="AL486" s="532" t="e">
        <f>IF(NFI_Expiration=1,IF(#REF!&lt;VLOOKUP(U$5,NFI,5,0),1,0)*Table_NFI[[#This Row],[Winter Clothes Adult]],Table_NFI[Winter Clothes Adult])</f>
        <v>#REF!</v>
      </c>
      <c r="AM486" s="532"/>
      <c r="AN486" s="532"/>
      <c r="AO486" s="532"/>
      <c r="AP486" s="532">
        <f>IF(Table_NFI[[#This Row],[Winter Clothes Adult]]+Table_NFI[[#This Row],[Winter Clothes Children]]+Table_NFI[[#This Row],[Winter Items Other]]+Table_NFI[[#This Row],[Winter Blanket]]&gt;0,1,0)</f>
        <v>0</v>
      </c>
      <c r="AQ486" s="532"/>
      <c r="AR486" s="532"/>
      <c r="AS486" s="532"/>
      <c r="AT486" s="532"/>
      <c r="AU486" s="532"/>
      <c r="AV486" s="532"/>
      <c r="AW486" s="532"/>
      <c r="AX486" s="203" t="str">
        <f>IFERROR(VLOOKUP(Table_NFI[[#This Row],[Location]],CL,2,0),"")</f>
        <v>MMR015CMP232</v>
      </c>
      <c r="AZ486" s="524"/>
      <c r="DS486" s="181"/>
      <c r="DT486" s="181"/>
    </row>
    <row r="487" spans="2:124" hidden="1" x14ac:dyDescent="0.3">
      <c r="B487" s="711">
        <v>43434</v>
      </c>
      <c r="C487" s="530" t="str">
        <f>MONTH(Table_NFI[[#This Row],[Distribution Date]]) &amp; "/" &amp; YEAR(Table_NFI[[#This Row],[Distribution Date]])</f>
        <v>11/2018</v>
      </c>
      <c r="D487" s="196" t="s">
        <v>1452</v>
      </c>
      <c r="E487" s="196"/>
      <c r="F487" s="707" t="s">
        <v>378</v>
      </c>
      <c r="G487" s="707" t="s">
        <v>151</v>
      </c>
      <c r="H487" s="716" t="s">
        <v>1479</v>
      </c>
      <c r="I487" s="701"/>
      <c r="J487" s="531"/>
      <c r="K487" s="531"/>
      <c r="L487" s="531"/>
      <c r="M487" s="531"/>
      <c r="N487" s="531"/>
      <c r="O487" s="531"/>
      <c r="P487" s="531"/>
      <c r="Q487" s="531"/>
      <c r="R487" s="531"/>
      <c r="S487" s="531"/>
      <c r="T487" s="531">
        <v>1</v>
      </c>
      <c r="U487" s="531"/>
      <c r="V487" s="531"/>
      <c r="W487" s="531"/>
      <c r="X487" s="531"/>
      <c r="Y487" s="531"/>
      <c r="Z487" s="702"/>
      <c r="AA487" s="531"/>
      <c r="AB487" s="531"/>
      <c r="AC487" s="532" t="e">
        <f>IF(NFI_Expiration=1,IF(#REF!&lt;VLOOKUP(L$5,NFI,5,0),1,0)*Table_NFI[[#This Row],[NFI Core Kit]],Table_NFI[NFI Core Kit])</f>
        <v>#REF!</v>
      </c>
      <c r="AD487" s="532" t="e">
        <f>IF(NFI_Expiration=1,IF(#REF!&lt;VLOOKUP(M$5,NFI,5,0),1,0)*Table_NFI[[#This Row],[Sanitary Kit]],Table_NFI[Sanitary Kit])</f>
        <v>#REF!</v>
      </c>
      <c r="AE487" s="532" t="e">
        <f>IF(NFI_Expiration=1,IF(#REF!&lt;VLOOKUP(N$5,NFI,5,0),1,0)*Table_NFI[[#This Row],[Mosquito net]],Table_NFI[Mosquito net])</f>
        <v>#REF!</v>
      </c>
      <c r="AF487" s="532" t="e">
        <f>IF(NFI_Expiration=1,IF(#REF!&lt;VLOOKUP(O$5,NFI,5,0),1,0)*Table_NFI[[#This Row],[Tarpaulin]],Table_NFI[[#This Row],[Tarpaulin]])</f>
        <v>#REF!</v>
      </c>
      <c r="AG487" s="532" t="e">
        <f>IF(NFI_Expiration=1,IF(#REF!&lt;VLOOKUP(P$5,NFI,5,0),1,0)*Table_NFI[[#This Row],[Blanket]],Table_NFI[[#This Row],[Blanket]])</f>
        <v>#REF!</v>
      </c>
      <c r="AH487" s="532" t="e">
        <f>IF(NFI_Expiration=1,IF(#REF!&lt;VLOOKUP(Q$5,NFI,5,0),1,0)*Table_NFI[[#This Row],[Kitchen Set]],Table_NFI[Kitchen Set])</f>
        <v>#REF!</v>
      </c>
      <c r="AI487" s="532" t="e">
        <f>IF(NFI_Expiration=1,IF(#REF!&lt;VLOOKUP(R$5,NFI,5,0),1,0)*Table_NFI[[#This Row],[Clothes Kit]],Table_NFI[Clothes Kit])</f>
        <v>#REF!</v>
      </c>
      <c r="AJ487" s="532" t="e">
        <f>IF(NFI_Expiration=1,IF(#REF!&lt;VLOOKUP(S$5,NFI,5,0),1,0)*Table_NFI[[#This Row],[Plastic Bucket]],Table_NFI[Plastic Bucket])</f>
        <v>#REF!</v>
      </c>
      <c r="AK487" s="532" t="e">
        <f>IF(NFI_Expiration=1,IF(#REF!&lt;VLOOKUP(T$5,NFI,5,0),1,0)*Table_NFI[[#This Row],[Plastic Mat]],Table_NFI[Plastic Mat])*IF(Table_NFI[[#This Row],[Distribution Date]]&gt;"2014-04-01",1,2.5)</f>
        <v>#REF!</v>
      </c>
      <c r="AL487" s="532" t="e">
        <f>IF(NFI_Expiration=1,IF(#REF!&lt;VLOOKUP(U$5,NFI,5,0),1,0)*Table_NFI[[#This Row],[Winter Clothes Adult]],Table_NFI[Winter Clothes Adult])</f>
        <v>#REF!</v>
      </c>
      <c r="AM487" s="532"/>
      <c r="AN487" s="532"/>
      <c r="AO487" s="532"/>
      <c r="AP487" s="532">
        <f>IF(Table_NFI[[#This Row],[Winter Clothes Adult]]+Table_NFI[[#This Row],[Winter Clothes Children]]+Table_NFI[[#This Row],[Winter Items Other]]+Table_NFI[[#This Row],[Winter Blanket]]&gt;0,1,0)</f>
        <v>0</v>
      </c>
      <c r="AQ487" s="532"/>
      <c r="AR487" s="532"/>
      <c r="AS487" s="532"/>
      <c r="AT487" s="532"/>
      <c r="AU487" s="532"/>
      <c r="AV487" s="532"/>
      <c r="AW487" s="532"/>
      <c r="AX487" s="203" t="str">
        <f>IFERROR(VLOOKUP(Table_NFI[[#This Row],[Location]],CL,2,0),"")</f>
        <v/>
      </c>
      <c r="AZ487" s="524"/>
      <c r="DS487" s="181"/>
      <c r="DT487" s="181"/>
    </row>
    <row r="488" spans="2:124" hidden="1" x14ac:dyDescent="0.3">
      <c r="B488" s="530">
        <v>43434</v>
      </c>
      <c r="C488" s="530" t="str">
        <f>MONTH(Table_NFI[[#This Row],[Distribution Date]]) &amp; "/" &amp; YEAR(Table_NFI[[#This Row],[Distribution Date]])</f>
        <v>11/2018</v>
      </c>
      <c r="D488" s="196" t="s">
        <v>1452</v>
      </c>
      <c r="E488" s="196"/>
      <c r="F488" s="181" t="s">
        <v>506</v>
      </c>
      <c r="G488" s="181" t="s">
        <v>1774</v>
      </c>
      <c r="H488" s="195" t="s">
        <v>289</v>
      </c>
      <c r="I488" s="701"/>
      <c r="J488" s="531"/>
      <c r="K488" s="531"/>
      <c r="L488" s="531"/>
      <c r="M488" s="531"/>
      <c r="N488" s="531"/>
      <c r="O488" s="531"/>
      <c r="P488" s="531"/>
      <c r="Q488" s="531"/>
      <c r="R488" s="531"/>
      <c r="S488" s="531"/>
      <c r="T488" s="531">
        <v>1</v>
      </c>
      <c r="U488" s="531"/>
      <c r="V488" s="531"/>
      <c r="W488" s="531"/>
      <c r="X488" s="531"/>
      <c r="Y488" s="531"/>
      <c r="Z488" s="702"/>
      <c r="AA488" s="531"/>
      <c r="AB488" s="531"/>
      <c r="AC488" s="532" t="e">
        <f>IF(NFI_Expiration=1,IF(#REF!&lt;VLOOKUP(L$5,NFI,5,0),1,0)*Table_NFI[[#This Row],[NFI Core Kit]],Table_NFI[NFI Core Kit])</f>
        <v>#REF!</v>
      </c>
      <c r="AD488" s="532" t="e">
        <f>IF(NFI_Expiration=1,IF(#REF!&lt;VLOOKUP(M$5,NFI,5,0),1,0)*Table_NFI[[#This Row],[Sanitary Kit]],Table_NFI[Sanitary Kit])</f>
        <v>#REF!</v>
      </c>
      <c r="AE488" s="532" t="e">
        <f>IF(NFI_Expiration=1,IF(#REF!&lt;VLOOKUP(N$5,NFI,5,0),1,0)*Table_NFI[[#This Row],[Mosquito net]],Table_NFI[Mosquito net])</f>
        <v>#REF!</v>
      </c>
      <c r="AF488" s="532" t="e">
        <f>IF(NFI_Expiration=1,IF(#REF!&lt;VLOOKUP(O$5,NFI,5,0),1,0)*Table_NFI[[#This Row],[Tarpaulin]],Table_NFI[[#This Row],[Tarpaulin]])</f>
        <v>#REF!</v>
      </c>
      <c r="AG488" s="532" t="e">
        <f>IF(NFI_Expiration=1,IF(#REF!&lt;VLOOKUP(P$5,NFI,5,0),1,0)*Table_NFI[[#This Row],[Blanket]],Table_NFI[[#This Row],[Blanket]])</f>
        <v>#REF!</v>
      </c>
      <c r="AH488" s="532" t="e">
        <f>IF(NFI_Expiration=1,IF(#REF!&lt;VLOOKUP(Q$5,NFI,5,0),1,0)*Table_NFI[[#This Row],[Kitchen Set]],Table_NFI[Kitchen Set])</f>
        <v>#REF!</v>
      </c>
      <c r="AI488" s="532" t="e">
        <f>IF(NFI_Expiration=1,IF(#REF!&lt;VLOOKUP(R$5,NFI,5,0),1,0)*Table_NFI[[#This Row],[Clothes Kit]],Table_NFI[Clothes Kit])</f>
        <v>#REF!</v>
      </c>
      <c r="AJ488" s="532" t="e">
        <f>IF(NFI_Expiration=1,IF(#REF!&lt;VLOOKUP(S$5,NFI,5,0),1,0)*Table_NFI[[#This Row],[Plastic Bucket]],Table_NFI[Plastic Bucket])</f>
        <v>#REF!</v>
      </c>
      <c r="AK488" s="532" t="e">
        <f>IF(NFI_Expiration=1,IF(#REF!&lt;VLOOKUP(T$5,NFI,5,0),1,0)*Table_NFI[[#This Row],[Plastic Mat]],Table_NFI[Plastic Mat])*IF(Table_NFI[[#This Row],[Distribution Date]]&gt;"2014-04-01",1,2.5)</f>
        <v>#REF!</v>
      </c>
      <c r="AL488" s="532" t="e">
        <f>IF(NFI_Expiration=1,IF(#REF!&lt;VLOOKUP(U$5,NFI,5,0),1,0)*Table_NFI[[#This Row],[Winter Clothes Adult]],Table_NFI[Winter Clothes Adult])</f>
        <v>#REF!</v>
      </c>
      <c r="AM488" s="532"/>
      <c r="AN488" s="532"/>
      <c r="AO488" s="532"/>
      <c r="AP488" s="532">
        <f>IF(Table_NFI[[#This Row],[Winter Clothes Adult]]+Table_NFI[[#This Row],[Winter Clothes Children]]+Table_NFI[[#This Row],[Winter Items Other]]+Table_NFI[[#This Row],[Winter Blanket]]&gt;0,1,0)</f>
        <v>0</v>
      </c>
      <c r="AQ488" s="532"/>
      <c r="AR488" s="532"/>
      <c r="AS488" s="532"/>
      <c r="AT488" s="532"/>
      <c r="AU488" s="532"/>
      <c r="AV488" s="532"/>
      <c r="AW488" s="532"/>
      <c r="AX488" s="203" t="str">
        <f>IFERROR(VLOOKUP(Table_NFI[[#This Row],[Location]],CL,2,0),"")</f>
        <v>MMR015CMP001</v>
      </c>
      <c r="AZ488" s="524"/>
      <c r="DS488" s="181"/>
      <c r="DT488" s="181"/>
    </row>
    <row r="489" spans="2:124" hidden="1" x14ac:dyDescent="0.3">
      <c r="B489" s="530">
        <v>43327</v>
      </c>
      <c r="C489" s="530" t="str">
        <f>MONTH(Table_NFI[[#This Row],[Distribution Date]]) &amp; "/" &amp; YEAR(Table_NFI[[#This Row],[Distribution Date]])</f>
        <v>8/2018</v>
      </c>
      <c r="D489" s="196" t="s">
        <v>1256</v>
      </c>
      <c r="E489" s="196"/>
      <c r="F489" s="196" t="s">
        <v>378</v>
      </c>
      <c r="G489" s="196" t="s">
        <v>185</v>
      </c>
      <c r="H489" s="196" t="s">
        <v>1775</v>
      </c>
      <c r="I489" s="701"/>
      <c r="J489" s="531"/>
      <c r="K489" s="531"/>
      <c r="L489" s="531"/>
      <c r="M489" s="531"/>
      <c r="N489" s="531">
        <v>25</v>
      </c>
      <c r="O489" s="531">
        <v>2</v>
      </c>
      <c r="P489" s="531">
        <v>25</v>
      </c>
      <c r="Q489" s="531"/>
      <c r="R489" s="531"/>
      <c r="S489" s="531"/>
      <c r="T489" s="531">
        <v>25</v>
      </c>
      <c r="U489" s="531"/>
      <c r="V489" s="531"/>
      <c r="W489" s="531"/>
      <c r="X489" s="531"/>
      <c r="Y489" s="531"/>
      <c r="Z489" s="702">
        <v>26</v>
      </c>
      <c r="AA489" s="531"/>
      <c r="AB489" s="531"/>
      <c r="AC489" s="532" t="e">
        <f>IF(NFI_Expiration=1,IF(#REF!&lt;VLOOKUP(L$5,NFI,5,0),1,0)*Table_NFI[[#This Row],[NFI Core Kit]],Table_NFI[NFI Core Kit])</f>
        <v>#REF!</v>
      </c>
      <c r="AD489" s="532" t="e">
        <f>IF(NFI_Expiration=1,IF(#REF!&lt;VLOOKUP(M$5,NFI,5,0),1,0)*Table_NFI[[#This Row],[Sanitary Kit]],Table_NFI[Sanitary Kit])</f>
        <v>#REF!</v>
      </c>
      <c r="AE489" s="532" t="e">
        <f>IF(NFI_Expiration=1,IF(#REF!&lt;VLOOKUP(N$5,NFI,5,0),1,0)*Table_NFI[[#This Row],[Mosquito net]],Table_NFI[Mosquito net])</f>
        <v>#REF!</v>
      </c>
      <c r="AF489" s="532" t="e">
        <f>IF(NFI_Expiration=1,IF(#REF!&lt;VLOOKUP(O$5,NFI,5,0),1,0)*Table_NFI[[#This Row],[Tarpaulin]],Table_NFI[[#This Row],[Tarpaulin]])</f>
        <v>#REF!</v>
      </c>
      <c r="AG489" s="532" t="e">
        <f>IF(NFI_Expiration=1,IF(#REF!&lt;VLOOKUP(P$5,NFI,5,0),1,0)*Table_NFI[[#This Row],[Blanket]],Table_NFI[[#This Row],[Blanket]])</f>
        <v>#REF!</v>
      </c>
      <c r="AH489" s="532" t="e">
        <f>IF(NFI_Expiration=1,IF(#REF!&lt;VLOOKUP(Q$5,NFI,5,0),1,0)*Table_NFI[[#This Row],[Kitchen Set]],Table_NFI[Kitchen Set])</f>
        <v>#REF!</v>
      </c>
      <c r="AI489" s="532" t="e">
        <f>IF(NFI_Expiration=1,IF(#REF!&lt;VLOOKUP(R$5,NFI,5,0),1,0)*Table_NFI[[#This Row],[Clothes Kit]],Table_NFI[Clothes Kit])</f>
        <v>#REF!</v>
      </c>
      <c r="AJ489" s="532" t="e">
        <f>IF(NFI_Expiration=1,IF(#REF!&lt;VLOOKUP(S$5,NFI,5,0),1,0)*Table_NFI[[#This Row],[Plastic Bucket]],Table_NFI[Plastic Bucket])</f>
        <v>#REF!</v>
      </c>
      <c r="AK489" s="532" t="e">
        <f>IF(NFI_Expiration=1,IF(#REF!&lt;VLOOKUP(T$5,NFI,5,0),1,0)*Table_NFI[[#This Row],[Plastic Mat]],Table_NFI[Plastic Mat])*IF(Table_NFI[[#This Row],[Distribution Date]]&gt;"2014-04-01",1,2.5)</f>
        <v>#REF!</v>
      </c>
      <c r="AL489" s="532" t="e">
        <f>IF(NFI_Expiration=1,IF(#REF!&lt;VLOOKUP(U$5,NFI,5,0),1,0)*Table_NFI[[#This Row],[Winter Clothes Adult]],Table_NFI[Winter Clothes Adult])</f>
        <v>#REF!</v>
      </c>
      <c r="AM489" s="532"/>
      <c r="AN489" s="532"/>
      <c r="AO489" s="532"/>
      <c r="AP489" s="532">
        <f>IF(Table_NFI[[#This Row],[Winter Clothes Adult]]+Table_NFI[[#This Row],[Winter Clothes Children]]+Table_NFI[[#This Row],[Winter Items Other]]+Table_NFI[[#This Row],[Winter Blanket]]&gt;0,1,0)</f>
        <v>0</v>
      </c>
      <c r="AQ489" s="532"/>
      <c r="AR489" s="532"/>
      <c r="AS489" s="532"/>
      <c r="AT489" s="532"/>
      <c r="AU489" s="532"/>
      <c r="AV489" s="532"/>
      <c r="AW489" s="532"/>
      <c r="AX489" s="203" t="str">
        <f>IFERROR(VLOOKUP(Table_NFI[[#This Row],[Location]],CL,2,0),"")</f>
        <v/>
      </c>
      <c r="AZ489" s="524"/>
      <c r="DS489" s="181"/>
      <c r="DT489" s="181"/>
    </row>
    <row r="490" spans="2:124" hidden="1" x14ac:dyDescent="0.3">
      <c r="B490" s="530">
        <v>43329</v>
      </c>
      <c r="C490" s="530" t="str">
        <f>MONTH(Table_NFI[[#This Row],[Distribution Date]]) &amp; "/" &amp; YEAR(Table_NFI[[#This Row],[Distribution Date]])</f>
        <v>8/2018</v>
      </c>
      <c r="D490" s="196" t="s">
        <v>1256</v>
      </c>
      <c r="E490" s="196"/>
      <c r="F490" s="196" t="s">
        <v>378</v>
      </c>
      <c r="G490" s="196" t="s">
        <v>151</v>
      </c>
      <c r="H490" s="196" t="s">
        <v>1776</v>
      </c>
      <c r="I490" s="701"/>
      <c r="J490" s="531"/>
      <c r="K490" s="531"/>
      <c r="L490" s="531"/>
      <c r="M490" s="531"/>
      <c r="N490" s="531"/>
      <c r="O490" s="531"/>
      <c r="P490" s="531"/>
      <c r="Q490" s="531"/>
      <c r="R490" s="531"/>
      <c r="S490" s="531"/>
      <c r="T490" s="531"/>
      <c r="U490" s="531"/>
      <c r="V490" s="531"/>
      <c r="W490" s="531"/>
      <c r="X490" s="531"/>
      <c r="Y490" s="531"/>
      <c r="Z490" s="702"/>
      <c r="AA490" s="531"/>
      <c r="AB490" s="531"/>
      <c r="AC490" s="532" t="e">
        <f>IF(NFI_Expiration=1,IF(#REF!&lt;VLOOKUP(L$5,NFI,5,0),1,0)*Table_NFI[[#This Row],[NFI Core Kit]],Table_NFI[NFI Core Kit])</f>
        <v>#REF!</v>
      </c>
      <c r="AD490" s="532" t="e">
        <f>IF(NFI_Expiration=1,IF(#REF!&lt;VLOOKUP(M$5,NFI,5,0),1,0)*Table_NFI[[#This Row],[Sanitary Kit]],Table_NFI[Sanitary Kit])</f>
        <v>#REF!</v>
      </c>
      <c r="AE490" s="532" t="e">
        <f>IF(NFI_Expiration=1,IF(#REF!&lt;VLOOKUP(N$5,NFI,5,0),1,0)*Table_NFI[[#This Row],[Mosquito net]],Table_NFI[Mosquito net])</f>
        <v>#REF!</v>
      </c>
      <c r="AF490" s="532" t="e">
        <f>IF(NFI_Expiration=1,IF(#REF!&lt;VLOOKUP(O$5,NFI,5,0),1,0)*Table_NFI[[#This Row],[Tarpaulin]],Table_NFI[[#This Row],[Tarpaulin]])</f>
        <v>#REF!</v>
      </c>
      <c r="AG490" s="532" t="e">
        <f>IF(NFI_Expiration=1,IF(#REF!&lt;VLOOKUP(P$5,NFI,5,0),1,0)*Table_NFI[[#This Row],[Blanket]],Table_NFI[[#This Row],[Blanket]])</f>
        <v>#REF!</v>
      </c>
      <c r="AH490" s="532" t="e">
        <f>IF(NFI_Expiration=1,IF(#REF!&lt;VLOOKUP(Q$5,NFI,5,0),1,0)*Table_NFI[[#This Row],[Kitchen Set]],Table_NFI[Kitchen Set])</f>
        <v>#REF!</v>
      </c>
      <c r="AI490" s="532" t="e">
        <f>IF(NFI_Expiration=1,IF(#REF!&lt;VLOOKUP(R$5,NFI,5,0),1,0)*Table_NFI[[#This Row],[Clothes Kit]],Table_NFI[Clothes Kit])</f>
        <v>#REF!</v>
      </c>
      <c r="AJ490" s="532" t="e">
        <f>IF(NFI_Expiration=1,IF(#REF!&lt;VLOOKUP(S$5,NFI,5,0),1,0)*Table_NFI[[#This Row],[Plastic Bucket]],Table_NFI[Plastic Bucket])</f>
        <v>#REF!</v>
      </c>
      <c r="AK490" s="532" t="e">
        <f>IF(NFI_Expiration=1,IF(#REF!&lt;VLOOKUP(T$5,NFI,5,0),1,0)*Table_NFI[[#This Row],[Plastic Mat]],Table_NFI[Plastic Mat])*IF(Table_NFI[[#This Row],[Distribution Date]]&gt;"2014-04-01",1,2.5)</f>
        <v>#REF!</v>
      </c>
      <c r="AL490" s="532" t="e">
        <f>IF(NFI_Expiration=1,IF(#REF!&lt;VLOOKUP(U$5,NFI,5,0),1,0)*Table_NFI[[#This Row],[Winter Clothes Adult]],Table_NFI[Winter Clothes Adult])</f>
        <v>#REF!</v>
      </c>
      <c r="AM490" s="532"/>
      <c r="AN490" s="532"/>
      <c r="AO490" s="532"/>
      <c r="AP490" s="532">
        <f>IF(Table_NFI[[#This Row],[Winter Clothes Adult]]+Table_NFI[[#This Row],[Winter Clothes Children]]+Table_NFI[[#This Row],[Winter Items Other]]+Table_NFI[[#This Row],[Winter Blanket]]&gt;0,1,0)</f>
        <v>0</v>
      </c>
      <c r="AQ490" s="532"/>
      <c r="AR490" s="532"/>
      <c r="AS490" s="532"/>
      <c r="AT490" s="532"/>
      <c r="AU490" s="532"/>
      <c r="AV490" s="532"/>
      <c r="AW490" s="532"/>
      <c r="AX490" s="203" t="str">
        <f>IFERROR(VLOOKUP(Table_NFI[[#This Row],[Location]],CL,2,0),"")</f>
        <v/>
      </c>
      <c r="AY490" s="177" t="s">
        <v>1777</v>
      </c>
      <c r="AZ490" s="524"/>
      <c r="DS490" s="181"/>
      <c r="DT490" s="181"/>
    </row>
    <row r="491" spans="2:124" hidden="1" x14ac:dyDescent="0.3">
      <c r="B491" s="530">
        <v>43350</v>
      </c>
      <c r="C491" s="530" t="str">
        <f>MONTH(Table_NFI[[#This Row],[Distribution Date]]) &amp; "/" &amp; YEAR(Table_NFI[[#This Row],[Distribution Date]])</f>
        <v>9/2018</v>
      </c>
      <c r="D491" s="196" t="s">
        <v>1256</v>
      </c>
      <c r="E491" s="196"/>
      <c r="F491" s="196" t="s">
        <v>378</v>
      </c>
      <c r="G491" s="196" t="s">
        <v>1778</v>
      </c>
      <c r="H491" s="196" t="s">
        <v>1779</v>
      </c>
      <c r="I491" s="701"/>
      <c r="J491" s="531"/>
      <c r="K491" s="531"/>
      <c r="L491" s="531"/>
      <c r="M491" s="531"/>
      <c r="N491" s="531"/>
      <c r="O491" s="531"/>
      <c r="P491" s="531"/>
      <c r="Q491" s="531"/>
      <c r="R491" s="531"/>
      <c r="S491" s="531"/>
      <c r="T491" s="531"/>
      <c r="U491" s="531"/>
      <c r="V491" s="531"/>
      <c r="W491" s="531">
        <v>80</v>
      </c>
      <c r="X491" s="531"/>
      <c r="Y491" s="531"/>
      <c r="Z491" s="702"/>
      <c r="AA491" s="531"/>
      <c r="AB491" s="531"/>
      <c r="AC491" s="532" t="e">
        <f>IF(NFI_Expiration=1,IF(#REF!&lt;VLOOKUP(L$5,NFI,5,0),1,0)*Table_NFI[[#This Row],[NFI Core Kit]],Table_NFI[NFI Core Kit])</f>
        <v>#REF!</v>
      </c>
      <c r="AD491" s="532" t="e">
        <f>IF(NFI_Expiration=1,IF(#REF!&lt;VLOOKUP(M$5,NFI,5,0),1,0)*Table_NFI[[#This Row],[Sanitary Kit]],Table_NFI[Sanitary Kit])</f>
        <v>#REF!</v>
      </c>
      <c r="AE491" s="532" t="e">
        <f>IF(NFI_Expiration=1,IF(#REF!&lt;VLOOKUP(N$5,NFI,5,0),1,0)*Table_NFI[[#This Row],[Mosquito net]],Table_NFI[Mosquito net])</f>
        <v>#REF!</v>
      </c>
      <c r="AF491" s="532" t="e">
        <f>IF(NFI_Expiration=1,IF(#REF!&lt;VLOOKUP(O$5,NFI,5,0),1,0)*Table_NFI[[#This Row],[Tarpaulin]],Table_NFI[[#This Row],[Tarpaulin]])</f>
        <v>#REF!</v>
      </c>
      <c r="AG491" s="532" t="e">
        <f>IF(NFI_Expiration=1,IF(#REF!&lt;VLOOKUP(P$5,NFI,5,0),1,0)*Table_NFI[[#This Row],[Blanket]],Table_NFI[[#This Row],[Blanket]])</f>
        <v>#REF!</v>
      </c>
      <c r="AH491" s="532" t="e">
        <f>IF(NFI_Expiration=1,IF(#REF!&lt;VLOOKUP(Q$5,NFI,5,0),1,0)*Table_NFI[[#This Row],[Kitchen Set]],Table_NFI[Kitchen Set])</f>
        <v>#REF!</v>
      </c>
      <c r="AI491" s="532" t="e">
        <f>IF(NFI_Expiration=1,IF(#REF!&lt;VLOOKUP(R$5,NFI,5,0),1,0)*Table_NFI[[#This Row],[Clothes Kit]],Table_NFI[Clothes Kit])</f>
        <v>#REF!</v>
      </c>
      <c r="AJ491" s="532" t="e">
        <f>IF(NFI_Expiration=1,IF(#REF!&lt;VLOOKUP(S$5,NFI,5,0),1,0)*Table_NFI[[#This Row],[Plastic Bucket]],Table_NFI[Plastic Bucket])</f>
        <v>#REF!</v>
      </c>
      <c r="AK491" s="532" t="e">
        <f>IF(NFI_Expiration=1,IF(#REF!&lt;VLOOKUP(T$5,NFI,5,0),1,0)*Table_NFI[[#This Row],[Plastic Mat]],Table_NFI[Plastic Mat])*IF(Table_NFI[[#This Row],[Distribution Date]]&gt;"2014-04-01",1,2.5)</f>
        <v>#REF!</v>
      </c>
      <c r="AL491" s="532" t="e">
        <f>IF(NFI_Expiration=1,IF(#REF!&lt;VLOOKUP(U$5,NFI,5,0),1,0)*Table_NFI[[#This Row],[Winter Clothes Adult]],Table_NFI[Winter Clothes Adult])</f>
        <v>#REF!</v>
      </c>
      <c r="AM491" s="532"/>
      <c r="AN491" s="532"/>
      <c r="AO491" s="532"/>
      <c r="AP491" s="532">
        <f>IF(Table_NFI[[#This Row],[Winter Clothes Adult]]+Table_NFI[[#This Row],[Winter Clothes Children]]+Table_NFI[[#This Row],[Winter Items Other]]+Table_NFI[[#This Row],[Winter Blanket]]&gt;0,1,0)</f>
        <v>1</v>
      </c>
      <c r="AQ491" s="532"/>
      <c r="AR491" s="532"/>
      <c r="AS491" s="532"/>
      <c r="AT491" s="532"/>
      <c r="AU491" s="532"/>
      <c r="AV491" s="532"/>
      <c r="AW491" s="532"/>
      <c r="AX491" s="203" t="str">
        <f>IFERROR(VLOOKUP(Table_NFI[[#This Row],[Location]],CL,2,0),"")</f>
        <v/>
      </c>
      <c r="AZ491" s="524"/>
      <c r="DS491" s="181"/>
      <c r="DT491" s="181"/>
    </row>
    <row r="492" spans="2:124" hidden="1" x14ac:dyDescent="0.3">
      <c r="B492" s="530">
        <v>43360</v>
      </c>
      <c r="C492" s="530" t="str">
        <f>MONTH(Table_NFI[[#This Row],[Distribution Date]]) &amp; "/" &amp; YEAR(Table_NFI[[#This Row],[Distribution Date]])</f>
        <v>9/2018</v>
      </c>
      <c r="D492" s="196" t="s">
        <v>1256</v>
      </c>
      <c r="E492" s="196"/>
      <c r="F492" s="181" t="s">
        <v>506</v>
      </c>
      <c r="G492" s="196" t="s">
        <v>297</v>
      </c>
      <c r="H492" s="196" t="s">
        <v>1780</v>
      </c>
      <c r="I492" s="701"/>
      <c r="J492" s="531"/>
      <c r="K492" s="531"/>
      <c r="L492" s="531"/>
      <c r="M492" s="531"/>
      <c r="N492" s="531"/>
      <c r="O492" s="531">
        <v>17</v>
      </c>
      <c r="P492" s="531"/>
      <c r="Q492" s="531"/>
      <c r="R492" s="531"/>
      <c r="S492" s="531"/>
      <c r="T492" s="531"/>
      <c r="U492" s="531"/>
      <c r="V492" s="531"/>
      <c r="W492" s="531"/>
      <c r="X492" s="531"/>
      <c r="Y492" s="531"/>
      <c r="Z492" s="702"/>
      <c r="AA492" s="531"/>
      <c r="AB492" s="531"/>
      <c r="AC492" s="532" t="e">
        <f>IF(NFI_Expiration=1,IF(#REF!&lt;VLOOKUP(L$5,NFI,5,0),1,0)*Table_NFI[[#This Row],[NFI Core Kit]],Table_NFI[NFI Core Kit])</f>
        <v>#REF!</v>
      </c>
      <c r="AD492" s="532" t="e">
        <f>IF(NFI_Expiration=1,IF(#REF!&lt;VLOOKUP(M$5,NFI,5,0),1,0)*Table_NFI[[#This Row],[Sanitary Kit]],Table_NFI[Sanitary Kit])</f>
        <v>#REF!</v>
      </c>
      <c r="AE492" s="532" t="e">
        <f>IF(NFI_Expiration=1,IF(#REF!&lt;VLOOKUP(N$5,NFI,5,0),1,0)*Table_NFI[[#This Row],[Mosquito net]],Table_NFI[Mosquito net])</f>
        <v>#REF!</v>
      </c>
      <c r="AF492" s="532" t="e">
        <f>IF(NFI_Expiration=1,IF(#REF!&lt;VLOOKUP(O$5,NFI,5,0),1,0)*Table_NFI[[#This Row],[Tarpaulin]],Table_NFI[[#This Row],[Tarpaulin]])</f>
        <v>#REF!</v>
      </c>
      <c r="AG492" s="532" t="e">
        <f>IF(NFI_Expiration=1,IF(#REF!&lt;VLOOKUP(P$5,NFI,5,0),1,0)*Table_NFI[[#This Row],[Blanket]],Table_NFI[[#This Row],[Blanket]])</f>
        <v>#REF!</v>
      </c>
      <c r="AH492" s="532" t="e">
        <f>IF(NFI_Expiration=1,IF(#REF!&lt;VLOOKUP(Q$5,NFI,5,0),1,0)*Table_NFI[[#This Row],[Kitchen Set]],Table_NFI[Kitchen Set])</f>
        <v>#REF!</v>
      </c>
      <c r="AI492" s="532" t="e">
        <f>IF(NFI_Expiration=1,IF(#REF!&lt;VLOOKUP(R$5,NFI,5,0),1,0)*Table_NFI[[#This Row],[Clothes Kit]],Table_NFI[Clothes Kit])</f>
        <v>#REF!</v>
      </c>
      <c r="AJ492" s="532" t="e">
        <f>IF(NFI_Expiration=1,IF(#REF!&lt;VLOOKUP(S$5,NFI,5,0),1,0)*Table_NFI[[#This Row],[Plastic Bucket]],Table_NFI[Plastic Bucket])</f>
        <v>#REF!</v>
      </c>
      <c r="AK492" s="532" t="e">
        <f>IF(NFI_Expiration=1,IF(#REF!&lt;VLOOKUP(T$5,NFI,5,0),1,0)*Table_NFI[[#This Row],[Plastic Mat]],Table_NFI[Plastic Mat])*IF(Table_NFI[[#This Row],[Distribution Date]]&gt;"2014-04-01",1,2.5)</f>
        <v>#REF!</v>
      </c>
      <c r="AL492" s="532" t="e">
        <f>IF(NFI_Expiration=1,IF(#REF!&lt;VLOOKUP(U$5,NFI,5,0),1,0)*Table_NFI[[#This Row],[Winter Clothes Adult]],Table_NFI[Winter Clothes Adult])</f>
        <v>#REF!</v>
      </c>
      <c r="AM492" s="532"/>
      <c r="AN492" s="532"/>
      <c r="AO492" s="532"/>
      <c r="AP492" s="532">
        <f>IF(Table_NFI[[#This Row],[Winter Clothes Adult]]+Table_NFI[[#This Row],[Winter Clothes Children]]+Table_NFI[[#This Row],[Winter Items Other]]+Table_NFI[[#This Row],[Winter Blanket]]&gt;0,1,0)</f>
        <v>0</v>
      </c>
      <c r="AQ492" s="532"/>
      <c r="AR492" s="532"/>
      <c r="AS492" s="532"/>
      <c r="AT492" s="532"/>
      <c r="AU492" s="532"/>
      <c r="AV492" s="532"/>
      <c r="AW492" s="532"/>
      <c r="AX492" s="203" t="str">
        <f>IFERROR(VLOOKUP(Table_NFI[[#This Row],[Location]],CL,2,0),"")</f>
        <v/>
      </c>
      <c r="AZ492" s="524"/>
      <c r="DS492" s="181"/>
      <c r="DT492" s="181"/>
    </row>
    <row r="493" spans="2:124" hidden="1" x14ac:dyDescent="0.3">
      <c r="B493" s="530">
        <v>43360</v>
      </c>
      <c r="C493" s="530" t="str">
        <f>MONTH(Table_NFI[[#This Row],[Distribution Date]]) &amp; "/" &amp; YEAR(Table_NFI[[#This Row],[Distribution Date]])</f>
        <v>9/2018</v>
      </c>
      <c r="D493" s="196" t="s">
        <v>1256</v>
      </c>
      <c r="E493" s="196"/>
      <c r="F493" s="181" t="s">
        <v>506</v>
      </c>
      <c r="G493" s="196" t="s">
        <v>297</v>
      </c>
      <c r="H493" s="196" t="s">
        <v>1781</v>
      </c>
      <c r="I493" s="701"/>
      <c r="J493" s="531"/>
      <c r="K493" s="531"/>
      <c r="L493" s="531"/>
      <c r="M493" s="531"/>
      <c r="N493" s="531"/>
      <c r="O493" s="531">
        <v>32</v>
      </c>
      <c r="P493" s="531"/>
      <c r="Q493" s="531"/>
      <c r="R493" s="531"/>
      <c r="S493" s="531"/>
      <c r="T493" s="531"/>
      <c r="U493" s="531"/>
      <c r="V493" s="531"/>
      <c r="W493" s="531"/>
      <c r="X493" s="531"/>
      <c r="Y493" s="531"/>
      <c r="Z493" s="702"/>
      <c r="AA493" s="531"/>
      <c r="AB493" s="531"/>
      <c r="AC493" s="532" t="e">
        <f>IF(NFI_Expiration=1,IF(#REF!&lt;VLOOKUP(L$5,NFI,5,0),1,0)*Table_NFI[[#This Row],[NFI Core Kit]],Table_NFI[NFI Core Kit])</f>
        <v>#REF!</v>
      </c>
      <c r="AD493" s="532" t="e">
        <f>IF(NFI_Expiration=1,IF(#REF!&lt;VLOOKUP(M$5,NFI,5,0),1,0)*Table_NFI[[#This Row],[Sanitary Kit]],Table_NFI[Sanitary Kit])</f>
        <v>#REF!</v>
      </c>
      <c r="AE493" s="532" t="e">
        <f>IF(NFI_Expiration=1,IF(#REF!&lt;VLOOKUP(N$5,NFI,5,0),1,0)*Table_NFI[[#This Row],[Mosquito net]],Table_NFI[Mosquito net])</f>
        <v>#REF!</v>
      </c>
      <c r="AF493" s="532" t="e">
        <f>IF(NFI_Expiration=1,IF(#REF!&lt;VLOOKUP(O$5,NFI,5,0),1,0)*Table_NFI[[#This Row],[Tarpaulin]],Table_NFI[[#This Row],[Tarpaulin]])</f>
        <v>#REF!</v>
      </c>
      <c r="AG493" s="532" t="e">
        <f>IF(NFI_Expiration=1,IF(#REF!&lt;VLOOKUP(P$5,NFI,5,0),1,0)*Table_NFI[[#This Row],[Blanket]],Table_NFI[[#This Row],[Blanket]])</f>
        <v>#REF!</v>
      </c>
      <c r="AH493" s="532" t="e">
        <f>IF(NFI_Expiration=1,IF(#REF!&lt;VLOOKUP(Q$5,NFI,5,0),1,0)*Table_NFI[[#This Row],[Kitchen Set]],Table_NFI[Kitchen Set])</f>
        <v>#REF!</v>
      </c>
      <c r="AI493" s="532" t="e">
        <f>IF(NFI_Expiration=1,IF(#REF!&lt;VLOOKUP(R$5,NFI,5,0),1,0)*Table_NFI[[#This Row],[Clothes Kit]],Table_NFI[Clothes Kit])</f>
        <v>#REF!</v>
      </c>
      <c r="AJ493" s="532" t="e">
        <f>IF(NFI_Expiration=1,IF(#REF!&lt;VLOOKUP(S$5,NFI,5,0),1,0)*Table_NFI[[#This Row],[Plastic Bucket]],Table_NFI[Plastic Bucket])</f>
        <v>#REF!</v>
      </c>
      <c r="AK493" s="532" t="e">
        <f>IF(NFI_Expiration=1,IF(#REF!&lt;VLOOKUP(T$5,NFI,5,0),1,0)*Table_NFI[[#This Row],[Plastic Mat]],Table_NFI[Plastic Mat])*IF(Table_NFI[[#This Row],[Distribution Date]]&gt;"2014-04-01",1,2.5)</f>
        <v>#REF!</v>
      </c>
      <c r="AL493" s="532" t="e">
        <f>IF(NFI_Expiration=1,IF(#REF!&lt;VLOOKUP(U$5,NFI,5,0),1,0)*Table_NFI[[#This Row],[Winter Clothes Adult]],Table_NFI[Winter Clothes Adult])</f>
        <v>#REF!</v>
      </c>
      <c r="AM493" s="532"/>
      <c r="AN493" s="532"/>
      <c r="AO493" s="532"/>
      <c r="AP493" s="532">
        <f>IF(Table_NFI[[#This Row],[Winter Clothes Adult]]+Table_NFI[[#This Row],[Winter Clothes Children]]+Table_NFI[[#This Row],[Winter Items Other]]+Table_NFI[[#This Row],[Winter Blanket]]&gt;0,1,0)</f>
        <v>0</v>
      </c>
      <c r="AQ493" s="532"/>
      <c r="AR493" s="532"/>
      <c r="AS493" s="532"/>
      <c r="AT493" s="532"/>
      <c r="AU493" s="532"/>
      <c r="AV493" s="532"/>
      <c r="AW493" s="532"/>
      <c r="AX493" s="203" t="str">
        <f>IFERROR(VLOOKUP(Table_NFI[[#This Row],[Location]],CL,2,0),"")</f>
        <v/>
      </c>
      <c r="AZ493" s="524"/>
      <c r="DS493" s="181"/>
      <c r="DT493" s="181"/>
    </row>
    <row r="494" spans="2:124" hidden="1" x14ac:dyDescent="0.3">
      <c r="B494" s="530">
        <v>43378</v>
      </c>
      <c r="C494" s="530" t="str">
        <f>MONTH(Table_NFI[[#This Row],[Distribution Date]]) &amp; "/" &amp; YEAR(Table_NFI[[#This Row],[Distribution Date]])</f>
        <v>10/2018</v>
      </c>
      <c r="D494" s="196" t="s">
        <v>1256</v>
      </c>
      <c r="E494" s="196"/>
      <c r="F494" s="196" t="s">
        <v>378</v>
      </c>
      <c r="G494" s="544" t="s">
        <v>1782</v>
      </c>
      <c r="H494" s="544" t="s">
        <v>1788</v>
      </c>
      <c r="I494" s="701"/>
      <c r="J494" s="531"/>
      <c r="K494" s="531"/>
      <c r="L494" s="531"/>
      <c r="M494" s="531"/>
      <c r="N494" s="531"/>
      <c r="O494" s="531">
        <v>60</v>
      </c>
      <c r="P494" s="531"/>
      <c r="Q494" s="531"/>
      <c r="R494" s="531"/>
      <c r="S494" s="531"/>
      <c r="T494" s="531"/>
      <c r="U494" s="531"/>
      <c r="V494" s="531"/>
      <c r="W494" s="531"/>
      <c r="X494" s="531"/>
      <c r="Y494" s="531"/>
      <c r="Z494" s="702"/>
      <c r="AA494" s="531"/>
      <c r="AB494" s="531"/>
      <c r="AC494" s="532" t="e">
        <f>IF(NFI_Expiration=1,IF(#REF!&lt;VLOOKUP(L$5,NFI,5,0),1,0)*Table_NFI[[#This Row],[NFI Core Kit]],Table_NFI[NFI Core Kit])</f>
        <v>#REF!</v>
      </c>
      <c r="AD494" s="532" t="e">
        <f>IF(NFI_Expiration=1,IF(#REF!&lt;VLOOKUP(M$5,NFI,5,0),1,0)*Table_NFI[[#This Row],[Sanitary Kit]],Table_NFI[Sanitary Kit])</f>
        <v>#REF!</v>
      </c>
      <c r="AE494" s="532" t="e">
        <f>IF(NFI_Expiration=1,IF(#REF!&lt;VLOOKUP(N$5,NFI,5,0),1,0)*Table_NFI[[#This Row],[Mosquito net]],Table_NFI[Mosquito net])</f>
        <v>#REF!</v>
      </c>
      <c r="AF494" s="532" t="e">
        <f>IF(NFI_Expiration=1,IF(#REF!&lt;VLOOKUP(O$5,NFI,5,0),1,0)*Table_NFI[[#This Row],[Tarpaulin]],Table_NFI[[#This Row],[Tarpaulin]])</f>
        <v>#REF!</v>
      </c>
      <c r="AG494" s="532" t="e">
        <f>IF(NFI_Expiration=1,IF(#REF!&lt;VLOOKUP(P$5,NFI,5,0),1,0)*Table_NFI[[#This Row],[Blanket]],Table_NFI[[#This Row],[Blanket]])</f>
        <v>#REF!</v>
      </c>
      <c r="AH494" s="532" t="e">
        <f>IF(NFI_Expiration=1,IF(#REF!&lt;VLOOKUP(Q$5,NFI,5,0),1,0)*Table_NFI[[#This Row],[Kitchen Set]],Table_NFI[Kitchen Set])</f>
        <v>#REF!</v>
      </c>
      <c r="AI494" s="532" t="e">
        <f>IF(NFI_Expiration=1,IF(#REF!&lt;VLOOKUP(R$5,NFI,5,0),1,0)*Table_NFI[[#This Row],[Clothes Kit]],Table_NFI[Clothes Kit])</f>
        <v>#REF!</v>
      </c>
      <c r="AJ494" s="532" t="e">
        <f>IF(NFI_Expiration=1,IF(#REF!&lt;VLOOKUP(S$5,NFI,5,0),1,0)*Table_NFI[[#This Row],[Plastic Bucket]],Table_NFI[Plastic Bucket])</f>
        <v>#REF!</v>
      </c>
      <c r="AK494" s="532" t="e">
        <f>IF(NFI_Expiration=1,IF(#REF!&lt;VLOOKUP(T$5,NFI,5,0),1,0)*Table_NFI[[#This Row],[Plastic Mat]],Table_NFI[Plastic Mat])*IF(Table_NFI[[#This Row],[Distribution Date]]&gt;"2014-04-01",1,2.5)</f>
        <v>#REF!</v>
      </c>
      <c r="AL494" s="532" t="e">
        <f>IF(NFI_Expiration=1,IF(#REF!&lt;VLOOKUP(U$5,NFI,5,0),1,0)*Table_NFI[[#This Row],[Winter Clothes Adult]],Table_NFI[Winter Clothes Adult])</f>
        <v>#REF!</v>
      </c>
      <c r="AM494" s="532"/>
      <c r="AN494" s="532"/>
      <c r="AO494" s="532"/>
      <c r="AP494" s="532">
        <f>IF(Table_NFI[[#This Row],[Winter Clothes Adult]]+Table_NFI[[#This Row],[Winter Clothes Children]]+Table_NFI[[#This Row],[Winter Items Other]]+Table_NFI[[#This Row],[Winter Blanket]]&gt;0,1,0)</f>
        <v>0</v>
      </c>
      <c r="AQ494" s="532"/>
      <c r="AR494" s="532"/>
      <c r="AS494" s="532"/>
      <c r="AT494" s="532"/>
      <c r="AU494" s="532"/>
      <c r="AV494" s="532"/>
      <c r="AW494" s="532"/>
      <c r="AX494" s="203" t="str">
        <f>IFERROR(VLOOKUP(Table_NFI[[#This Row],[Location]],CL,2,0),"")</f>
        <v/>
      </c>
      <c r="AZ494" s="524"/>
      <c r="DS494" s="181"/>
      <c r="DT494" s="181"/>
    </row>
    <row r="495" spans="2:124" hidden="1" x14ac:dyDescent="0.3">
      <c r="B495" s="530">
        <v>43378</v>
      </c>
      <c r="C495" s="530" t="str">
        <f>MONTH(Table_NFI[[#This Row],[Distribution Date]]) &amp; "/" &amp; YEAR(Table_NFI[[#This Row],[Distribution Date]])</f>
        <v>10/2018</v>
      </c>
      <c r="D495" s="196" t="s">
        <v>1256</v>
      </c>
      <c r="E495" s="196"/>
      <c r="F495" s="196" t="s">
        <v>378</v>
      </c>
      <c r="G495" s="544" t="s">
        <v>1783</v>
      </c>
      <c r="H495" s="544" t="s">
        <v>1789</v>
      </c>
      <c r="I495" s="701"/>
      <c r="J495" s="531"/>
      <c r="K495" s="531"/>
      <c r="L495" s="531"/>
      <c r="M495" s="531"/>
      <c r="N495" s="531"/>
      <c r="O495" s="531">
        <v>44</v>
      </c>
      <c r="P495" s="531"/>
      <c r="Q495" s="531"/>
      <c r="R495" s="531"/>
      <c r="S495" s="531"/>
      <c r="T495" s="531"/>
      <c r="U495" s="531"/>
      <c r="V495" s="531"/>
      <c r="W495" s="531"/>
      <c r="X495" s="531"/>
      <c r="Y495" s="531"/>
      <c r="Z495" s="702"/>
      <c r="AA495" s="531"/>
      <c r="AB495" s="531"/>
      <c r="AC495" s="532" t="e">
        <f>IF(NFI_Expiration=1,IF(#REF!&lt;VLOOKUP(L$5,NFI,5,0),1,0)*Table_NFI[[#This Row],[NFI Core Kit]],Table_NFI[NFI Core Kit])</f>
        <v>#REF!</v>
      </c>
      <c r="AD495" s="532" t="e">
        <f>IF(NFI_Expiration=1,IF(#REF!&lt;VLOOKUP(M$5,NFI,5,0),1,0)*Table_NFI[[#This Row],[Sanitary Kit]],Table_NFI[Sanitary Kit])</f>
        <v>#REF!</v>
      </c>
      <c r="AE495" s="532" t="e">
        <f>IF(NFI_Expiration=1,IF(#REF!&lt;VLOOKUP(N$5,NFI,5,0),1,0)*Table_NFI[[#This Row],[Mosquito net]],Table_NFI[Mosquito net])</f>
        <v>#REF!</v>
      </c>
      <c r="AF495" s="532" t="e">
        <f>IF(NFI_Expiration=1,IF(#REF!&lt;VLOOKUP(O$5,NFI,5,0),1,0)*Table_NFI[[#This Row],[Tarpaulin]],Table_NFI[[#This Row],[Tarpaulin]])</f>
        <v>#REF!</v>
      </c>
      <c r="AG495" s="532" t="e">
        <f>IF(NFI_Expiration=1,IF(#REF!&lt;VLOOKUP(P$5,NFI,5,0),1,0)*Table_NFI[[#This Row],[Blanket]],Table_NFI[[#This Row],[Blanket]])</f>
        <v>#REF!</v>
      </c>
      <c r="AH495" s="532" t="e">
        <f>IF(NFI_Expiration=1,IF(#REF!&lt;VLOOKUP(Q$5,NFI,5,0),1,0)*Table_NFI[[#This Row],[Kitchen Set]],Table_NFI[Kitchen Set])</f>
        <v>#REF!</v>
      </c>
      <c r="AI495" s="532" t="e">
        <f>IF(NFI_Expiration=1,IF(#REF!&lt;VLOOKUP(R$5,NFI,5,0),1,0)*Table_NFI[[#This Row],[Clothes Kit]],Table_NFI[Clothes Kit])</f>
        <v>#REF!</v>
      </c>
      <c r="AJ495" s="532" t="e">
        <f>IF(NFI_Expiration=1,IF(#REF!&lt;VLOOKUP(S$5,NFI,5,0),1,0)*Table_NFI[[#This Row],[Plastic Bucket]],Table_NFI[Plastic Bucket])</f>
        <v>#REF!</v>
      </c>
      <c r="AK495" s="532" t="e">
        <f>IF(NFI_Expiration=1,IF(#REF!&lt;VLOOKUP(T$5,NFI,5,0),1,0)*Table_NFI[[#This Row],[Plastic Mat]],Table_NFI[Plastic Mat])*IF(Table_NFI[[#This Row],[Distribution Date]]&gt;"2014-04-01",1,2.5)</f>
        <v>#REF!</v>
      </c>
      <c r="AL495" s="532" t="e">
        <f>IF(NFI_Expiration=1,IF(#REF!&lt;VLOOKUP(U$5,NFI,5,0),1,0)*Table_NFI[[#This Row],[Winter Clothes Adult]],Table_NFI[Winter Clothes Adult])</f>
        <v>#REF!</v>
      </c>
      <c r="AM495" s="532"/>
      <c r="AN495" s="532"/>
      <c r="AO495" s="532"/>
      <c r="AP495" s="532">
        <f>IF(Table_NFI[[#This Row],[Winter Clothes Adult]]+Table_NFI[[#This Row],[Winter Clothes Children]]+Table_NFI[[#This Row],[Winter Items Other]]+Table_NFI[[#This Row],[Winter Blanket]]&gt;0,1,0)</f>
        <v>0</v>
      </c>
      <c r="AQ495" s="532"/>
      <c r="AR495" s="532"/>
      <c r="AS495" s="532"/>
      <c r="AT495" s="532"/>
      <c r="AU495" s="532"/>
      <c r="AV495" s="532"/>
      <c r="AW495" s="532"/>
      <c r="AX495" s="203" t="str">
        <f>IFERROR(VLOOKUP(Table_NFI[[#This Row],[Location]],CL,2,0),"")</f>
        <v/>
      </c>
      <c r="AZ495" s="524"/>
      <c r="DS495" s="181"/>
      <c r="DT495" s="181"/>
    </row>
    <row r="496" spans="2:124" hidden="1" x14ac:dyDescent="0.3">
      <c r="B496" s="530">
        <v>43379</v>
      </c>
      <c r="C496" s="530" t="str">
        <f>MONTH(Table_NFI[[#This Row],[Distribution Date]]) &amp; "/" &amp; YEAR(Table_NFI[[#This Row],[Distribution Date]])</f>
        <v>10/2018</v>
      </c>
      <c r="D496" s="196" t="s">
        <v>1256</v>
      </c>
      <c r="E496" s="196"/>
      <c r="F496" s="196" t="s">
        <v>378</v>
      </c>
      <c r="G496" s="544" t="s">
        <v>1784</v>
      </c>
      <c r="H496" s="544" t="s">
        <v>1790</v>
      </c>
      <c r="I496" s="701"/>
      <c r="J496" s="531"/>
      <c r="K496" s="531"/>
      <c r="L496" s="531"/>
      <c r="M496" s="531"/>
      <c r="N496" s="531"/>
      <c r="O496" s="531">
        <v>33</v>
      </c>
      <c r="P496" s="531"/>
      <c r="Q496" s="531"/>
      <c r="R496" s="531"/>
      <c r="S496" s="531"/>
      <c r="T496" s="531"/>
      <c r="U496" s="531"/>
      <c r="V496" s="531"/>
      <c r="W496" s="531"/>
      <c r="X496" s="531"/>
      <c r="Y496" s="531"/>
      <c r="Z496" s="702"/>
      <c r="AA496" s="531"/>
      <c r="AB496" s="531"/>
      <c r="AC496" s="532" t="e">
        <f>IF(NFI_Expiration=1,IF(#REF!&lt;VLOOKUP(L$5,NFI,5,0),1,0)*Table_NFI[[#This Row],[NFI Core Kit]],Table_NFI[NFI Core Kit])</f>
        <v>#REF!</v>
      </c>
      <c r="AD496" s="532" t="e">
        <f>IF(NFI_Expiration=1,IF(#REF!&lt;VLOOKUP(M$5,NFI,5,0),1,0)*Table_NFI[[#This Row],[Sanitary Kit]],Table_NFI[Sanitary Kit])</f>
        <v>#REF!</v>
      </c>
      <c r="AE496" s="532" t="e">
        <f>IF(NFI_Expiration=1,IF(#REF!&lt;VLOOKUP(N$5,NFI,5,0),1,0)*Table_NFI[[#This Row],[Mosquito net]],Table_NFI[Mosquito net])</f>
        <v>#REF!</v>
      </c>
      <c r="AF496" s="532" t="e">
        <f>IF(NFI_Expiration=1,IF(#REF!&lt;VLOOKUP(O$5,NFI,5,0),1,0)*Table_NFI[[#This Row],[Tarpaulin]],Table_NFI[[#This Row],[Tarpaulin]])</f>
        <v>#REF!</v>
      </c>
      <c r="AG496" s="532" t="e">
        <f>IF(NFI_Expiration=1,IF(#REF!&lt;VLOOKUP(P$5,NFI,5,0),1,0)*Table_NFI[[#This Row],[Blanket]],Table_NFI[[#This Row],[Blanket]])</f>
        <v>#REF!</v>
      </c>
      <c r="AH496" s="532" t="e">
        <f>IF(NFI_Expiration=1,IF(#REF!&lt;VLOOKUP(Q$5,NFI,5,0),1,0)*Table_NFI[[#This Row],[Kitchen Set]],Table_NFI[Kitchen Set])</f>
        <v>#REF!</v>
      </c>
      <c r="AI496" s="532" t="e">
        <f>IF(NFI_Expiration=1,IF(#REF!&lt;VLOOKUP(R$5,NFI,5,0),1,0)*Table_NFI[[#This Row],[Clothes Kit]],Table_NFI[Clothes Kit])</f>
        <v>#REF!</v>
      </c>
      <c r="AJ496" s="532" t="e">
        <f>IF(NFI_Expiration=1,IF(#REF!&lt;VLOOKUP(S$5,NFI,5,0),1,0)*Table_NFI[[#This Row],[Plastic Bucket]],Table_NFI[Plastic Bucket])</f>
        <v>#REF!</v>
      </c>
      <c r="AK496" s="532" t="e">
        <f>IF(NFI_Expiration=1,IF(#REF!&lt;VLOOKUP(T$5,NFI,5,0),1,0)*Table_NFI[[#This Row],[Plastic Mat]],Table_NFI[Plastic Mat])*IF(Table_NFI[[#This Row],[Distribution Date]]&gt;"2014-04-01",1,2.5)</f>
        <v>#REF!</v>
      </c>
      <c r="AL496" s="532" t="e">
        <f>IF(NFI_Expiration=1,IF(#REF!&lt;VLOOKUP(U$5,NFI,5,0),1,0)*Table_NFI[[#This Row],[Winter Clothes Adult]],Table_NFI[Winter Clothes Adult])</f>
        <v>#REF!</v>
      </c>
      <c r="AM496" s="532"/>
      <c r="AN496" s="532"/>
      <c r="AO496" s="532"/>
      <c r="AP496" s="532">
        <f>IF(Table_NFI[[#This Row],[Winter Clothes Adult]]+Table_NFI[[#This Row],[Winter Clothes Children]]+Table_NFI[[#This Row],[Winter Items Other]]+Table_NFI[[#This Row],[Winter Blanket]]&gt;0,1,0)</f>
        <v>0</v>
      </c>
      <c r="AQ496" s="532"/>
      <c r="AR496" s="532"/>
      <c r="AS496" s="532"/>
      <c r="AT496" s="532"/>
      <c r="AU496" s="532"/>
      <c r="AV496" s="532"/>
      <c r="AW496" s="532"/>
      <c r="AX496" s="203" t="str">
        <f>IFERROR(VLOOKUP(Table_NFI[[#This Row],[Location]],CL,2,0),"")</f>
        <v/>
      </c>
      <c r="AZ496" s="524"/>
      <c r="DS496" s="181"/>
      <c r="DT496" s="181"/>
    </row>
    <row r="497" spans="2:124" hidden="1" x14ac:dyDescent="0.3">
      <c r="B497" s="530">
        <v>43390</v>
      </c>
      <c r="C497" s="530" t="str">
        <f>MONTH(Table_NFI[[#This Row],[Distribution Date]]) &amp; "/" &amp; YEAR(Table_NFI[[#This Row],[Distribution Date]])</f>
        <v>10/2018</v>
      </c>
      <c r="D497" s="196" t="s">
        <v>1256</v>
      </c>
      <c r="E497" s="196"/>
      <c r="F497" s="181" t="s">
        <v>506</v>
      </c>
      <c r="G497" s="720" t="s">
        <v>1785</v>
      </c>
      <c r="H497" s="720" t="s">
        <v>1791</v>
      </c>
      <c r="I497" s="701"/>
      <c r="J497" s="531"/>
      <c r="K497" s="531"/>
      <c r="L497" s="531"/>
      <c r="M497" s="531"/>
      <c r="N497" s="531"/>
      <c r="O497" s="531">
        <v>53</v>
      </c>
      <c r="P497" s="531"/>
      <c r="Q497" s="531"/>
      <c r="R497" s="531"/>
      <c r="S497" s="531"/>
      <c r="T497" s="531"/>
      <c r="U497" s="531"/>
      <c r="V497" s="531"/>
      <c r="W497" s="531"/>
      <c r="X497" s="531"/>
      <c r="Y497" s="531"/>
      <c r="Z497" s="702"/>
      <c r="AA497" s="531"/>
      <c r="AB497" s="531"/>
      <c r="AC497" s="532" t="e">
        <f>IF(NFI_Expiration=1,IF(#REF!&lt;VLOOKUP(L$5,NFI,5,0),1,0)*Table_NFI[[#This Row],[NFI Core Kit]],Table_NFI[NFI Core Kit])</f>
        <v>#REF!</v>
      </c>
      <c r="AD497" s="532" t="e">
        <f>IF(NFI_Expiration=1,IF(#REF!&lt;VLOOKUP(M$5,NFI,5,0),1,0)*Table_NFI[[#This Row],[Sanitary Kit]],Table_NFI[Sanitary Kit])</f>
        <v>#REF!</v>
      </c>
      <c r="AE497" s="532" t="e">
        <f>IF(NFI_Expiration=1,IF(#REF!&lt;VLOOKUP(N$5,NFI,5,0),1,0)*Table_NFI[[#This Row],[Mosquito net]],Table_NFI[Mosquito net])</f>
        <v>#REF!</v>
      </c>
      <c r="AF497" s="532" t="e">
        <f>IF(NFI_Expiration=1,IF(#REF!&lt;VLOOKUP(O$5,NFI,5,0),1,0)*Table_NFI[[#This Row],[Tarpaulin]],Table_NFI[[#This Row],[Tarpaulin]])</f>
        <v>#REF!</v>
      </c>
      <c r="AG497" s="532" t="e">
        <f>IF(NFI_Expiration=1,IF(#REF!&lt;VLOOKUP(P$5,NFI,5,0),1,0)*Table_NFI[[#This Row],[Blanket]],Table_NFI[[#This Row],[Blanket]])</f>
        <v>#REF!</v>
      </c>
      <c r="AH497" s="532" t="e">
        <f>IF(NFI_Expiration=1,IF(#REF!&lt;VLOOKUP(Q$5,NFI,5,0),1,0)*Table_NFI[[#This Row],[Kitchen Set]],Table_NFI[Kitchen Set])</f>
        <v>#REF!</v>
      </c>
      <c r="AI497" s="532" t="e">
        <f>IF(NFI_Expiration=1,IF(#REF!&lt;VLOOKUP(R$5,NFI,5,0),1,0)*Table_NFI[[#This Row],[Clothes Kit]],Table_NFI[Clothes Kit])</f>
        <v>#REF!</v>
      </c>
      <c r="AJ497" s="532" t="e">
        <f>IF(NFI_Expiration=1,IF(#REF!&lt;VLOOKUP(S$5,NFI,5,0),1,0)*Table_NFI[[#This Row],[Plastic Bucket]],Table_NFI[Plastic Bucket])</f>
        <v>#REF!</v>
      </c>
      <c r="AK497" s="532" t="e">
        <f>IF(NFI_Expiration=1,IF(#REF!&lt;VLOOKUP(T$5,NFI,5,0),1,0)*Table_NFI[[#This Row],[Plastic Mat]],Table_NFI[Plastic Mat])*IF(Table_NFI[[#This Row],[Distribution Date]]&gt;"2014-04-01",1,2.5)</f>
        <v>#REF!</v>
      </c>
      <c r="AL497" s="532" t="e">
        <f>IF(NFI_Expiration=1,IF(#REF!&lt;VLOOKUP(U$5,NFI,5,0),1,0)*Table_NFI[[#This Row],[Winter Clothes Adult]],Table_NFI[Winter Clothes Adult])</f>
        <v>#REF!</v>
      </c>
      <c r="AM497" s="532"/>
      <c r="AN497" s="532"/>
      <c r="AO497" s="532"/>
      <c r="AP497" s="532">
        <f>IF(Table_NFI[[#This Row],[Winter Clothes Adult]]+Table_NFI[[#This Row],[Winter Clothes Children]]+Table_NFI[[#This Row],[Winter Items Other]]+Table_NFI[[#This Row],[Winter Blanket]]&gt;0,1,0)</f>
        <v>0</v>
      </c>
      <c r="AQ497" s="532"/>
      <c r="AR497" s="532"/>
      <c r="AS497" s="532"/>
      <c r="AT497" s="532"/>
      <c r="AU497" s="532"/>
      <c r="AV497" s="532"/>
      <c r="AW497" s="532"/>
      <c r="AX497" s="203" t="str">
        <f>IFERROR(VLOOKUP(Table_NFI[[#This Row],[Location]],CL,2,0),"")</f>
        <v/>
      </c>
      <c r="AZ497" s="524"/>
      <c r="DS497" s="181"/>
      <c r="DT497" s="181"/>
    </row>
    <row r="498" spans="2:124" hidden="1" x14ac:dyDescent="0.3">
      <c r="B498" s="530">
        <v>43390</v>
      </c>
      <c r="C498" s="530" t="str">
        <f>MONTH(Table_NFI[[#This Row],[Distribution Date]]) &amp; "/" &amp; YEAR(Table_NFI[[#This Row],[Distribution Date]])</f>
        <v>10/2018</v>
      </c>
      <c r="D498" s="196" t="s">
        <v>1256</v>
      </c>
      <c r="E498" s="196"/>
      <c r="F498" s="181" t="s">
        <v>506</v>
      </c>
      <c r="G498" s="720" t="s">
        <v>1785</v>
      </c>
      <c r="H498" s="720" t="s">
        <v>1792</v>
      </c>
      <c r="I498" s="701"/>
      <c r="J498" s="531"/>
      <c r="K498" s="531"/>
      <c r="L498" s="531"/>
      <c r="M498" s="531"/>
      <c r="N498" s="531"/>
      <c r="O498" s="531">
        <v>37</v>
      </c>
      <c r="P498" s="531"/>
      <c r="Q498" s="531"/>
      <c r="R498" s="531"/>
      <c r="S498" s="531"/>
      <c r="T498" s="531"/>
      <c r="U498" s="531"/>
      <c r="V498" s="531"/>
      <c r="W498" s="531"/>
      <c r="X498" s="531"/>
      <c r="Y498" s="531"/>
      <c r="Z498" s="702"/>
      <c r="AA498" s="531"/>
      <c r="AB498" s="531"/>
      <c r="AC498" s="532" t="e">
        <f>IF(NFI_Expiration=1,IF(#REF!&lt;VLOOKUP(L$5,NFI,5,0),1,0)*Table_NFI[[#This Row],[NFI Core Kit]],Table_NFI[NFI Core Kit])</f>
        <v>#REF!</v>
      </c>
      <c r="AD498" s="532" t="e">
        <f>IF(NFI_Expiration=1,IF(#REF!&lt;VLOOKUP(M$5,NFI,5,0),1,0)*Table_NFI[[#This Row],[Sanitary Kit]],Table_NFI[Sanitary Kit])</f>
        <v>#REF!</v>
      </c>
      <c r="AE498" s="532" t="e">
        <f>IF(NFI_Expiration=1,IF(#REF!&lt;VLOOKUP(N$5,NFI,5,0),1,0)*Table_NFI[[#This Row],[Mosquito net]],Table_NFI[Mosquito net])</f>
        <v>#REF!</v>
      </c>
      <c r="AF498" s="532" t="e">
        <f>IF(NFI_Expiration=1,IF(#REF!&lt;VLOOKUP(O$5,NFI,5,0),1,0)*Table_NFI[[#This Row],[Tarpaulin]],Table_NFI[[#This Row],[Tarpaulin]])</f>
        <v>#REF!</v>
      </c>
      <c r="AG498" s="532" t="e">
        <f>IF(NFI_Expiration=1,IF(#REF!&lt;VLOOKUP(P$5,NFI,5,0),1,0)*Table_NFI[[#This Row],[Blanket]],Table_NFI[[#This Row],[Blanket]])</f>
        <v>#REF!</v>
      </c>
      <c r="AH498" s="532" t="e">
        <f>IF(NFI_Expiration=1,IF(#REF!&lt;VLOOKUP(Q$5,NFI,5,0),1,0)*Table_NFI[[#This Row],[Kitchen Set]],Table_NFI[Kitchen Set])</f>
        <v>#REF!</v>
      </c>
      <c r="AI498" s="532" t="e">
        <f>IF(NFI_Expiration=1,IF(#REF!&lt;VLOOKUP(R$5,NFI,5,0),1,0)*Table_NFI[[#This Row],[Clothes Kit]],Table_NFI[Clothes Kit])</f>
        <v>#REF!</v>
      </c>
      <c r="AJ498" s="532" t="e">
        <f>IF(NFI_Expiration=1,IF(#REF!&lt;VLOOKUP(S$5,NFI,5,0),1,0)*Table_NFI[[#This Row],[Plastic Bucket]],Table_NFI[Plastic Bucket])</f>
        <v>#REF!</v>
      </c>
      <c r="AK498" s="532" t="e">
        <f>IF(NFI_Expiration=1,IF(#REF!&lt;VLOOKUP(T$5,NFI,5,0),1,0)*Table_NFI[[#This Row],[Plastic Mat]],Table_NFI[Plastic Mat])*IF(Table_NFI[[#This Row],[Distribution Date]]&gt;"2014-04-01",1,2.5)</f>
        <v>#REF!</v>
      </c>
      <c r="AL498" s="532" t="e">
        <f>IF(NFI_Expiration=1,IF(#REF!&lt;VLOOKUP(U$5,NFI,5,0),1,0)*Table_NFI[[#This Row],[Winter Clothes Adult]],Table_NFI[Winter Clothes Adult])</f>
        <v>#REF!</v>
      </c>
      <c r="AM498" s="532"/>
      <c r="AN498" s="532"/>
      <c r="AO498" s="532"/>
      <c r="AP498" s="532">
        <f>IF(Table_NFI[[#This Row],[Winter Clothes Adult]]+Table_NFI[[#This Row],[Winter Clothes Children]]+Table_NFI[[#This Row],[Winter Items Other]]+Table_NFI[[#This Row],[Winter Blanket]]&gt;0,1,0)</f>
        <v>0</v>
      </c>
      <c r="AQ498" s="532"/>
      <c r="AR498" s="532"/>
      <c r="AS498" s="532"/>
      <c r="AT498" s="532"/>
      <c r="AU498" s="532"/>
      <c r="AV498" s="532"/>
      <c r="AW498" s="532"/>
      <c r="AX498" s="203" t="str">
        <f>IFERROR(VLOOKUP(Table_NFI[[#This Row],[Location]],CL,2,0),"")</f>
        <v/>
      </c>
      <c r="AZ498" s="524"/>
      <c r="DS498" s="181"/>
      <c r="DT498" s="181"/>
    </row>
    <row r="499" spans="2:124" hidden="1" x14ac:dyDescent="0.3">
      <c r="B499" s="530">
        <v>43390</v>
      </c>
      <c r="C499" s="530" t="str">
        <f>MONTH(Table_NFI[[#This Row],[Distribution Date]]) &amp; "/" &amp; YEAR(Table_NFI[[#This Row],[Distribution Date]])</f>
        <v>10/2018</v>
      </c>
      <c r="D499" s="196" t="s">
        <v>1256</v>
      </c>
      <c r="E499" s="196"/>
      <c r="F499" s="181" t="s">
        <v>506</v>
      </c>
      <c r="G499" s="720" t="s">
        <v>1785</v>
      </c>
      <c r="H499" s="544" t="s">
        <v>1793</v>
      </c>
      <c r="I499" s="701"/>
      <c r="J499" s="531"/>
      <c r="K499" s="531"/>
      <c r="L499" s="531"/>
      <c r="M499" s="531"/>
      <c r="N499" s="531"/>
      <c r="O499" s="531">
        <v>28</v>
      </c>
      <c r="P499" s="531"/>
      <c r="Q499" s="531"/>
      <c r="R499" s="531"/>
      <c r="S499" s="531"/>
      <c r="T499" s="531"/>
      <c r="U499" s="531"/>
      <c r="V499" s="531"/>
      <c r="W499" s="531"/>
      <c r="X499" s="531"/>
      <c r="Y499" s="531"/>
      <c r="Z499" s="702"/>
      <c r="AA499" s="531"/>
      <c r="AB499" s="531"/>
      <c r="AC499" s="532" t="e">
        <f>IF(NFI_Expiration=1,IF(#REF!&lt;VLOOKUP(L$5,NFI,5,0),1,0)*Table_NFI[[#This Row],[NFI Core Kit]],Table_NFI[NFI Core Kit])</f>
        <v>#REF!</v>
      </c>
      <c r="AD499" s="532" t="e">
        <f>IF(NFI_Expiration=1,IF(#REF!&lt;VLOOKUP(M$5,NFI,5,0),1,0)*Table_NFI[[#This Row],[Sanitary Kit]],Table_NFI[Sanitary Kit])</f>
        <v>#REF!</v>
      </c>
      <c r="AE499" s="532" t="e">
        <f>IF(NFI_Expiration=1,IF(#REF!&lt;VLOOKUP(N$5,NFI,5,0),1,0)*Table_NFI[[#This Row],[Mosquito net]],Table_NFI[Mosquito net])</f>
        <v>#REF!</v>
      </c>
      <c r="AF499" s="532" t="e">
        <f>IF(NFI_Expiration=1,IF(#REF!&lt;VLOOKUP(O$5,NFI,5,0),1,0)*Table_NFI[[#This Row],[Tarpaulin]],Table_NFI[[#This Row],[Tarpaulin]])</f>
        <v>#REF!</v>
      </c>
      <c r="AG499" s="532" t="e">
        <f>IF(NFI_Expiration=1,IF(#REF!&lt;VLOOKUP(P$5,NFI,5,0),1,0)*Table_NFI[[#This Row],[Blanket]],Table_NFI[[#This Row],[Blanket]])</f>
        <v>#REF!</v>
      </c>
      <c r="AH499" s="532" t="e">
        <f>IF(NFI_Expiration=1,IF(#REF!&lt;VLOOKUP(Q$5,NFI,5,0),1,0)*Table_NFI[[#This Row],[Kitchen Set]],Table_NFI[Kitchen Set])</f>
        <v>#REF!</v>
      </c>
      <c r="AI499" s="532" t="e">
        <f>IF(NFI_Expiration=1,IF(#REF!&lt;VLOOKUP(R$5,NFI,5,0),1,0)*Table_NFI[[#This Row],[Clothes Kit]],Table_NFI[Clothes Kit])</f>
        <v>#REF!</v>
      </c>
      <c r="AJ499" s="532" t="e">
        <f>IF(NFI_Expiration=1,IF(#REF!&lt;VLOOKUP(S$5,NFI,5,0),1,0)*Table_NFI[[#This Row],[Plastic Bucket]],Table_NFI[Plastic Bucket])</f>
        <v>#REF!</v>
      </c>
      <c r="AK499" s="532" t="e">
        <f>IF(NFI_Expiration=1,IF(#REF!&lt;VLOOKUP(T$5,NFI,5,0),1,0)*Table_NFI[[#This Row],[Plastic Mat]],Table_NFI[Plastic Mat])*IF(Table_NFI[[#This Row],[Distribution Date]]&gt;"2014-04-01",1,2.5)</f>
        <v>#REF!</v>
      </c>
      <c r="AL499" s="532" t="e">
        <f>IF(NFI_Expiration=1,IF(#REF!&lt;VLOOKUP(U$5,NFI,5,0),1,0)*Table_NFI[[#This Row],[Winter Clothes Adult]],Table_NFI[Winter Clothes Adult])</f>
        <v>#REF!</v>
      </c>
      <c r="AM499" s="532"/>
      <c r="AN499" s="532"/>
      <c r="AO499" s="532"/>
      <c r="AP499" s="532">
        <f>IF(Table_NFI[[#This Row],[Winter Clothes Adult]]+Table_NFI[[#This Row],[Winter Clothes Children]]+Table_NFI[[#This Row],[Winter Items Other]]+Table_NFI[[#This Row],[Winter Blanket]]&gt;0,1,0)</f>
        <v>0</v>
      </c>
      <c r="AQ499" s="532"/>
      <c r="AR499" s="532"/>
      <c r="AS499" s="532"/>
      <c r="AT499" s="532"/>
      <c r="AU499" s="532"/>
      <c r="AV499" s="532"/>
      <c r="AW499" s="532"/>
      <c r="AX499" s="203" t="str">
        <f>IFERROR(VLOOKUP(Table_NFI[[#This Row],[Location]],CL,2,0),"")</f>
        <v/>
      </c>
      <c r="AZ499" s="524"/>
      <c r="DS499" s="181"/>
      <c r="DT499" s="181"/>
    </row>
    <row r="500" spans="2:124" hidden="1" x14ac:dyDescent="0.3">
      <c r="B500" s="530">
        <v>43395</v>
      </c>
      <c r="C500" s="530" t="str">
        <f>MONTH(Table_NFI[[#This Row],[Distribution Date]]) &amp; "/" &amp; YEAR(Table_NFI[[#This Row],[Distribution Date]])</f>
        <v>10/2018</v>
      </c>
      <c r="D500" s="196" t="s">
        <v>1256</v>
      </c>
      <c r="E500" s="196"/>
      <c r="F500" s="181" t="s">
        <v>506</v>
      </c>
      <c r="G500" s="720" t="s">
        <v>1786</v>
      </c>
      <c r="H500" s="544" t="s">
        <v>1794</v>
      </c>
      <c r="I500" s="210">
        <v>27</v>
      </c>
      <c r="J500" s="531"/>
      <c r="K500" s="531"/>
      <c r="L500" s="531"/>
      <c r="M500" s="531"/>
      <c r="N500" s="531"/>
      <c r="O500" s="531"/>
      <c r="P500" s="531"/>
      <c r="Q500" s="531"/>
      <c r="R500" s="531"/>
      <c r="S500" s="531"/>
      <c r="T500" s="531"/>
      <c r="U500" s="531"/>
      <c r="V500" s="531"/>
      <c r="W500" s="531"/>
      <c r="X500" s="531"/>
      <c r="Y500" s="531"/>
      <c r="Z500" s="702"/>
      <c r="AA500" s="531"/>
      <c r="AB500" s="531"/>
      <c r="AC500" s="532" t="e">
        <f>IF(NFI_Expiration=1,IF(#REF!&lt;VLOOKUP(L$5,NFI,5,0),1,0)*Table_NFI[[#This Row],[NFI Core Kit]],Table_NFI[NFI Core Kit])</f>
        <v>#REF!</v>
      </c>
      <c r="AD500" s="532" t="e">
        <f>IF(NFI_Expiration=1,IF(#REF!&lt;VLOOKUP(M$5,NFI,5,0),1,0)*Table_NFI[[#This Row],[Sanitary Kit]],Table_NFI[Sanitary Kit])</f>
        <v>#REF!</v>
      </c>
      <c r="AE500" s="532" t="e">
        <f>IF(NFI_Expiration=1,IF(#REF!&lt;VLOOKUP(N$5,NFI,5,0),1,0)*Table_NFI[[#This Row],[Mosquito net]],Table_NFI[Mosquito net])</f>
        <v>#REF!</v>
      </c>
      <c r="AF500" s="532" t="e">
        <f>IF(NFI_Expiration=1,IF(#REF!&lt;VLOOKUP(O$5,NFI,5,0),1,0)*Table_NFI[[#This Row],[Tarpaulin]],Table_NFI[[#This Row],[Tarpaulin]])</f>
        <v>#REF!</v>
      </c>
      <c r="AG500" s="532" t="e">
        <f>IF(NFI_Expiration=1,IF(#REF!&lt;VLOOKUP(P$5,NFI,5,0),1,0)*Table_NFI[[#This Row],[Blanket]],Table_NFI[[#This Row],[Blanket]])</f>
        <v>#REF!</v>
      </c>
      <c r="AH500" s="532" t="e">
        <f>IF(NFI_Expiration=1,IF(#REF!&lt;VLOOKUP(Q$5,NFI,5,0),1,0)*Table_NFI[[#This Row],[Kitchen Set]],Table_NFI[Kitchen Set])</f>
        <v>#REF!</v>
      </c>
      <c r="AI500" s="532" t="e">
        <f>IF(NFI_Expiration=1,IF(#REF!&lt;VLOOKUP(R$5,NFI,5,0),1,0)*Table_NFI[[#This Row],[Clothes Kit]],Table_NFI[Clothes Kit])</f>
        <v>#REF!</v>
      </c>
      <c r="AJ500" s="532" t="e">
        <f>IF(NFI_Expiration=1,IF(#REF!&lt;VLOOKUP(S$5,NFI,5,0),1,0)*Table_NFI[[#This Row],[Plastic Bucket]],Table_NFI[Plastic Bucket])</f>
        <v>#REF!</v>
      </c>
      <c r="AK500" s="532" t="e">
        <f>IF(NFI_Expiration=1,IF(#REF!&lt;VLOOKUP(T$5,NFI,5,0),1,0)*Table_NFI[[#This Row],[Plastic Mat]],Table_NFI[Plastic Mat])*IF(Table_NFI[[#This Row],[Distribution Date]]&gt;"2014-04-01",1,2.5)</f>
        <v>#REF!</v>
      </c>
      <c r="AL500" s="532" t="e">
        <f>IF(NFI_Expiration=1,IF(#REF!&lt;VLOOKUP(U$5,NFI,5,0),1,0)*Table_NFI[[#This Row],[Winter Clothes Adult]],Table_NFI[Winter Clothes Adult])</f>
        <v>#REF!</v>
      </c>
      <c r="AM500" s="532"/>
      <c r="AN500" s="532"/>
      <c r="AO500" s="532"/>
      <c r="AP500" s="532">
        <f>IF(Table_NFI[[#This Row],[Winter Clothes Adult]]+Table_NFI[[#This Row],[Winter Clothes Children]]+Table_NFI[[#This Row],[Winter Items Other]]+Table_NFI[[#This Row],[Winter Blanket]]&gt;0,1,0)</f>
        <v>0</v>
      </c>
      <c r="AQ500" s="532"/>
      <c r="AR500" s="532"/>
      <c r="AS500" s="532"/>
      <c r="AT500" s="532"/>
      <c r="AU500" s="532"/>
      <c r="AV500" s="532"/>
      <c r="AW500" s="532"/>
      <c r="AX500" s="203" t="str">
        <f>IFERROR(VLOOKUP(Table_NFI[[#This Row],[Location]],CL,2,0),"")</f>
        <v/>
      </c>
      <c r="AZ500" s="524"/>
      <c r="DS500" s="181"/>
      <c r="DT500" s="181"/>
    </row>
    <row r="501" spans="2:124" hidden="1" x14ac:dyDescent="0.3">
      <c r="B501" s="530">
        <v>43395</v>
      </c>
      <c r="C501" s="530" t="str">
        <f>MONTH(Table_NFI[[#This Row],[Distribution Date]]) &amp; "/" &amp; YEAR(Table_NFI[[#This Row],[Distribution Date]])</f>
        <v>10/2018</v>
      </c>
      <c r="D501" s="196" t="s">
        <v>1256</v>
      </c>
      <c r="E501" s="196"/>
      <c r="F501" s="181" t="s">
        <v>506</v>
      </c>
      <c r="G501" s="720" t="s">
        <v>1786</v>
      </c>
      <c r="H501" s="544" t="s">
        <v>1780</v>
      </c>
      <c r="I501" s="210">
        <v>8</v>
      </c>
      <c r="J501" s="531"/>
      <c r="K501" s="531"/>
      <c r="L501" s="531"/>
      <c r="M501" s="531"/>
      <c r="N501" s="531"/>
      <c r="O501" s="531"/>
      <c r="P501" s="531"/>
      <c r="Q501" s="531"/>
      <c r="R501" s="531"/>
      <c r="S501" s="531"/>
      <c r="T501" s="531"/>
      <c r="U501" s="531"/>
      <c r="V501" s="531"/>
      <c r="W501" s="531"/>
      <c r="X501" s="531"/>
      <c r="Y501" s="531"/>
      <c r="Z501" s="702"/>
      <c r="AA501" s="531"/>
      <c r="AB501" s="531"/>
      <c r="AC501" s="532" t="e">
        <f>IF(NFI_Expiration=1,IF(#REF!&lt;VLOOKUP(L$5,NFI,5,0),1,0)*Table_NFI[[#This Row],[NFI Core Kit]],Table_NFI[NFI Core Kit])</f>
        <v>#REF!</v>
      </c>
      <c r="AD501" s="532" t="e">
        <f>IF(NFI_Expiration=1,IF(#REF!&lt;VLOOKUP(M$5,NFI,5,0),1,0)*Table_NFI[[#This Row],[Sanitary Kit]],Table_NFI[Sanitary Kit])</f>
        <v>#REF!</v>
      </c>
      <c r="AE501" s="532" t="e">
        <f>IF(NFI_Expiration=1,IF(#REF!&lt;VLOOKUP(N$5,NFI,5,0),1,0)*Table_NFI[[#This Row],[Mosquito net]],Table_NFI[Mosquito net])</f>
        <v>#REF!</v>
      </c>
      <c r="AF501" s="532" t="e">
        <f>IF(NFI_Expiration=1,IF(#REF!&lt;VLOOKUP(O$5,NFI,5,0),1,0)*Table_NFI[[#This Row],[Tarpaulin]],Table_NFI[[#This Row],[Tarpaulin]])</f>
        <v>#REF!</v>
      </c>
      <c r="AG501" s="532" t="e">
        <f>IF(NFI_Expiration=1,IF(#REF!&lt;VLOOKUP(P$5,NFI,5,0),1,0)*Table_NFI[[#This Row],[Blanket]],Table_NFI[[#This Row],[Blanket]])</f>
        <v>#REF!</v>
      </c>
      <c r="AH501" s="532" t="e">
        <f>IF(NFI_Expiration=1,IF(#REF!&lt;VLOOKUP(Q$5,NFI,5,0),1,0)*Table_NFI[[#This Row],[Kitchen Set]],Table_NFI[Kitchen Set])</f>
        <v>#REF!</v>
      </c>
      <c r="AI501" s="532" t="e">
        <f>IF(NFI_Expiration=1,IF(#REF!&lt;VLOOKUP(R$5,NFI,5,0),1,0)*Table_NFI[[#This Row],[Clothes Kit]],Table_NFI[Clothes Kit])</f>
        <v>#REF!</v>
      </c>
      <c r="AJ501" s="532" t="e">
        <f>IF(NFI_Expiration=1,IF(#REF!&lt;VLOOKUP(S$5,NFI,5,0),1,0)*Table_NFI[[#This Row],[Plastic Bucket]],Table_NFI[Plastic Bucket])</f>
        <v>#REF!</v>
      </c>
      <c r="AK501" s="532" t="e">
        <f>IF(NFI_Expiration=1,IF(#REF!&lt;VLOOKUP(T$5,NFI,5,0),1,0)*Table_NFI[[#This Row],[Plastic Mat]],Table_NFI[Plastic Mat])*IF(Table_NFI[[#This Row],[Distribution Date]]&gt;"2014-04-01",1,2.5)</f>
        <v>#REF!</v>
      </c>
      <c r="AL501" s="532" t="e">
        <f>IF(NFI_Expiration=1,IF(#REF!&lt;VLOOKUP(U$5,NFI,5,0),1,0)*Table_NFI[[#This Row],[Winter Clothes Adult]],Table_NFI[Winter Clothes Adult])</f>
        <v>#REF!</v>
      </c>
      <c r="AM501" s="532"/>
      <c r="AN501" s="532"/>
      <c r="AO501" s="532"/>
      <c r="AP501" s="532">
        <f>IF(Table_NFI[[#This Row],[Winter Clothes Adult]]+Table_NFI[[#This Row],[Winter Clothes Children]]+Table_NFI[[#This Row],[Winter Items Other]]+Table_NFI[[#This Row],[Winter Blanket]]&gt;0,1,0)</f>
        <v>0</v>
      </c>
      <c r="AQ501" s="532"/>
      <c r="AR501" s="532"/>
      <c r="AS501" s="532"/>
      <c r="AT501" s="532"/>
      <c r="AU501" s="532"/>
      <c r="AV501" s="532"/>
      <c r="AW501" s="532"/>
      <c r="AX501" s="203" t="str">
        <f>IFERROR(VLOOKUP(Table_NFI[[#This Row],[Location]],CL,2,0),"")</f>
        <v/>
      </c>
      <c r="AZ501" s="524"/>
      <c r="DS501" s="181"/>
      <c r="DT501" s="181"/>
    </row>
    <row r="502" spans="2:124" hidden="1" x14ac:dyDescent="0.3">
      <c r="B502" s="530">
        <v>43395</v>
      </c>
      <c r="C502" s="530" t="str">
        <f>MONTH(Table_NFI[[#This Row],[Distribution Date]]) &amp; "/" &amp; YEAR(Table_NFI[[#This Row],[Distribution Date]])</f>
        <v>10/2018</v>
      </c>
      <c r="D502" s="196" t="s">
        <v>1256</v>
      </c>
      <c r="E502" s="196"/>
      <c r="F502" s="181" t="s">
        <v>506</v>
      </c>
      <c r="G502" s="720" t="s">
        <v>1786</v>
      </c>
      <c r="H502" s="544" t="s">
        <v>1781</v>
      </c>
      <c r="I502" s="210">
        <v>18</v>
      </c>
      <c r="J502" s="531"/>
      <c r="K502" s="531"/>
      <c r="L502" s="531"/>
      <c r="M502" s="531"/>
      <c r="N502" s="531"/>
      <c r="O502" s="531"/>
      <c r="P502" s="531"/>
      <c r="Q502" s="531"/>
      <c r="R502" s="531"/>
      <c r="S502" s="531"/>
      <c r="T502" s="531"/>
      <c r="U502" s="531"/>
      <c r="V502" s="531"/>
      <c r="W502" s="531"/>
      <c r="X502" s="531"/>
      <c r="Y502" s="531"/>
      <c r="Z502" s="702"/>
      <c r="AA502" s="531"/>
      <c r="AB502" s="531"/>
      <c r="AC502" s="532" t="e">
        <f>IF(NFI_Expiration=1,IF(#REF!&lt;VLOOKUP(L$5,NFI,5,0),1,0)*Table_NFI[[#This Row],[NFI Core Kit]],Table_NFI[NFI Core Kit])</f>
        <v>#REF!</v>
      </c>
      <c r="AD502" s="532" t="e">
        <f>IF(NFI_Expiration=1,IF(#REF!&lt;VLOOKUP(M$5,NFI,5,0),1,0)*Table_NFI[[#This Row],[Sanitary Kit]],Table_NFI[Sanitary Kit])</f>
        <v>#REF!</v>
      </c>
      <c r="AE502" s="532" t="e">
        <f>IF(NFI_Expiration=1,IF(#REF!&lt;VLOOKUP(N$5,NFI,5,0),1,0)*Table_NFI[[#This Row],[Mosquito net]],Table_NFI[Mosquito net])</f>
        <v>#REF!</v>
      </c>
      <c r="AF502" s="532" t="e">
        <f>IF(NFI_Expiration=1,IF(#REF!&lt;VLOOKUP(O$5,NFI,5,0),1,0)*Table_NFI[[#This Row],[Tarpaulin]],Table_NFI[[#This Row],[Tarpaulin]])</f>
        <v>#REF!</v>
      </c>
      <c r="AG502" s="532" t="e">
        <f>IF(NFI_Expiration=1,IF(#REF!&lt;VLOOKUP(P$5,NFI,5,0),1,0)*Table_NFI[[#This Row],[Blanket]],Table_NFI[[#This Row],[Blanket]])</f>
        <v>#REF!</v>
      </c>
      <c r="AH502" s="532" t="e">
        <f>IF(NFI_Expiration=1,IF(#REF!&lt;VLOOKUP(Q$5,NFI,5,0),1,0)*Table_NFI[[#This Row],[Kitchen Set]],Table_NFI[Kitchen Set])</f>
        <v>#REF!</v>
      </c>
      <c r="AI502" s="532" t="e">
        <f>IF(NFI_Expiration=1,IF(#REF!&lt;VLOOKUP(R$5,NFI,5,0),1,0)*Table_NFI[[#This Row],[Clothes Kit]],Table_NFI[Clothes Kit])</f>
        <v>#REF!</v>
      </c>
      <c r="AJ502" s="532" t="e">
        <f>IF(NFI_Expiration=1,IF(#REF!&lt;VLOOKUP(S$5,NFI,5,0),1,0)*Table_NFI[[#This Row],[Plastic Bucket]],Table_NFI[Plastic Bucket])</f>
        <v>#REF!</v>
      </c>
      <c r="AK502" s="532" t="e">
        <f>IF(NFI_Expiration=1,IF(#REF!&lt;VLOOKUP(T$5,NFI,5,0),1,0)*Table_NFI[[#This Row],[Plastic Mat]],Table_NFI[Plastic Mat])*IF(Table_NFI[[#This Row],[Distribution Date]]&gt;"2014-04-01",1,2.5)</f>
        <v>#REF!</v>
      </c>
      <c r="AL502" s="532" t="e">
        <f>IF(NFI_Expiration=1,IF(#REF!&lt;VLOOKUP(U$5,NFI,5,0),1,0)*Table_NFI[[#This Row],[Winter Clothes Adult]],Table_NFI[Winter Clothes Adult])</f>
        <v>#REF!</v>
      </c>
      <c r="AM502" s="532"/>
      <c r="AN502" s="532"/>
      <c r="AO502" s="532"/>
      <c r="AP502" s="532">
        <f>IF(Table_NFI[[#This Row],[Winter Clothes Adult]]+Table_NFI[[#This Row],[Winter Clothes Children]]+Table_NFI[[#This Row],[Winter Items Other]]+Table_NFI[[#This Row],[Winter Blanket]]&gt;0,1,0)</f>
        <v>0</v>
      </c>
      <c r="AQ502" s="532"/>
      <c r="AR502" s="532"/>
      <c r="AS502" s="532"/>
      <c r="AT502" s="532"/>
      <c r="AU502" s="532"/>
      <c r="AV502" s="532"/>
      <c r="AW502" s="532"/>
      <c r="AX502" s="203" t="str">
        <f>IFERROR(VLOOKUP(Table_NFI[[#This Row],[Location]],CL,2,0),"")</f>
        <v/>
      </c>
      <c r="AZ502" s="524"/>
      <c r="DS502" s="181"/>
      <c r="DT502" s="181"/>
    </row>
    <row r="503" spans="2:124" hidden="1" x14ac:dyDescent="0.3">
      <c r="B503" s="530">
        <v>43417</v>
      </c>
      <c r="C503" s="530" t="str">
        <f>MONTH(Table_NFI[[#This Row],[Distribution Date]]) &amp; "/" &amp; YEAR(Table_NFI[[#This Row],[Distribution Date]])</f>
        <v>11/2018</v>
      </c>
      <c r="D503" s="196" t="s">
        <v>1256</v>
      </c>
      <c r="E503" s="196"/>
      <c r="F503" s="196" t="s">
        <v>378</v>
      </c>
      <c r="G503" s="544" t="s">
        <v>1795</v>
      </c>
      <c r="H503" s="544" t="s">
        <v>1800</v>
      </c>
      <c r="I503" s="210"/>
      <c r="J503" s="531"/>
      <c r="K503" s="531"/>
      <c r="L503" s="531"/>
      <c r="M503" s="531"/>
      <c r="N503" s="531"/>
      <c r="O503" s="531"/>
      <c r="P503" s="531"/>
      <c r="Q503" s="531"/>
      <c r="R503" s="531"/>
      <c r="S503" s="531"/>
      <c r="T503" s="531"/>
      <c r="U503" s="531"/>
      <c r="V503" s="531"/>
      <c r="W503" s="531"/>
      <c r="X503" s="531"/>
      <c r="Y503" s="531"/>
      <c r="Z503" s="702"/>
      <c r="AA503" s="531"/>
      <c r="AB503" s="531"/>
      <c r="AC503" s="532" t="e">
        <f>IF(NFI_Expiration=1,IF(#REF!&lt;VLOOKUP(L$5,NFI,5,0),1,0)*Table_NFI[[#This Row],[NFI Core Kit]],Table_NFI[NFI Core Kit])</f>
        <v>#REF!</v>
      </c>
      <c r="AD503" s="532" t="e">
        <f>IF(NFI_Expiration=1,IF(#REF!&lt;VLOOKUP(M$5,NFI,5,0),1,0)*Table_NFI[[#This Row],[Sanitary Kit]],Table_NFI[Sanitary Kit])</f>
        <v>#REF!</v>
      </c>
      <c r="AE503" s="532" t="e">
        <f>IF(NFI_Expiration=1,IF(#REF!&lt;VLOOKUP(N$5,NFI,5,0),1,0)*Table_NFI[[#This Row],[Mosquito net]],Table_NFI[Mosquito net])</f>
        <v>#REF!</v>
      </c>
      <c r="AF503" s="532" t="e">
        <f>IF(NFI_Expiration=1,IF(#REF!&lt;VLOOKUP(O$5,NFI,5,0),1,0)*Table_NFI[[#This Row],[Tarpaulin]],Table_NFI[[#This Row],[Tarpaulin]])</f>
        <v>#REF!</v>
      </c>
      <c r="AG503" s="532" t="e">
        <f>IF(NFI_Expiration=1,IF(#REF!&lt;VLOOKUP(P$5,NFI,5,0),1,0)*Table_NFI[[#This Row],[Blanket]],Table_NFI[[#This Row],[Blanket]])</f>
        <v>#REF!</v>
      </c>
      <c r="AH503" s="532" t="e">
        <f>IF(NFI_Expiration=1,IF(#REF!&lt;VLOOKUP(Q$5,NFI,5,0),1,0)*Table_NFI[[#This Row],[Kitchen Set]],Table_NFI[Kitchen Set])</f>
        <v>#REF!</v>
      </c>
      <c r="AI503" s="532" t="e">
        <f>IF(NFI_Expiration=1,IF(#REF!&lt;VLOOKUP(R$5,NFI,5,0),1,0)*Table_NFI[[#This Row],[Clothes Kit]],Table_NFI[Clothes Kit])</f>
        <v>#REF!</v>
      </c>
      <c r="AJ503" s="532" t="e">
        <f>IF(NFI_Expiration=1,IF(#REF!&lt;VLOOKUP(S$5,NFI,5,0),1,0)*Table_NFI[[#This Row],[Plastic Bucket]],Table_NFI[Plastic Bucket])</f>
        <v>#REF!</v>
      </c>
      <c r="AK503" s="532" t="e">
        <f>IF(NFI_Expiration=1,IF(#REF!&lt;VLOOKUP(T$5,NFI,5,0),1,0)*Table_NFI[[#This Row],[Plastic Mat]],Table_NFI[Plastic Mat])*IF(Table_NFI[[#This Row],[Distribution Date]]&gt;"2014-04-01",1,2.5)</f>
        <v>#REF!</v>
      </c>
      <c r="AL503" s="532" t="e">
        <f>IF(NFI_Expiration=1,IF(#REF!&lt;VLOOKUP(U$5,NFI,5,0),1,0)*Table_NFI[[#This Row],[Winter Clothes Adult]],Table_NFI[Winter Clothes Adult])</f>
        <v>#REF!</v>
      </c>
      <c r="AM503" s="532"/>
      <c r="AN503" s="532"/>
      <c r="AO503" s="532"/>
      <c r="AP503" s="532">
        <f>IF(Table_NFI[[#This Row],[Winter Clothes Adult]]+Table_NFI[[#This Row],[Winter Clothes Children]]+Table_NFI[[#This Row],[Winter Items Other]]+Table_NFI[[#This Row],[Winter Blanket]]&gt;0,1,0)</f>
        <v>0</v>
      </c>
      <c r="AQ503" s="532"/>
      <c r="AR503" s="532"/>
      <c r="AS503" s="532"/>
      <c r="AT503" s="532"/>
      <c r="AU503" s="532"/>
      <c r="AV503" s="532"/>
      <c r="AW503" s="532"/>
      <c r="AX503" s="203" t="str">
        <f>IFERROR(VLOOKUP(Table_NFI[[#This Row],[Location]],CL,2,0),"")</f>
        <v/>
      </c>
      <c r="AY503" s="181" t="s">
        <v>1806</v>
      </c>
      <c r="AZ503" s="524"/>
      <c r="DS503" s="181"/>
      <c r="DT503" s="181"/>
    </row>
    <row r="504" spans="2:124" hidden="1" x14ac:dyDescent="0.3">
      <c r="B504" s="530">
        <v>43416</v>
      </c>
      <c r="C504" s="530" t="str">
        <f>MONTH(Table_NFI[[#This Row],[Distribution Date]]) &amp; "/" &amp; YEAR(Table_NFI[[#This Row],[Distribution Date]])</f>
        <v>11/2018</v>
      </c>
      <c r="D504" s="196" t="s">
        <v>1256</v>
      </c>
      <c r="E504" s="196"/>
      <c r="F504" s="196" t="s">
        <v>378</v>
      </c>
      <c r="G504" s="544" t="s">
        <v>1796</v>
      </c>
      <c r="H504" s="544" t="s">
        <v>1800</v>
      </c>
      <c r="I504" s="210"/>
      <c r="J504" s="531"/>
      <c r="K504" s="531"/>
      <c r="L504" s="531"/>
      <c r="M504" s="531"/>
      <c r="N504" s="531"/>
      <c r="O504" s="531"/>
      <c r="P504" s="531"/>
      <c r="Q504" s="531"/>
      <c r="R504" s="531"/>
      <c r="S504" s="531"/>
      <c r="T504" s="531"/>
      <c r="U504" s="531"/>
      <c r="V504" s="531"/>
      <c r="W504" s="531"/>
      <c r="X504" s="531"/>
      <c r="Y504" s="531"/>
      <c r="Z504" s="702"/>
      <c r="AA504" s="531"/>
      <c r="AB504" s="531"/>
      <c r="AC504" s="532" t="e">
        <f>IF(NFI_Expiration=1,IF(#REF!&lt;VLOOKUP(L$5,NFI,5,0),1,0)*Table_NFI[[#This Row],[NFI Core Kit]],Table_NFI[NFI Core Kit])</f>
        <v>#REF!</v>
      </c>
      <c r="AD504" s="532" t="e">
        <f>IF(NFI_Expiration=1,IF(#REF!&lt;VLOOKUP(M$5,NFI,5,0),1,0)*Table_NFI[[#This Row],[Sanitary Kit]],Table_NFI[Sanitary Kit])</f>
        <v>#REF!</v>
      </c>
      <c r="AE504" s="532" t="e">
        <f>IF(NFI_Expiration=1,IF(#REF!&lt;VLOOKUP(N$5,NFI,5,0),1,0)*Table_NFI[[#This Row],[Mosquito net]],Table_NFI[Mosquito net])</f>
        <v>#REF!</v>
      </c>
      <c r="AF504" s="532" t="e">
        <f>IF(NFI_Expiration=1,IF(#REF!&lt;VLOOKUP(O$5,NFI,5,0),1,0)*Table_NFI[[#This Row],[Tarpaulin]],Table_NFI[[#This Row],[Tarpaulin]])</f>
        <v>#REF!</v>
      </c>
      <c r="AG504" s="532" t="e">
        <f>IF(NFI_Expiration=1,IF(#REF!&lt;VLOOKUP(P$5,NFI,5,0),1,0)*Table_NFI[[#This Row],[Blanket]],Table_NFI[[#This Row],[Blanket]])</f>
        <v>#REF!</v>
      </c>
      <c r="AH504" s="532" t="e">
        <f>IF(NFI_Expiration=1,IF(#REF!&lt;VLOOKUP(Q$5,NFI,5,0),1,0)*Table_NFI[[#This Row],[Kitchen Set]],Table_NFI[Kitchen Set])</f>
        <v>#REF!</v>
      </c>
      <c r="AI504" s="532" t="e">
        <f>IF(NFI_Expiration=1,IF(#REF!&lt;VLOOKUP(R$5,NFI,5,0),1,0)*Table_NFI[[#This Row],[Clothes Kit]],Table_NFI[Clothes Kit])</f>
        <v>#REF!</v>
      </c>
      <c r="AJ504" s="532" t="e">
        <f>IF(NFI_Expiration=1,IF(#REF!&lt;VLOOKUP(S$5,NFI,5,0),1,0)*Table_NFI[[#This Row],[Plastic Bucket]],Table_NFI[Plastic Bucket])</f>
        <v>#REF!</v>
      </c>
      <c r="AK504" s="532" t="e">
        <f>IF(NFI_Expiration=1,IF(#REF!&lt;VLOOKUP(T$5,NFI,5,0),1,0)*Table_NFI[[#This Row],[Plastic Mat]],Table_NFI[Plastic Mat])*IF(Table_NFI[[#This Row],[Distribution Date]]&gt;"2014-04-01",1,2.5)</f>
        <v>#REF!</v>
      </c>
      <c r="AL504" s="532" t="e">
        <f>IF(NFI_Expiration=1,IF(#REF!&lt;VLOOKUP(U$5,NFI,5,0),1,0)*Table_NFI[[#This Row],[Winter Clothes Adult]],Table_NFI[Winter Clothes Adult])</f>
        <v>#REF!</v>
      </c>
      <c r="AM504" s="532"/>
      <c r="AN504" s="532"/>
      <c r="AO504" s="532"/>
      <c r="AP504" s="532">
        <f>IF(Table_NFI[[#This Row],[Winter Clothes Adult]]+Table_NFI[[#This Row],[Winter Clothes Children]]+Table_NFI[[#This Row],[Winter Items Other]]+Table_NFI[[#This Row],[Winter Blanket]]&gt;0,1,0)</f>
        <v>0</v>
      </c>
      <c r="AQ504" s="532"/>
      <c r="AR504" s="532"/>
      <c r="AS504" s="532"/>
      <c r="AT504" s="532"/>
      <c r="AU504" s="532"/>
      <c r="AV504" s="532"/>
      <c r="AW504" s="532"/>
      <c r="AX504" s="203" t="str">
        <f>IFERROR(VLOOKUP(Table_NFI[[#This Row],[Location]],CL,2,0),"")</f>
        <v/>
      </c>
      <c r="AY504" s="181" t="s">
        <v>1807</v>
      </c>
      <c r="AZ504" s="524"/>
      <c r="DS504" s="181"/>
      <c r="DT504" s="181"/>
    </row>
    <row r="505" spans="2:124" hidden="1" x14ac:dyDescent="0.3">
      <c r="B505" s="530">
        <v>43405</v>
      </c>
      <c r="C505" s="530" t="str">
        <f>MONTH(Table_NFI[[#This Row],[Distribution Date]]) &amp; "/" &amp; YEAR(Table_NFI[[#This Row],[Distribution Date]])</f>
        <v>11/2018</v>
      </c>
      <c r="D505" s="196" t="s">
        <v>1256</v>
      </c>
      <c r="E505" s="196"/>
      <c r="F505" s="196" t="s">
        <v>378</v>
      </c>
      <c r="G505" s="720" t="s">
        <v>1787</v>
      </c>
      <c r="H505" s="544" t="s">
        <v>1801</v>
      </c>
      <c r="I505" s="210">
        <v>12</v>
      </c>
      <c r="J505" s="531"/>
      <c r="K505" s="531"/>
      <c r="L505" s="531"/>
      <c r="M505" s="531"/>
      <c r="N505" s="531"/>
      <c r="O505" s="531"/>
      <c r="P505" s="531"/>
      <c r="Q505" s="531"/>
      <c r="R505" s="531"/>
      <c r="S505" s="531"/>
      <c r="T505" s="531"/>
      <c r="U505" s="531"/>
      <c r="V505" s="531"/>
      <c r="W505" s="531"/>
      <c r="X505" s="531"/>
      <c r="Y505" s="531"/>
      <c r="Z505" s="702"/>
      <c r="AA505" s="531"/>
      <c r="AB505" s="531"/>
      <c r="AC505" s="532" t="e">
        <f>IF(NFI_Expiration=1,IF(#REF!&lt;VLOOKUP(L$5,NFI,5,0),1,0)*Table_NFI[[#This Row],[NFI Core Kit]],Table_NFI[NFI Core Kit])</f>
        <v>#REF!</v>
      </c>
      <c r="AD505" s="532" t="e">
        <f>IF(NFI_Expiration=1,IF(#REF!&lt;VLOOKUP(M$5,NFI,5,0),1,0)*Table_NFI[[#This Row],[Sanitary Kit]],Table_NFI[Sanitary Kit])</f>
        <v>#REF!</v>
      </c>
      <c r="AE505" s="532" t="e">
        <f>IF(NFI_Expiration=1,IF(#REF!&lt;VLOOKUP(N$5,NFI,5,0),1,0)*Table_NFI[[#This Row],[Mosquito net]],Table_NFI[Mosquito net])</f>
        <v>#REF!</v>
      </c>
      <c r="AF505" s="532" t="e">
        <f>IF(NFI_Expiration=1,IF(#REF!&lt;VLOOKUP(O$5,NFI,5,0),1,0)*Table_NFI[[#This Row],[Tarpaulin]],Table_NFI[[#This Row],[Tarpaulin]])</f>
        <v>#REF!</v>
      </c>
      <c r="AG505" s="532" t="e">
        <f>IF(NFI_Expiration=1,IF(#REF!&lt;VLOOKUP(P$5,NFI,5,0),1,0)*Table_NFI[[#This Row],[Blanket]],Table_NFI[[#This Row],[Blanket]])</f>
        <v>#REF!</v>
      </c>
      <c r="AH505" s="532" t="e">
        <f>IF(NFI_Expiration=1,IF(#REF!&lt;VLOOKUP(Q$5,NFI,5,0),1,0)*Table_NFI[[#This Row],[Kitchen Set]],Table_NFI[Kitchen Set])</f>
        <v>#REF!</v>
      </c>
      <c r="AI505" s="532" t="e">
        <f>IF(NFI_Expiration=1,IF(#REF!&lt;VLOOKUP(R$5,NFI,5,0),1,0)*Table_NFI[[#This Row],[Clothes Kit]],Table_NFI[Clothes Kit])</f>
        <v>#REF!</v>
      </c>
      <c r="AJ505" s="532" t="e">
        <f>IF(NFI_Expiration=1,IF(#REF!&lt;VLOOKUP(S$5,NFI,5,0),1,0)*Table_NFI[[#This Row],[Plastic Bucket]],Table_NFI[Plastic Bucket])</f>
        <v>#REF!</v>
      </c>
      <c r="AK505" s="532" t="e">
        <f>IF(NFI_Expiration=1,IF(#REF!&lt;VLOOKUP(T$5,NFI,5,0),1,0)*Table_NFI[[#This Row],[Plastic Mat]],Table_NFI[Plastic Mat])*IF(Table_NFI[[#This Row],[Distribution Date]]&gt;"2014-04-01",1,2.5)</f>
        <v>#REF!</v>
      </c>
      <c r="AL505" s="532" t="e">
        <f>IF(NFI_Expiration=1,IF(#REF!&lt;VLOOKUP(U$5,NFI,5,0),1,0)*Table_NFI[[#This Row],[Winter Clothes Adult]],Table_NFI[Winter Clothes Adult])</f>
        <v>#REF!</v>
      </c>
      <c r="AM505" s="532"/>
      <c r="AN505" s="532"/>
      <c r="AO505" s="532"/>
      <c r="AP505" s="532">
        <f>IF(Table_NFI[[#This Row],[Winter Clothes Adult]]+Table_NFI[[#This Row],[Winter Clothes Children]]+Table_NFI[[#This Row],[Winter Items Other]]+Table_NFI[[#This Row],[Winter Blanket]]&gt;0,1,0)</f>
        <v>0</v>
      </c>
      <c r="AQ505" s="532"/>
      <c r="AR505" s="532"/>
      <c r="AS505" s="532"/>
      <c r="AT505" s="532"/>
      <c r="AU505" s="532"/>
      <c r="AV505" s="532"/>
      <c r="AW505" s="532"/>
      <c r="AX505" s="203" t="str">
        <f>IFERROR(VLOOKUP(Table_NFI[[#This Row],[Location]],CL,2,0),"")</f>
        <v/>
      </c>
      <c r="AZ505" s="524"/>
      <c r="DS505" s="181"/>
      <c r="DT505" s="181"/>
    </row>
    <row r="506" spans="2:124" hidden="1" x14ac:dyDescent="0.3">
      <c r="B506" s="530">
        <v>43405</v>
      </c>
      <c r="C506" s="530" t="str">
        <f>MONTH(Table_NFI[[#This Row],[Distribution Date]]) &amp; "/" &amp; YEAR(Table_NFI[[#This Row],[Distribution Date]])</f>
        <v>11/2018</v>
      </c>
      <c r="D506" s="196" t="s">
        <v>1256</v>
      </c>
      <c r="E506" s="196"/>
      <c r="F506" s="196" t="s">
        <v>378</v>
      </c>
      <c r="G506" s="720" t="s">
        <v>1797</v>
      </c>
      <c r="H506" s="544" t="s">
        <v>1789</v>
      </c>
      <c r="I506" s="210">
        <v>5</v>
      </c>
      <c r="J506" s="531"/>
      <c r="K506" s="531"/>
      <c r="L506" s="531"/>
      <c r="M506" s="531"/>
      <c r="N506" s="531"/>
      <c r="O506" s="531"/>
      <c r="P506" s="531"/>
      <c r="Q506" s="531"/>
      <c r="R506" s="531"/>
      <c r="S506" s="531"/>
      <c r="T506" s="531"/>
      <c r="U506" s="531"/>
      <c r="V506" s="531"/>
      <c r="W506" s="531"/>
      <c r="X506" s="531"/>
      <c r="Y506" s="531"/>
      <c r="Z506" s="702"/>
      <c r="AA506" s="531"/>
      <c r="AB506" s="531"/>
      <c r="AC506" s="532" t="e">
        <f>IF(NFI_Expiration=1,IF(#REF!&lt;VLOOKUP(L$5,NFI,5,0),1,0)*Table_NFI[[#This Row],[NFI Core Kit]],Table_NFI[NFI Core Kit])</f>
        <v>#REF!</v>
      </c>
      <c r="AD506" s="532" t="e">
        <f>IF(NFI_Expiration=1,IF(#REF!&lt;VLOOKUP(M$5,NFI,5,0),1,0)*Table_NFI[[#This Row],[Sanitary Kit]],Table_NFI[Sanitary Kit])</f>
        <v>#REF!</v>
      </c>
      <c r="AE506" s="532" t="e">
        <f>IF(NFI_Expiration=1,IF(#REF!&lt;VLOOKUP(N$5,NFI,5,0),1,0)*Table_NFI[[#This Row],[Mosquito net]],Table_NFI[Mosquito net])</f>
        <v>#REF!</v>
      </c>
      <c r="AF506" s="532" t="e">
        <f>IF(NFI_Expiration=1,IF(#REF!&lt;VLOOKUP(O$5,NFI,5,0),1,0)*Table_NFI[[#This Row],[Tarpaulin]],Table_NFI[[#This Row],[Tarpaulin]])</f>
        <v>#REF!</v>
      </c>
      <c r="AG506" s="532" t="e">
        <f>IF(NFI_Expiration=1,IF(#REF!&lt;VLOOKUP(P$5,NFI,5,0),1,0)*Table_NFI[[#This Row],[Blanket]],Table_NFI[[#This Row],[Blanket]])</f>
        <v>#REF!</v>
      </c>
      <c r="AH506" s="532" t="e">
        <f>IF(NFI_Expiration=1,IF(#REF!&lt;VLOOKUP(Q$5,NFI,5,0),1,0)*Table_NFI[[#This Row],[Kitchen Set]],Table_NFI[Kitchen Set])</f>
        <v>#REF!</v>
      </c>
      <c r="AI506" s="532" t="e">
        <f>IF(NFI_Expiration=1,IF(#REF!&lt;VLOOKUP(R$5,NFI,5,0),1,0)*Table_NFI[[#This Row],[Clothes Kit]],Table_NFI[Clothes Kit])</f>
        <v>#REF!</v>
      </c>
      <c r="AJ506" s="532" t="e">
        <f>IF(NFI_Expiration=1,IF(#REF!&lt;VLOOKUP(S$5,NFI,5,0),1,0)*Table_NFI[[#This Row],[Plastic Bucket]],Table_NFI[Plastic Bucket])</f>
        <v>#REF!</v>
      </c>
      <c r="AK506" s="532" t="e">
        <f>IF(NFI_Expiration=1,IF(#REF!&lt;VLOOKUP(T$5,NFI,5,0),1,0)*Table_NFI[[#This Row],[Plastic Mat]],Table_NFI[Plastic Mat])*IF(Table_NFI[[#This Row],[Distribution Date]]&gt;"2014-04-01",1,2.5)</f>
        <v>#REF!</v>
      </c>
      <c r="AL506" s="532" t="e">
        <f>IF(NFI_Expiration=1,IF(#REF!&lt;VLOOKUP(U$5,NFI,5,0),1,0)*Table_NFI[[#This Row],[Winter Clothes Adult]],Table_NFI[Winter Clothes Adult])</f>
        <v>#REF!</v>
      </c>
      <c r="AM506" s="532"/>
      <c r="AN506" s="532"/>
      <c r="AO506" s="532"/>
      <c r="AP506" s="532">
        <f>IF(Table_NFI[[#This Row],[Winter Clothes Adult]]+Table_NFI[[#This Row],[Winter Clothes Children]]+Table_NFI[[#This Row],[Winter Items Other]]+Table_NFI[[#This Row],[Winter Blanket]]&gt;0,1,0)</f>
        <v>0</v>
      </c>
      <c r="AQ506" s="532"/>
      <c r="AR506" s="532"/>
      <c r="AS506" s="532"/>
      <c r="AT506" s="532"/>
      <c r="AU506" s="532"/>
      <c r="AV506" s="532"/>
      <c r="AW506" s="532"/>
      <c r="AX506" s="203" t="str">
        <f>IFERROR(VLOOKUP(Table_NFI[[#This Row],[Location]],CL,2,0),"")</f>
        <v/>
      </c>
      <c r="AZ506" s="524"/>
      <c r="DS506" s="181"/>
      <c r="DT506" s="181"/>
    </row>
    <row r="507" spans="2:124" hidden="1" x14ac:dyDescent="0.3">
      <c r="B507" s="530">
        <v>43405</v>
      </c>
      <c r="C507" s="530" t="str">
        <f>MONTH(Table_NFI[[#This Row],[Distribution Date]]) &amp; "/" &amp; YEAR(Table_NFI[[#This Row],[Distribution Date]])</f>
        <v>11/2018</v>
      </c>
      <c r="D507" s="196" t="s">
        <v>1256</v>
      </c>
      <c r="E507" s="196"/>
      <c r="F507" s="196" t="s">
        <v>378</v>
      </c>
      <c r="G507" s="720" t="s">
        <v>1798</v>
      </c>
      <c r="H507" s="544" t="s">
        <v>1802</v>
      </c>
      <c r="I507" s="210">
        <v>5</v>
      </c>
      <c r="J507" s="531"/>
      <c r="K507" s="531"/>
      <c r="L507" s="531"/>
      <c r="M507" s="531"/>
      <c r="N507" s="531"/>
      <c r="O507" s="531"/>
      <c r="P507" s="531"/>
      <c r="Q507" s="531"/>
      <c r="R507" s="531"/>
      <c r="S507" s="531"/>
      <c r="T507" s="531"/>
      <c r="U507" s="531"/>
      <c r="V507" s="531"/>
      <c r="W507" s="531"/>
      <c r="X507" s="531"/>
      <c r="Y507" s="531"/>
      <c r="Z507" s="702"/>
      <c r="AA507" s="531"/>
      <c r="AB507" s="531"/>
      <c r="AC507" s="532" t="e">
        <f>IF(NFI_Expiration=1,IF(#REF!&lt;VLOOKUP(L$5,NFI,5,0),1,0)*Table_NFI[[#This Row],[NFI Core Kit]],Table_NFI[NFI Core Kit])</f>
        <v>#REF!</v>
      </c>
      <c r="AD507" s="532" t="e">
        <f>IF(NFI_Expiration=1,IF(#REF!&lt;VLOOKUP(M$5,NFI,5,0),1,0)*Table_NFI[[#This Row],[Sanitary Kit]],Table_NFI[Sanitary Kit])</f>
        <v>#REF!</v>
      </c>
      <c r="AE507" s="532" t="e">
        <f>IF(NFI_Expiration=1,IF(#REF!&lt;VLOOKUP(N$5,NFI,5,0),1,0)*Table_NFI[[#This Row],[Mosquito net]],Table_NFI[Mosquito net])</f>
        <v>#REF!</v>
      </c>
      <c r="AF507" s="532" t="e">
        <f>IF(NFI_Expiration=1,IF(#REF!&lt;VLOOKUP(O$5,NFI,5,0),1,0)*Table_NFI[[#This Row],[Tarpaulin]],Table_NFI[[#This Row],[Tarpaulin]])</f>
        <v>#REF!</v>
      </c>
      <c r="AG507" s="532" t="e">
        <f>IF(NFI_Expiration=1,IF(#REF!&lt;VLOOKUP(P$5,NFI,5,0),1,0)*Table_NFI[[#This Row],[Blanket]],Table_NFI[[#This Row],[Blanket]])</f>
        <v>#REF!</v>
      </c>
      <c r="AH507" s="532" t="e">
        <f>IF(NFI_Expiration=1,IF(#REF!&lt;VLOOKUP(Q$5,NFI,5,0),1,0)*Table_NFI[[#This Row],[Kitchen Set]],Table_NFI[Kitchen Set])</f>
        <v>#REF!</v>
      </c>
      <c r="AI507" s="532" t="e">
        <f>IF(NFI_Expiration=1,IF(#REF!&lt;VLOOKUP(R$5,NFI,5,0),1,0)*Table_NFI[[#This Row],[Clothes Kit]],Table_NFI[Clothes Kit])</f>
        <v>#REF!</v>
      </c>
      <c r="AJ507" s="532" t="e">
        <f>IF(NFI_Expiration=1,IF(#REF!&lt;VLOOKUP(S$5,NFI,5,0),1,0)*Table_NFI[[#This Row],[Plastic Bucket]],Table_NFI[Plastic Bucket])</f>
        <v>#REF!</v>
      </c>
      <c r="AK507" s="532" t="e">
        <f>IF(NFI_Expiration=1,IF(#REF!&lt;VLOOKUP(T$5,NFI,5,0),1,0)*Table_NFI[[#This Row],[Plastic Mat]],Table_NFI[Plastic Mat])*IF(Table_NFI[[#This Row],[Distribution Date]]&gt;"2014-04-01",1,2.5)</f>
        <v>#REF!</v>
      </c>
      <c r="AL507" s="532" t="e">
        <f>IF(NFI_Expiration=1,IF(#REF!&lt;VLOOKUP(U$5,NFI,5,0),1,0)*Table_NFI[[#This Row],[Winter Clothes Adult]],Table_NFI[Winter Clothes Adult])</f>
        <v>#REF!</v>
      </c>
      <c r="AM507" s="532"/>
      <c r="AN507" s="532"/>
      <c r="AO507" s="532"/>
      <c r="AP507" s="532">
        <f>IF(Table_NFI[[#This Row],[Winter Clothes Adult]]+Table_NFI[[#This Row],[Winter Clothes Children]]+Table_NFI[[#This Row],[Winter Items Other]]+Table_NFI[[#This Row],[Winter Blanket]]&gt;0,1,0)</f>
        <v>0</v>
      </c>
      <c r="AQ507" s="532"/>
      <c r="AR507" s="532"/>
      <c r="AS507" s="532"/>
      <c r="AT507" s="532"/>
      <c r="AU507" s="532"/>
      <c r="AV507" s="532"/>
      <c r="AW507" s="532"/>
      <c r="AX507" s="203" t="str">
        <f>IFERROR(VLOOKUP(Table_NFI[[#This Row],[Location]],CL,2,0),"")</f>
        <v/>
      </c>
      <c r="AZ507" s="524"/>
      <c r="DS507" s="181"/>
      <c r="DT507" s="181"/>
    </row>
    <row r="508" spans="2:124" hidden="1" x14ac:dyDescent="0.3">
      <c r="B508" s="530">
        <v>43424</v>
      </c>
      <c r="C508" s="530" t="str">
        <f>MONTH(Table_NFI[[#This Row],[Distribution Date]]) &amp; "/" &amp; YEAR(Table_NFI[[#This Row],[Distribution Date]])</f>
        <v>11/2018</v>
      </c>
      <c r="D508" s="196" t="s">
        <v>1256</v>
      </c>
      <c r="E508" s="196"/>
      <c r="F508" s="181" t="s">
        <v>506</v>
      </c>
      <c r="G508" s="175" t="s">
        <v>1799</v>
      </c>
      <c r="H508" s="136" t="s">
        <v>1803</v>
      </c>
      <c r="I508" s="210"/>
      <c r="J508" s="531"/>
      <c r="K508" s="531"/>
      <c r="L508" s="531"/>
      <c r="M508" s="531"/>
      <c r="N508" s="531"/>
      <c r="O508" s="531"/>
      <c r="P508" s="531">
        <v>67</v>
      </c>
      <c r="Q508" s="531"/>
      <c r="R508" s="531"/>
      <c r="S508" s="531"/>
      <c r="T508" s="531">
        <v>67</v>
      </c>
      <c r="U508" s="531"/>
      <c r="V508" s="531"/>
      <c r="W508" s="531"/>
      <c r="X508" s="531"/>
      <c r="Y508" s="531"/>
      <c r="Z508" s="702"/>
      <c r="AA508" s="531"/>
      <c r="AB508" s="531"/>
      <c r="AC508" s="532" t="e">
        <f>IF(NFI_Expiration=1,IF(#REF!&lt;VLOOKUP(L$5,NFI,5,0),1,0)*Table_NFI[[#This Row],[NFI Core Kit]],Table_NFI[NFI Core Kit])</f>
        <v>#REF!</v>
      </c>
      <c r="AD508" s="532" t="e">
        <f>IF(NFI_Expiration=1,IF(#REF!&lt;VLOOKUP(M$5,NFI,5,0),1,0)*Table_NFI[[#This Row],[Sanitary Kit]],Table_NFI[Sanitary Kit])</f>
        <v>#REF!</v>
      </c>
      <c r="AE508" s="532" t="e">
        <f>IF(NFI_Expiration=1,IF(#REF!&lt;VLOOKUP(N$5,NFI,5,0),1,0)*Table_NFI[[#This Row],[Mosquito net]],Table_NFI[Mosquito net])</f>
        <v>#REF!</v>
      </c>
      <c r="AF508" s="532" t="e">
        <f>IF(NFI_Expiration=1,IF(#REF!&lt;VLOOKUP(O$5,NFI,5,0),1,0)*Table_NFI[[#This Row],[Tarpaulin]],Table_NFI[[#This Row],[Tarpaulin]])</f>
        <v>#REF!</v>
      </c>
      <c r="AG508" s="532" t="e">
        <f>IF(NFI_Expiration=1,IF(#REF!&lt;VLOOKUP(P$5,NFI,5,0),1,0)*Table_NFI[[#This Row],[Blanket]],Table_NFI[[#This Row],[Blanket]])</f>
        <v>#REF!</v>
      </c>
      <c r="AH508" s="532" t="e">
        <f>IF(NFI_Expiration=1,IF(#REF!&lt;VLOOKUP(Q$5,NFI,5,0),1,0)*Table_NFI[[#This Row],[Kitchen Set]],Table_NFI[Kitchen Set])</f>
        <v>#REF!</v>
      </c>
      <c r="AI508" s="532" t="e">
        <f>IF(NFI_Expiration=1,IF(#REF!&lt;VLOOKUP(R$5,NFI,5,0),1,0)*Table_NFI[[#This Row],[Clothes Kit]],Table_NFI[Clothes Kit])</f>
        <v>#REF!</v>
      </c>
      <c r="AJ508" s="532" t="e">
        <f>IF(NFI_Expiration=1,IF(#REF!&lt;VLOOKUP(S$5,NFI,5,0),1,0)*Table_NFI[[#This Row],[Plastic Bucket]],Table_NFI[Plastic Bucket])</f>
        <v>#REF!</v>
      </c>
      <c r="AK508" s="532" t="e">
        <f>IF(NFI_Expiration=1,IF(#REF!&lt;VLOOKUP(T$5,NFI,5,0),1,0)*Table_NFI[[#This Row],[Plastic Mat]],Table_NFI[Plastic Mat])*IF(Table_NFI[[#This Row],[Distribution Date]]&gt;"2014-04-01",1,2.5)</f>
        <v>#REF!</v>
      </c>
      <c r="AL508" s="532" t="e">
        <f>IF(NFI_Expiration=1,IF(#REF!&lt;VLOOKUP(U$5,NFI,5,0),1,0)*Table_NFI[[#This Row],[Winter Clothes Adult]],Table_NFI[Winter Clothes Adult])</f>
        <v>#REF!</v>
      </c>
      <c r="AM508" s="532"/>
      <c r="AN508" s="532"/>
      <c r="AO508" s="532"/>
      <c r="AP508" s="532">
        <f>IF(Table_NFI[[#This Row],[Winter Clothes Adult]]+Table_NFI[[#This Row],[Winter Clothes Children]]+Table_NFI[[#This Row],[Winter Items Other]]+Table_NFI[[#This Row],[Winter Blanket]]&gt;0,1,0)</f>
        <v>0</v>
      </c>
      <c r="AQ508" s="532"/>
      <c r="AR508" s="532"/>
      <c r="AS508" s="532"/>
      <c r="AT508" s="532"/>
      <c r="AU508" s="532"/>
      <c r="AV508" s="532"/>
      <c r="AW508" s="532"/>
      <c r="AX508" s="203" t="str">
        <f>IFERROR(VLOOKUP(Table_NFI[[#This Row],[Location]],CL,2,0),"")</f>
        <v/>
      </c>
      <c r="AY508" s="721" t="s">
        <v>1808</v>
      </c>
      <c r="AZ508" s="524"/>
      <c r="DS508" s="181"/>
      <c r="DT508" s="181"/>
    </row>
    <row r="509" spans="2:124" hidden="1" x14ac:dyDescent="0.3">
      <c r="B509" s="530">
        <v>43424</v>
      </c>
      <c r="C509" s="530" t="str">
        <f>MONTH(Table_NFI[[#This Row],[Distribution Date]]) &amp; "/" &amp; YEAR(Table_NFI[[#This Row],[Distribution Date]])</f>
        <v>11/2018</v>
      </c>
      <c r="D509" s="196" t="s">
        <v>1256</v>
      </c>
      <c r="E509" s="196"/>
      <c r="F509" s="181" t="s">
        <v>506</v>
      </c>
      <c r="G509" s="175" t="s">
        <v>1799</v>
      </c>
      <c r="H509" s="136" t="s">
        <v>1804</v>
      </c>
      <c r="I509" s="210"/>
      <c r="J509" s="531"/>
      <c r="K509" s="531"/>
      <c r="L509" s="531"/>
      <c r="M509" s="531"/>
      <c r="N509" s="531"/>
      <c r="O509" s="531"/>
      <c r="P509" s="531">
        <v>36</v>
      </c>
      <c r="Q509" s="531"/>
      <c r="R509" s="531"/>
      <c r="S509" s="531"/>
      <c r="T509" s="531">
        <v>36</v>
      </c>
      <c r="U509" s="531"/>
      <c r="V509" s="531"/>
      <c r="W509" s="531"/>
      <c r="X509" s="531"/>
      <c r="Y509" s="531"/>
      <c r="Z509" s="702"/>
      <c r="AA509" s="531"/>
      <c r="AB509" s="531"/>
      <c r="AC509" s="532" t="e">
        <f>IF(NFI_Expiration=1,IF(#REF!&lt;VLOOKUP(L$5,NFI,5,0),1,0)*Table_NFI[[#This Row],[NFI Core Kit]],Table_NFI[NFI Core Kit])</f>
        <v>#REF!</v>
      </c>
      <c r="AD509" s="532" t="e">
        <f>IF(NFI_Expiration=1,IF(#REF!&lt;VLOOKUP(M$5,NFI,5,0),1,0)*Table_NFI[[#This Row],[Sanitary Kit]],Table_NFI[Sanitary Kit])</f>
        <v>#REF!</v>
      </c>
      <c r="AE509" s="532" t="e">
        <f>IF(NFI_Expiration=1,IF(#REF!&lt;VLOOKUP(N$5,NFI,5,0),1,0)*Table_NFI[[#This Row],[Mosquito net]],Table_NFI[Mosquito net])</f>
        <v>#REF!</v>
      </c>
      <c r="AF509" s="532" t="e">
        <f>IF(NFI_Expiration=1,IF(#REF!&lt;VLOOKUP(O$5,NFI,5,0),1,0)*Table_NFI[[#This Row],[Tarpaulin]],Table_NFI[[#This Row],[Tarpaulin]])</f>
        <v>#REF!</v>
      </c>
      <c r="AG509" s="532" t="e">
        <f>IF(NFI_Expiration=1,IF(#REF!&lt;VLOOKUP(P$5,NFI,5,0),1,0)*Table_NFI[[#This Row],[Blanket]],Table_NFI[[#This Row],[Blanket]])</f>
        <v>#REF!</v>
      </c>
      <c r="AH509" s="532" t="e">
        <f>IF(NFI_Expiration=1,IF(#REF!&lt;VLOOKUP(Q$5,NFI,5,0),1,0)*Table_NFI[[#This Row],[Kitchen Set]],Table_NFI[Kitchen Set])</f>
        <v>#REF!</v>
      </c>
      <c r="AI509" s="532" t="e">
        <f>IF(NFI_Expiration=1,IF(#REF!&lt;VLOOKUP(R$5,NFI,5,0),1,0)*Table_NFI[[#This Row],[Clothes Kit]],Table_NFI[Clothes Kit])</f>
        <v>#REF!</v>
      </c>
      <c r="AJ509" s="532" t="e">
        <f>IF(NFI_Expiration=1,IF(#REF!&lt;VLOOKUP(S$5,NFI,5,0),1,0)*Table_NFI[[#This Row],[Plastic Bucket]],Table_NFI[Plastic Bucket])</f>
        <v>#REF!</v>
      </c>
      <c r="AK509" s="532" t="e">
        <f>IF(NFI_Expiration=1,IF(#REF!&lt;VLOOKUP(T$5,NFI,5,0),1,0)*Table_NFI[[#This Row],[Plastic Mat]],Table_NFI[Plastic Mat])*IF(Table_NFI[[#This Row],[Distribution Date]]&gt;"2014-04-01",1,2.5)</f>
        <v>#REF!</v>
      </c>
      <c r="AL509" s="532" t="e">
        <f>IF(NFI_Expiration=1,IF(#REF!&lt;VLOOKUP(U$5,NFI,5,0),1,0)*Table_NFI[[#This Row],[Winter Clothes Adult]],Table_NFI[Winter Clothes Adult])</f>
        <v>#REF!</v>
      </c>
      <c r="AM509" s="532"/>
      <c r="AN509" s="532"/>
      <c r="AO509" s="532"/>
      <c r="AP509" s="532">
        <f>IF(Table_NFI[[#This Row],[Winter Clothes Adult]]+Table_NFI[[#This Row],[Winter Clothes Children]]+Table_NFI[[#This Row],[Winter Items Other]]+Table_NFI[[#This Row],[Winter Blanket]]&gt;0,1,0)</f>
        <v>0</v>
      </c>
      <c r="AQ509" s="532"/>
      <c r="AR509" s="532"/>
      <c r="AS509" s="532"/>
      <c r="AT509" s="532"/>
      <c r="AU509" s="532"/>
      <c r="AV509" s="532"/>
      <c r="AW509" s="532"/>
      <c r="AX509" s="203" t="str">
        <f>IFERROR(VLOOKUP(Table_NFI[[#This Row],[Location]],CL,2,0),"")</f>
        <v/>
      </c>
      <c r="AY509" s="721" t="s">
        <v>1809</v>
      </c>
      <c r="AZ509" s="524"/>
      <c r="DS509" s="181"/>
      <c r="DT509" s="181"/>
    </row>
    <row r="510" spans="2:124" hidden="1" x14ac:dyDescent="0.3">
      <c r="B510" s="530">
        <v>43424</v>
      </c>
      <c r="C510" s="530" t="str">
        <f>MONTH(Table_NFI[[#This Row],[Distribution Date]]) &amp; "/" &amp; YEAR(Table_NFI[[#This Row],[Distribution Date]])</f>
        <v>11/2018</v>
      </c>
      <c r="D510" s="196" t="s">
        <v>1256</v>
      </c>
      <c r="E510" s="196"/>
      <c r="F510" s="181" t="s">
        <v>506</v>
      </c>
      <c r="G510" s="175" t="s">
        <v>1799</v>
      </c>
      <c r="H510" s="136" t="s">
        <v>1805</v>
      </c>
      <c r="I510" s="210"/>
      <c r="J510" s="531"/>
      <c r="K510" s="531"/>
      <c r="L510" s="531"/>
      <c r="M510" s="531"/>
      <c r="N510" s="531"/>
      <c r="O510" s="531"/>
      <c r="P510" s="531">
        <v>44</v>
      </c>
      <c r="Q510" s="531"/>
      <c r="R510" s="531"/>
      <c r="S510" s="531"/>
      <c r="T510" s="531">
        <v>44</v>
      </c>
      <c r="U510" s="531"/>
      <c r="V510" s="531"/>
      <c r="W510" s="531"/>
      <c r="X510" s="531"/>
      <c r="Y510" s="531"/>
      <c r="Z510" s="702"/>
      <c r="AA510" s="531"/>
      <c r="AB510" s="531"/>
      <c r="AC510" s="532" t="e">
        <f>IF(NFI_Expiration=1,IF(#REF!&lt;VLOOKUP(L$5,NFI,5,0),1,0)*Table_NFI[[#This Row],[NFI Core Kit]],Table_NFI[NFI Core Kit])</f>
        <v>#REF!</v>
      </c>
      <c r="AD510" s="532" t="e">
        <f>IF(NFI_Expiration=1,IF(#REF!&lt;VLOOKUP(M$5,NFI,5,0),1,0)*Table_NFI[[#This Row],[Sanitary Kit]],Table_NFI[Sanitary Kit])</f>
        <v>#REF!</v>
      </c>
      <c r="AE510" s="532" t="e">
        <f>IF(NFI_Expiration=1,IF(#REF!&lt;VLOOKUP(N$5,NFI,5,0),1,0)*Table_NFI[[#This Row],[Mosquito net]],Table_NFI[Mosquito net])</f>
        <v>#REF!</v>
      </c>
      <c r="AF510" s="532" t="e">
        <f>IF(NFI_Expiration=1,IF(#REF!&lt;VLOOKUP(O$5,NFI,5,0),1,0)*Table_NFI[[#This Row],[Tarpaulin]],Table_NFI[[#This Row],[Tarpaulin]])</f>
        <v>#REF!</v>
      </c>
      <c r="AG510" s="532" t="e">
        <f>IF(NFI_Expiration=1,IF(#REF!&lt;VLOOKUP(P$5,NFI,5,0),1,0)*Table_NFI[[#This Row],[Blanket]],Table_NFI[[#This Row],[Blanket]])</f>
        <v>#REF!</v>
      </c>
      <c r="AH510" s="532" t="e">
        <f>IF(NFI_Expiration=1,IF(#REF!&lt;VLOOKUP(Q$5,NFI,5,0),1,0)*Table_NFI[[#This Row],[Kitchen Set]],Table_NFI[Kitchen Set])</f>
        <v>#REF!</v>
      </c>
      <c r="AI510" s="532" t="e">
        <f>IF(NFI_Expiration=1,IF(#REF!&lt;VLOOKUP(R$5,NFI,5,0),1,0)*Table_NFI[[#This Row],[Clothes Kit]],Table_NFI[Clothes Kit])</f>
        <v>#REF!</v>
      </c>
      <c r="AJ510" s="532" t="e">
        <f>IF(NFI_Expiration=1,IF(#REF!&lt;VLOOKUP(S$5,NFI,5,0),1,0)*Table_NFI[[#This Row],[Plastic Bucket]],Table_NFI[Plastic Bucket])</f>
        <v>#REF!</v>
      </c>
      <c r="AK510" s="532" t="e">
        <f>IF(NFI_Expiration=1,IF(#REF!&lt;VLOOKUP(T$5,NFI,5,0),1,0)*Table_NFI[[#This Row],[Plastic Mat]],Table_NFI[Plastic Mat])*IF(Table_NFI[[#This Row],[Distribution Date]]&gt;"2014-04-01",1,2.5)</f>
        <v>#REF!</v>
      </c>
      <c r="AL510" s="532" t="e">
        <f>IF(NFI_Expiration=1,IF(#REF!&lt;VLOOKUP(U$5,NFI,5,0),1,0)*Table_NFI[[#This Row],[Winter Clothes Adult]],Table_NFI[Winter Clothes Adult])</f>
        <v>#REF!</v>
      </c>
      <c r="AM510" s="532"/>
      <c r="AN510" s="532"/>
      <c r="AO510" s="532"/>
      <c r="AP510" s="532">
        <f>IF(Table_NFI[[#This Row],[Winter Clothes Adult]]+Table_NFI[[#This Row],[Winter Clothes Children]]+Table_NFI[[#This Row],[Winter Items Other]]+Table_NFI[[#This Row],[Winter Blanket]]&gt;0,1,0)</f>
        <v>0</v>
      </c>
      <c r="AQ510" s="532"/>
      <c r="AR510" s="532"/>
      <c r="AS510" s="532"/>
      <c r="AT510" s="532"/>
      <c r="AU510" s="532"/>
      <c r="AV510" s="532"/>
      <c r="AW510" s="532"/>
      <c r="AX510" s="203" t="str">
        <f>IFERROR(VLOOKUP(Table_NFI[[#This Row],[Location]],CL,2,0),"")</f>
        <v/>
      </c>
      <c r="AY510" s="721" t="s">
        <v>1810</v>
      </c>
      <c r="AZ510" s="524"/>
      <c r="DS510" s="181"/>
      <c r="DT510" s="181"/>
    </row>
    <row r="511" spans="2:124" hidden="1" x14ac:dyDescent="0.3">
      <c r="B511" s="530">
        <v>43424</v>
      </c>
      <c r="C511" s="530" t="str">
        <f>MONTH(Table_NFI[[#This Row],[Distribution Date]]) &amp; "/" &amp; YEAR(Table_NFI[[#This Row],[Distribution Date]])</f>
        <v>11/2018</v>
      </c>
      <c r="D511" s="196" t="s">
        <v>1256</v>
      </c>
      <c r="E511" s="196"/>
      <c r="F511" s="181" t="s">
        <v>506</v>
      </c>
      <c r="G511" s="175" t="s">
        <v>1799</v>
      </c>
      <c r="H511" s="136" t="s">
        <v>1128</v>
      </c>
      <c r="I511" s="210"/>
      <c r="J511" s="531"/>
      <c r="K511" s="531"/>
      <c r="L511" s="531"/>
      <c r="M511" s="531"/>
      <c r="N511" s="531"/>
      <c r="O511" s="531"/>
      <c r="P511" s="531">
        <v>62</v>
      </c>
      <c r="Q511" s="531"/>
      <c r="R511" s="531"/>
      <c r="S511" s="531"/>
      <c r="T511" s="531">
        <v>62</v>
      </c>
      <c r="U511" s="531"/>
      <c r="V511" s="531"/>
      <c r="W511" s="531"/>
      <c r="X511" s="531"/>
      <c r="Y511" s="531"/>
      <c r="Z511" s="702"/>
      <c r="AA511" s="531"/>
      <c r="AB511" s="531"/>
      <c r="AC511" s="532" t="e">
        <f>IF(NFI_Expiration=1,IF(#REF!&lt;VLOOKUP(L$5,NFI,5,0),1,0)*Table_NFI[[#This Row],[NFI Core Kit]],Table_NFI[NFI Core Kit])</f>
        <v>#REF!</v>
      </c>
      <c r="AD511" s="532" t="e">
        <f>IF(NFI_Expiration=1,IF(#REF!&lt;VLOOKUP(M$5,NFI,5,0),1,0)*Table_NFI[[#This Row],[Sanitary Kit]],Table_NFI[Sanitary Kit])</f>
        <v>#REF!</v>
      </c>
      <c r="AE511" s="532" t="e">
        <f>IF(NFI_Expiration=1,IF(#REF!&lt;VLOOKUP(N$5,NFI,5,0),1,0)*Table_NFI[[#This Row],[Mosquito net]],Table_NFI[Mosquito net])</f>
        <v>#REF!</v>
      </c>
      <c r="AF511" s="532" t="e">
        <f>IF(NFI_Expiration=1,IF(#REF!&lt;VLOOKUP(O$5,NFI,5,0),1,0)*Table_NFI[[#This Row],[Tarpaulin]],Table_NFI[[#This Row],[Tarpaulin]])</f>
        <v>#REF!</v>
      </c>
      <c r="AG511" s="532" t="e">
        <f>IF(NFI_Expiration=1,IF(#REF!&lt;VLOOKUP(P$5,NFI,5,0),1,0)*Table_NFI[[#This Row],[Blanket]],Table_NFI[[#This Row],[Blanket]])</f>
        <v>#REF!</v>
      </c>
      <c r="AH511" s="532" t="e">
        <f>IF(NFI_Expiration=1,IF(#REF!&lt;VLOOKUP(Q$5,NFI,5,0),1,0)*Table_NFI[[#This Row],[Kitchen Set]],Table_NFI[Kitchen Set])</f>
        <v>#REF!</v>
      </c>
      <c r="AI511" s="532" t="e">
        <f>IF(NFI_Expiration=1,IF(#REF!&lt;VLOOKUP(R$5,NFI,5,0),1,0)*Table_NFI[[#This Row],[Clothes Kit]],Table_NFI[Clothes Kit])</f>
        <v>#REF!</v>
      </c>
      <c r="AJ511" s="532" t="e">
        <f>IF(NFI_Expiration=1,IF(#REF!&lt;VLOOKUP(S$5,NFI,5,0),1,0)*Table_NFI[[#This Row],[Plastic Bucket]],Table_NFI[Plastic Bucket])</f>
        <v>#REF!</v>
      </c>
      <c r="AK511" s="532" t="e">
        <f>IF(NFI_Expiration=1,IF(#REF!&lt;VLOOKUP(T$5,NFI,5,0),1,0)*Table_NFI[[#This Row],[Plastic Mat]],Table_NFI[Plastic Mat])*IF(Table_NFI[[#This Row],[Distribution Date]]&gt;"2014-04-01",1,2.5)</f>
        <v>#REF!</v>
      </c>
      <c r="AL511" s="532" t="e">
        <f>IF(NFI_Expiration=1,IF(#REF!&lt;VLOOKUP(U$5,NFI,5,0),1,0)*Table_NFI[[#This Row],[Winter Clothes Adult]],Table_NFI[Winter Clothes Adult])</f>
        <v>#REF!</v>
      </c>
      <c r="AM511" s="532"/>
      <c r="AN511" s="532"/>
      <c r="AO511" s="532"/>
      <c r="AP511" s="532">
        <f>IF(Table_NFI[[#This Row],[Winter Clothes Adult]]+Table_NFI[[#This Row],[Winter Clothes Children]]+Table_NFI[[#This Row],[Winter Items Other]]+Table_NFI[[#This Row],[Winter Blanket]]&gt;0,1,0)</f>
        <v>0</v>
      </c>
      <c r="AQ511" s="532"/>
      <c r="AR511" s="532"/>
      <c r="AS511" s="532"/>
      <c r="AT511" s="532"/>
      <c r="AU511" s="532"/>
      <c r="AV511" s="532"/>
      <c r="AW511" s="532"/>
      <c r="AX511" s="203" t="str">
        <f>IFERROR(VLOOKUP(Table_NFI[[#This Row],[Location]],CL,2,0),"")</f>
        <v>MMR015CMP224</v>
      </c>
      <c r="AY511" s="721" t="s">
        <v>1811</v>
      </c>
      <c r="AZ511" s="524"/>
      <c r="DS511" s="181"/>
      <c r="DT511" s="181"/>
    </row>
    <row r="512" spans="2:124" hidden="1" x14ac:dyDescent="0.3">
      <c r="B512" s="530">
        <v>43424</v>
      </c>
      <c r="C512" s="530" t="str">
        <f>MONTH(Table_NFI[[#This Row],[Distribution Date]]) &amp; "/" &amp; YEAR(Table_NFI[[#This Row],[Distribution Date]])</f>
        <v>11/2018</v>
      </c>
      <c r="D512" s="196" t="s">
        <v>1256</v>
      </c>
      <c r="E512" s="196"/>
      <c r="F512" s="181" t="s">
        <v>506</v>
      </c>
      <c r="G512" s="175" t="s">
        <v>1799</v>
      </c>
      <c r="H512" s="136" t="s">
        <v>907</v>
      </c>
      <c r="I512" s="210"/>
      <c r="J512" s="531"/>
      <c r="K512" s="531"/>
      <c r="L512" s="531"/>
      <c r="M512" s="531"/>
      <c r="N512" s="531"/>
      <c r="O512" s="531"/>
      <c r="P512" s="531">
        <v>117</v>
      </c>
      <c r="Q512" s="531"/>
      <c r="R512" s="531"/>
      <c r="S512" s="531"/>
      <c r="T512" s="531">
        <v>117</v>
      </c>
      <c r="U512" s="531"/>
      <c r="V512" s="531"/>
      <c r="W512" s="531"/>
      <c r="X512" s="531"/>
      <c r="Y512" s="531"/>
      <c r="Z512" s="702"/>
      <c r="AA512" s="531"/>
      <c r="AB512" s="531"/>
      <c r="AC512" s="532" t="e">
        <f>IF(NFI_Expiration=1,IF(#REF!&lt;VLOOKUP(L$5,NFI,5,0),1,0)*Table_NFI[[#This Row],[NFI Core Kit]],Table_NFI[NFI Core Kit])</f>
        <v>#REF!</v>
      </c>
      <c r="AD512" s="532" t="e">
        <f>IF(NFI_Expiration=1,IF(#REF!&lt;VLOOKUP(M$5,NFI,5,0),1,0)*Table_NFI[[#This Row],[Sanitary Kit]],Table_NFI[Sanitary Kit])</f>
        <v>#REF!</v>
      </c>
      <c r="AE512" s="532" t="e">
        <f>IF(NFI_Expiration=1,IF(#REF!&lt;VLOOKUP(N$5,NFI,5,0),1,0)*Table_NFI[[#This Row],[Mosquito net]],Table_NFI[Mosquito net])</f>
        <v>#REF!</v>
      </c>
      <c r="AF512" s="532" t="e">
        <f>IF(NFI_Expiration=1,IF(#REF!&lt;VLOOKUP(O$5,NFI,5,0),1,0)*Table_NFI[[#This Row],[Tarpaulin]],Table_NFI[[#This Row],[Tarpaulin]])</f>
        <v>#REF!</v>
      </c>
      <c r="AG512" s="532" t="e">
        <f>IF(NFI_Expiration=1,IF(#REF!&lt;VLOOKUP(P$5,NFI,5,0),1,0)*Table_NFI[[#This Row],[Blanket]],Table_NFI[[#This Row],[Blanket]])</f>
        <v>#REF!</v>
      </c>
      <c r="AH512" s="532" t="e">
        <f>IF(NFI_Expiration=1,IF(#REF!&lt;VLOOKUP(Q$5,NFI,5,0),1,0)*Table_NFI[[#This Row],[Kitchen Set]],Table_NFI[Kitchen Set])</f>
        <v>#REF!</v>
      </c>
      <c r="AI512" s="532" t="e">
        <f>IF(NFI_Expiration=1,IF(#REF!&lt;VLOOKUP(R$5,NFI,5,0),1,0)*Table_NFI[[#This Row],[Clothes Kit]],Table_NFI[Clothes Kit])</f>
        <v>#REF!</v>
      </c>
      <c r="AJ512" s="532" t="e">
        <f>IF(NFI_Expiration=1,IF(#REF!&lt;VLOOKUP(S$5,NFI,5,0),1,0)*Table_NFI[[#This Row],[Plastic Bucket]],Table_NFI[Plastic Bucket])</f>
        <v>#REF!</v>
      </c>
      <c r="AK512" s="532" t="e">
        <f>IF(NFI_Expiration=1,IF(#REF!&lt;VLOOKUP(T$5,NFI,5,0),1,0)*Table_NFI[[#This Row],[Plastic Mat]],Table_NFI[Plastic Mat])*IF(Table_NFI[[#This Row],[Distribution Date]]&gt;"2014-04-01",1,2.5)</f>
        <v>#REF!</v>
      </c>
      <c r="AL512" s="532" t="e">
        <f>IF(NFI_Expiration=1,IF(#REF!&lt;VLOOKUP(U$5,NFI,5,0),1,0)*Table_NFI[[#This Row],[Winter Clothes Adult]],Table_NFI[Winter Clothes Adult])</f>
        <v>#REF!</v>
      </c>
      <c r="AM512" s="532"/>
      <c r="AN512" s="532"/>
      <c r="AO512" s="532"/>
      <c r="AP512" s="532">
        <f>IF(Table_NFI[[#This Row],[Winter Clothes Adult]]+Table_NFI[[#This Row],[Winter Clothes Children]]+Table_NFI[[#This Row],[Winter Items Other]]+Table_NFI[[#This Row],[Winter Blanket]]&gt;0,1,0)</f>
        <v>0</v>
      </c>
      <c r="AQ512" s="532"/>
      <c r="AR512" s="532"/>
      <c r="AS512" s="532"/>
      <c r="AT512" s="532"/>
      <c r="AU512" s="532"/>
      <c r="AV512" s="532"/>
      <c r="AW512" s="532"/>
      <c r="AX512" s="203" t="str">
        <f>IFERROR(VLOOKUP(Table_NFI[[#This Row],[Location]],CL,2,0),"")</f>
        <v/>
      </c>
      <c r="AY512" s="721" t="s">
        <v>1812</v>
      </c>
      <c r="AZ512" s="524"/>
      <c r="DS512" s="181"/>
      <c r="DT512" s="181"/>
    </row>
    <row r="513" spans="2:124" x14ac:dyDescent="0.3">
      <c r="B513" s="530">
        <v>43481</v>
      </c>
      <c r="C513" s="530" t="str">
        <f>MONTH(Table_NFI[[#This Row],[Distribution Date]]) &amp; "/" &amp; YEAR(Table_NFI[[#This Row],[Distribution Date]])</f>
        <v>1/2019</v>
      </c>
      <c r="D513" s="196" t="s">
        <v>1370</v>
      </c>
      <c r="E513" s="196" t="s">
        <v>1370</v>
      </c>
      <c r="F513" s="196" t="s">
        <v>378</v>
      </c>
      <c r="G513" s="196" t="s">
        <v>480</v>
      </c>
      <c r="H513" s="196" t="s">
        <v>1612</v>
      </c>
      <c r="I513" s="181"/>
      <c r="J513" s="531"/>
      <c r="K513" s="531"/>
      <c r="L513" s="531">
        <v>48</v>
      </c>
      <c r="M513" s="531"/>
      <c r="N513" s="531"/>
      <c r="O513" s="531"/>
      <c r="P513" s="531">
        <v>96</v>
      </c>
      <c r="Q513" s="531">
        <v>48</v>
      </c>
      <c r="R513" s="531">
        <v>48</v>
      </c>
      <c r="S513" s="531"/>
      <c r="T513" s="531">
        <v>96</v>
      </c>
      <c r="U513" s="531"/>
      <c r="V513" s="531"/>
      <c r="W513" s="531"/>
      <c r="X513" s="531"/>
      <c r="Y513" s="531"/>
      <c r="Z513" s="531"/>
      <c r="AA513" s="531"/>
      <c r="AB513" s="531"/>
      <c r="AC513" s="532" t="e">
        <f>IF(NFI_Expiration=1,IF(#REF!&lt;VLOOKUP(L$5,NFI,5,0),1,0)*Table_NFI[[#This Row],[NFI Core Kit]],Table_NFI[NFI Core Kit])</f>
        <v>#REF!</v>
      </c>
      <c r="AD513" s="532" t="e">
        <f>IF(NFI_Expiration=1,IF(#REF!&lt;VLOOKUP(M$5,NFI,5,0),1,0)*Table_NFI[[#This Row],[Sanitary Kit]],Table_NFI[Sanitary Kit])</f>
        <v>#REF!</v>
      </c>
      <c r="AE513" s="532" t="e">
        <f>IF(NFI_Expiration=1,IF(#REF!&lt;VLOOKUP(N$5,NFI,5,0),1,0)*Table_NFI[[#This Row],[Mosquito net]],Table_NFI[Mosquito net])</f>
        <v>#REF!</v>
      </c>
      <c r="AF513" s="532" t="e">
        <f>IF(NFI_Expiration=1,IF(#REF!&lt;VLOOKUP(O$5,NFI,5,0),1,0)*Table_NFI[[#This Row],[Tarpaulin]],Table_NFI[[#This Row],[Tarpaulin]])</f>
        <v>#REF!</v>
      </c>
      <c r="AG513" s="532" t="e">
        <f>IF(NFI_Expiration=1,IF(#REF!&lt;VLOOKUP(P$5,NFI,5,0),1,0)*Table_NFI[[#This Row],[Blanket]],Table_NFI[[#This Row],[Blanket]])</f>
        <v>#REF!</v>
      </c>
      <c r="AH513" s="532" t="e">
        <f>IF(NFI_Expiration=1,IF(#REF!&lt;VLOOKUP(Q$5,NFI,5,0),1,0)*Table_NFI[[#This Row],[Kitchen Set]],Table_NFI[Kitchen Set])</f>
        <v>#REF!</v>
      </c>
      <c r="AI513" s="532" t="e">
        <f>IF(NFI_Expiration=1,IF(#REF!&lt;VLOOKUP(R$5,NFI,5,0),1,0)*Table_NFI[[#This Row],[Clothes Kit]],Table_NFI[Clothes Kit])</f>
        <v>#REF!</v>
      </c>
      <c r="AJ513" s="532" t="e">
        <f>IF(NFI_Expiration=1,IF(#REF!&lt;VLOOKUP(S$5,NFI,5,0),1,0)*Table_NFI[[#This Row],[Plastic Bucket]],Table_NFI[Plastic Bucket])</f>
        <v>#REF!</v>
      </c>
      <c r="AK513" s="532" t="e">
        <f>IF(NFI_Expiration=1,IF(#REF!&lt;VLOOKUP(T$5,NFI,5,0),1,0)*Table_NFI[[#This Row],[Plastic Mat]],Table_NFI[Plastic Mat])*IF(Table_NFI[[#This Row],[Distribution Date]]&gt;"2014-04-01",1,2.5)</f>
        <v>#REF!</v>
      </c>
      <c r="AL513" s="532" t="e">
        <f>IF(NFI_Expiration=1,IF(#REF!&lt;VLOOKUP(U$5,NFI,5,0),1,0)*Table_NFI[[#This Row],[Winter Clothes Adult]],Table_NFI[Winter Clothes Adult])</f>
        <v>#REF!</v>
      </c>
      <c r="AM513" s="532"/>
      <c r="AN513" s="532"/>
      <c r="AO513" s="532"/>
      <c r="AP513" s="532">
        <f>IF(Table_NFI[[#This Row],[Winter Clothes Adult]]+Table_NFI[[#This Row],[Winter Clothes Children]]+Table_NFI[[#This Row],[Winter Items Other]]+Table_NFI[[#This Row],[Winter Blanket]]&gt;0,1,0)</f>
        <v>0</v>
      </c>
      <c r="AQ513" s="532"/>
      <c r="AR513" s="532"/>
      <c r="AS513" s="532"/>
      <c r="AT513" s="532"/>
      <c r="AU513" s="532"/>
      <c r="AV513" s="532"/>
      <c r="AW513" s="532"/>
      <c r="AX513" s="203" t="str">
        <f>IFERROR(VLOOKUP(Table_NFI[[#This Row],[Location]],CL,2,0),"")</f>
        <v>MMR001CMP268</v>
      </c>
      <c r="AZ513" s="524"/>
      <c r="DS513" s="181"/>
      <c r="DT513" s="181"/>
    </row>
    <row r="514" spans="2:124" x14ac:dyDescent="0.3">
      <c r="B514" s="530">
        <v>43482</v>
      </c>
      <c r="C514" s="530" t="str">
        <f>MONTH(Table_NFI[[#This Row],[Distribution Date]]) &amp; "/" &amp; YEAR(Table_NFI[[#This Row],[Distribution Date]])</f>
        <v>1/2019</v>
      </c>
      <c r="D514" s="196" t="s">
        <v>1541</v>
      </c>
      <c r="E514" s="196"/>
      <c r="F514" s="196" t="s">
        <v>506</v>
      </c>
      <c r="G514" s="196" t="s">
        <v>1198</v>
      </c>
      <c r="H514" s="196" t="s">
        <v>1890</v>
      </c>
      <c r="I514" s="181"/>
      <c r="J514" s="531"/>
      <c r="K514" s="531"/>
      <c r="L514" s="531">
        <v>240</v>
      </c>
      <c r="M514" s="531"/>
      <c r="N514" s="531"/>
      <c r="O514" s="531"/>
      <c r="P514" s="531"/>
      <c r="Q514" s="531"/>
      <c r="R514" s="531"/>
      <c r="S514" s="531"/>
      <c r="T514" s="531"/>
      <c r="U514" s="531"/>
      <c r="V514" s="531"/>
      <c r="W514" s="531"/>
      <c r="X514" s="531"/>
      <c r="Y514" s="531"/>
      <c r="Z514" s="531"/>
      <c r="AA514" s="531"/>
      <c r="AB514" s="531"/>
      <c r="AC514" s="532" t="e">
        <f>IF(NFI_Expiration=1,IF(#REF!&lt;VLOOKUP(L$5,NFI,5,0),1,0)*Table_NFI[[#This Row],[NFI Core Kit]],Table_NFI[NFI Core Kit])</f>
        <v>#REF!</v>
      </c>
      <c r="AD514" s="532" t="e">
        <f>IF(NFI_Expiration=1,IF(#REF!&lt;VLOOKUP(M$5,NFI,5,0),1,0)*Table_NFI[[#This Row],[Sanitary Kit]],Table_NFI[Sanitary Kit])</f>
        <v>#REF!</v>
      </c>
      <c r="AE514" s="532" t="e">
        <f>IF(NFI_Expiration=1,IF(#REF!&lt;VLOOKUP(N$5,NFI,5,0),1,0)*Table_NFI[[#This Row],[Mosquito net]],Table_NFI[Mosquito net])</f>
        <v>#REF!</v>
      </c>
      <c r="AF514" s="532" t="e">
        <f>IF(NFI_Expiration=1,IF(#REF!&lt;VLOOKUP(O$5,NFI,5,0),1,0)*Table_NFI[[#This Row],[Tarpaulin]],Table_NFI[[#This Row],[Tarpaulin]])</f>
        <v>#REF!</v>
      </c>
      <c r="AG514" s="532" t="e">
        <f>IF(NFI_Expiration=1,IF(#REF!&lt;VLOOKUP(P$5,NFI,5,0),1,0)*Table_NFI[[#This Row],[Blanket]],Table_NFI[[#This Row],[Blanket]])</f>
        <v>#REF!</v>
      </c>
      <c r="AH514" s="532" t="e">
        <f>IF(NFI_Expiration=1,IF(#REF!&lt;VLOOKUP(Q$5,NFI,5,0),1,0)*Table_NFI[[#This Row],[Kitchen Set]],Table_NFI[Kitchen Set])</f>
        <v>#REF!</v>
      </c>
      <c r="AI514" s="532" t="e">
        <f>IF(NFI_Expiration=1,IF(#REF!&lt;VLOOKUP(R$5,NFI,5,0),1,0)*Table_NFI[[#This Row],[Clothes Kit]],Table_NFI[Clothes Kit])</f>
        <v>#REF!</v>
      </c>
      <c r="AJ514" s="532" t="e">
        <f>IF(NFI_Expiration=1,IF(#REF!&lt;VLOOKUP(S$5,NFI,5,0),1,0)*Table_NFI[[#This Row],[Plastic Bucket]],Table_NFI[Plastic Bucket])</f>
        <v>#REF!</v>
      </c>
      <c r="AK514" s="532" t="e">
        <f>IF(NFI_Expiration=1,IF(#REF!&lt;VLOOKUP(T$5,NFI,5,0),1,0)*Table_NFI[[#This Row],[Plastic Mat]],Table_NFI[Plastic Mat])*IF(Table_NFI[[#This Row],[Distribution Date]]&gt;"2014-04-01",1,2.5)</f>
        <v>#REF!</v>
      </c>
      <c r="AL514" s="532" t="e">
        <f>IF(NFI_Expiration=1,IF(#REF!&lt;VLOOKUP(U$5,NFI,5,0),1,0)*Table_NFI[[#This Row],[Winter Clothes Adult]],Table_NFI[Winter Clothes Adult])</f>
        <v>#REF!</v>
      </c>
      <c r="AM514" s="532"/>
      <c r="AN514" s="532"/>
      <c r="AO514" s="532"/>
      <c r="AP514" s="532">
        <f>IF(Table_NFI[[#This Row],[Winter Clothes Adult]]+Table_NFI[[#This Row],[Winter Clothes Children]]+Table_NFI[[#This Row],[Winter Items Other]]+Table_NFI[[#This Row],[Winter Blanket]]&gt;0,1,0)</f>
        <v>0</v>
      </c>
      <c r="AQ514" s="532"/>
      <c r="AR514" s="532"/>
      <c r="AS514" s="532"/>
      <c r="AT514" s="532"/>
      <c r="AU514" s="532"/>
      <c r="AV514" s="532"/>
      <c r="AW514" s="532"/>
      <c r="AX514" s="203" t="str">
        <f>IFERROR(VLOOKUP(Table_NFI[[#This Row],[Location]],CL,2,0),"")</f>
        <v/>
      </c>
      <c r="AZ514" s="524"/>
      <c r="DS514" s="181"/>
      <c r="DT514" s="181"/>
    </row>
    <row r="515" spans="2:124" x14ac:dyDescent="0.3">
      <c r="B515" s="530">
        <v>43482</v>
      </c>
      <c r="C515" s="530" t="str">
        <f>MONTH(Table_NFI[[#This Row],[Distribution Date]]) &amp; "/" &amp; YEAR(Table_NFI[[#This Row],[Distribution Date]])</f>
        <v>1/2019</v>
      </c>
      <c r="D515" s="196" t="s">
        <v>1541</v>
      </c>
      <c r="E515" s="196"/>
      <c r="F515" s="196" t="s">
        <v>506</v>
      </c>
      <c r="G515" s="196" t="s">
        <v>1198</v>
      </c>
      <c r="H515" s="196" t="s">
        <v>1891</v>
      </c>
      <c r="I515" s="181"/>
      <c r="J515" s="531"/>
      <c r="K515" s="531"/>
      <c r="L515" s="531">
        <v>24</v>
      </c>
      <c r="M515" s="531"/>
      <c r="N515" s="531"/>
      <c r="O515" s="531"/>
      <c r="P515" s="531"/>
      <c r="Q515" s="531"/>
      <c r="R515" s="531"/>
      <c r="S515" s="531"/>
      <c r="T515" s="531"/>
      <c r="U515" s="531"/>
      <c r="V515" s="531"/>
      <c r="W515" s="531"/>
      <c r="X515" s="531"/>
      <c r="Y515" s="531"/>
      <c r="Z515" s="531"/>
      <c r="AA515" s="531"/>
      <c r="AB515" s="531"/>
      <c r="AC515" s="532" t="e">
        <f>IF(NFI_Expiration=1,IF(#REF!&lt;VLOOKUP(L$5,NFI,5,0),1,0)*Table_NFI[[#This Row],[NFI Core Kit]],Table_NFI[NFI Core Kit])</f>
        <v>#REF!</v>
      </c>
      <c r="AD515" s="532" t="e">
        <f>IF(NFI_Expiration=1,IF(#REF!&lt;VLOOKUP(M$5,NFI,5,0),1,0)*Table_NFI[[#This Row],[Sanitary Kit]],Table_NFI[Sanitary Kit])</f>
        <v>#REF!</v>
      </c>
      <c r="AE515" s="532" t="e">
        <f>IF(NFI_Expiration=1,IF(#REF!&lt;VLOOKUP(N$5,NFI,5,0),1,0)*Table_NFI[[#This Row],[Mosquito net]],Table_NFI[Mosquito net])</f>
        <v>#REF!</v>
      </c>
      <c r="AF515" s="532" t="e">
        <f>IF(NFI_Expiration=1,IF(#REF!&lt;VLOOKUP(O$5,NFI,5,0),1,0)*Table_NFI[[#This Row],[Tarpaulin]],Table_NFI[[#This Row],[Tarpaulin]])</f>
        <v>#REF!</v>
      </c>
      <c r="AG515" s="532" t="e">
        <f>IF(NFI_Expiration=1,IF(#REF!&lt;VLOOKUP(P$5,NFI,5,0),1,0)*Table_NFI[[#This Row],[Blanket]],Table_NFI[[#This Row],[Blanket]])</f>
        <v>#REF!</v>
      </c>
      <c r="AH515" s="532" t="e">
        <f>IF(NFI_Expiration=1,IF(#REF!&lt;VLOOKUP(Q$5,NFI,5,0),1,0)*Table_NFI[[#This Row],[Kitchen Set]],Table_NFI[Kitchen Set])</f>
        <v>#REF!</v>
      </c>
      <c r="AI515" s="532" t="e">
        <f>IF(NFI_Expiration=1,IF(#REF!&lt;VLOOKUP(R$5,NFI,5,0),1,0)*Table_NFI[[#This Row],[Clothes Kit]],Table_NFI[Clothes Kit])</f>
        <v>#REF!</v>
      </c>
      <c r="AJ515" s="532" t="e">
        <f>IF(NFI_Expiration=1,IF(#REF!&lt;VLOOKUP(S$5,NFI,5,0),1,0)*Table_NFI[[#This Row],[Plastic Bucket]],Table_NFI[Plastic Bucket])</f>
        <v>#REF!</v>
      </c>
      <c r="AK515" s="532" t="e">
        <f>IF(NFI_Expiration=1,IF(#REF!&lt;VLOOKUP(T$5,NFI,5,0),1,0)*Table_NFI[[#This Row],[Plastic Mat]],Table_NFI[Plastic Mat])*IF(Table_NFI[[#This Row],[Distribution Date]]&gt;"2014-04-01",1,2.5)</f>
        <v>#REF!</v>
      </c>
      <c r="AL515" s="532" t="e">
        <f>IF(NFI_Expiration=1,IF(#REF!&lt;VLOOKUP(U$5,NFI,5,0),1,0)*Table_NFI[[#This Row],[Winter Clothes Adult]],Table_NFI[Winter Clothes Adult])</f>
        <v>#REF!</v>
      </c>
      <c r="AM515" s="532"/>
      <c r="AN515" s="532"/>
      <c r="AO515" s="532"/>
      <c r="AP515" s="532">
        <f>IF(Table_NFI[[#This Row],[Winter Clothes Adult]]+Table_NFI[[#This Row],[Winter Clothes Children]]+Table_NFI[[#This Row],[Winter Items Other]]+Table_NFI[[#This Row],[Winter Blanket]]&gt;0,1,0)</f>
        <v>0</v>
      </c>
      <c r="AQ515" s="532"/>
      <c r="AR515" s="532"/>
      <c r="AS515" s="532"/>
      <c r="AT515" s="532"/>
      <c r="AU515" s="532"/>
      <c r="AV515" s="532"/>
      <c r="AW515" s="532"/>
      <c r="AX515" s="203" t="str">
        <f>IFERROR(VLOOKUP(Table_NFI[[#This Row],[Location]],CL,2,0),"")</f>
        <v/>
      </c>
      <c r="AZ515" s="524"/>
      <c r="DS515" s="181"/>
      <c r="DT515" s="181"/>
    </row>
    <row r="516" spans="2:124" hidden="1" x14ac:dyDescent="0.3">
      <c r="B516" s="530">
        <v>43453</v>
      </c>
      <c r="C516" s="530" t="str">
        <f>MONTH(Table_NFI[[#This Row],[Distribution Date]]) &amp; "/" &amp; YEAR(Table_NFI[[#This Row],[Distribution Date]])</f>
        <v>12/2018</v>
      </c>
      <c r="D516" s="196" t="s">
        <v>1452</v>
      </c>
      <c r="E516" s="196" t="s">
        <v>1452</v>
      </c>
      <c r="F516" s="196" t="s">
        <v>506</v>
      </c>
      <c r="G516" s="196" t="s">
        <v>297</v>
      </c>
      <c r="H516" s="268" t="s">
        <v>1273</v>
      </c>
      <c r="I516" s="181">
        <v>1</v>
      </c>
      <c r="J516" s="531"/>
      <c r="K516" s="531"/>
      <c r="L516" s="531">
        <v>1</v>
      </c>
      <c r="M516" s="531"/>
      <c r="N516" s="531"/>
      <c r="O516" s="531"/>
      <c r="P516" s="531"/>
      <c r="Q516" s="531"/>
      <c r="R516" s="531"/>
      <c r="S516" s="531"/>
      <c r="T516" s="531"/>
      <c r="U516" s="531"/>
      <c r="V516" s="531"/>
      <c r="W516" s="531"/>
      <c r="X516" s="531"/>
      <c r="Y516" s="531"/>
      <c r="Z516" s="531"/>
      <c r="AA516" s="531"/>
      <c r="AB516" s="531"/>
      <c r="AC516" s="532" t="e">
        <f>IF(NFI_Expiration=1,IF(#REF!&lt;VLOOKUP(L$5,NFI,5,0),1,0)*Table_NFI[[#This Row],[NFI Core Kit]],Table_NFI[NFI Core Kit])</f>
        <v>#REF!</v>
      </c>
      <c r="AD516" s="532" t="e">
        <f>IF(NFI_Expiration=1,IF(#REF!&lt;VLOOKUP(M$5,NFI,5,0),1,0)*Table_NFI[[#This Row],[Sanitary Kit]],Table_NFI[Sanitary Kit])</f>
        <v>#REF!</v>
      </c>
      <c r="AE516" s="532" t="e">
        <f>IF(NFI_Expiration=1,IF(#REF!&lt;VLOOKUP(N$5,NFI,5,0),1,0)*Table_NFI[[#This Row],[Mosquito net]],Table_NFI[Mosquito net])</f>
        <v>#REF!</v>
      </c>
      <c r="AF516" s="532" t="e">
        <f>IF(NFI_Expiration=1,IF(#REF!&lt;VLOOKUP(O$5,NFI,5,0),1,0)*Table_NFI[[#This Row],[Tarpaulin]],Table_NFI[[#This Row],[Tarpaulin]])</f>
        <v>#REF!</v>
      </c>
      <c r="AG516" s="532" t="e">
        <f>IF(NFI_Expiration=1,IF(#REF!&lt;VLOOKUP(P$5,NFI,5,0),1,0)*Table_NFI[[#This Row],[Blanket]],Table_NFI[[#This Row],[Blanket]])</f>
        <v>#REF!</v>
      </c>
      <c r="AH516" s="532" t="e">
        <f>IF(NFI_Expiration=1,IF(#REF!&lt;VLOOKUP(Q$5,NFI,5,0),1,0)*Table_NFI[[#This Row],[Kitchen Set]],Table_NFI[Kitchen Set])</f>
        <v>#REF!</v>
      </c>
      <c r="AI516" s="532" t="e">
        <f>IF(NFI_Expiration=1,IF(#REF!&lt;VLOOKUP(R$5,NFI,5,0),1,0)*Table_NFI[[#This Row],[Clothes Kit]],Table_NFI[Clothes Kit])</f>
        <v>#REF!</v>
      </c>
      <c r="AJ516" s="532" t="e">
        <f>IF(NFI_Expiration=1,IF(#REF!&lt;VLOOKUP(S$5,NFI,5,0),1,0)*Table_NFI[[#This Row],[Plastic Bucket]],Table_NFI[Plastic Bucket])</f>
        <v>#REF!</v>
      </c>
      <c r="AK516" s="532" t="e">
        <f>IF(NFI_Expiration=1,IF(#REF!&lt;VLOOKUP(T$5,NFI,5,0),1,0)*Table_NFI[[#This Row],[Plastic Mat]],Table_NFI[Plastic Mat])*IF(Table_NFI[[#This Row],[Distribution Date]]&gt;"2014-04-01",1,2.5)</f>
        <v>#REF!</v>
      </c>
      <c r="AL516" s="532" t="e">
        <f>IF(NFI_Expiration=1,IF(#REF!&lt;VLOOKUP(U$5,NFI,5,0),1,0)*Table_NFI[[#This Row],[Winter Clothes Adult]],Table_NFI[Winter Clothes Adult])</f>
        <v>#REF!</v>
      </c>
      <c r="AM516" s="532"/>
      <c r="AN516" s="532"/>
      <c r="AO516" s="532"/>
      <c r="AP516" s="532">
        <f>IF(Table_NFI[[#This Row],[Winter Clothes Adult]]+Table_NFI[[#This Row],[Winter Clothes Children]]+Table_NFI[[#This Row],[Winter Items Other]]+Table_NFI[[#This Row],[Winter Blanket]]&gt;0,1,0)</f>
        <v>0</v>
      </c>
      <c r="AQ516" s="532"/>
      <c r="AR516" s="532"/>
      <c r="AS516" s="532"/>
      <c r="AT516" s="532"/>
      <c r="AU516" s="532"/>
      <c r="AV516" s="532"/>
      <c r="AW516" s="532"/>
      <c r="AX516" s="203" t="str">
        <f>IFERROR(VLOOKUP(Table_NFI[[#This Row],[Location]],CL,2,0),"")</f>
        <v>MMR015CMP248</v>
      </c>
      <c r="AZ516" s="524"/>
      <c r="DS516" s="181"/>
      <c r="DT516" s="181"/>
    </row>
    <row r="517" spans="2:124" hidden="1" x14ac:dyDescent="0.3">
      <c r="B517" s="530">
        <v>43453</v>
      </c>
      <c r="C517" s="530" t="str">
        <f>MONTH(Table_NFI[[#This Row],[Distribution Date]]) &amp; "/" &amp; YEAR(Table_NFI[[#This Row],[Distribution Date]])</f>
        <v>12/2018</v>
      </c>
      <c r="D517" s="196" t="s">
        <v>1452</v>
      </c>
      <c r="E517" s="196" t="s">
        <v>1452</v>
      </c>
      <c r="F517" s="196" t="s">
        <v>506</v>
      </c>
      <c r="G517" s="196" t="s">
        <v>166</v>
      </c>
      <c r="H517" s="268" t="s">
        <v>760</v>
      </c>
      <c r="I517" s="181">
        <v>30</v>
      </c>
      <c r="J517" s="531"/>
      <c r="K517" s="531"/>
      <c r="L517" s="531">
        <v>30</v>
      </c>
      <c r="M517" s="531"/>
      <c r="N517" s="531"/>
      <c r="O517" s="531"/>
      <c r="P517" s="531"/>
      <c r="Q517" s="531"/>
      <c r="R517" s="531"/>
      <c r="S517" s="531"/>
      <c r="T517" s="531">
        <v>1</v>
      </c>
      <c r="U517" s="531"/>
      <c r="V517" s="531"/>
      <c r="W517" s="531"/>
      <c r="X517" s="531"/>
      <c r="Y517" s="531"/>
      <c r="Z517" s="531"/>
      <c r="AA517" s="531"/>
      <c r="AB517" s="531"/>
      <c r="AC517" s="532" t="e">
        <f>IF(NFI_Expiration=1,IF(#REF!&lt;VLOOKUP(L$5,NFI,5,0),1,0)*Table_NFI[[#This Row],[NFI Core Kit]],Table_NFI[NFI Core Kit])</f>
        <v>#REF!</v>
      </c>
      <c r="AD517" s="532" t="e">
        <f>IF(NFI_Expiration=1,IF(#REF!&lt;VLOOKUP(M$5,NFI,5,0),1,0)*Table_NFI[[#This Row],[Sanitary Kit]],Table_NFI[Sanitary Kit])</f>
        <v>#REF!</v>
      </c>
      <c r="AE517" s="532" t="e">
        <f>IF(NFI_Expiration=1,IF(#REF!&lt;VLOOKUP(N$5,NFI,5,0),1,0)*Table_NFI[[#This Row],[Mosquito net]],Table_NFI[Mosquito net])</f>
        <v>#REF!</v>
      </c>
      <c r="AF517" s="532" t="e">
        <f>IF(NFI_Expiration=1,IF(#REF!&lt;VLOOKUP(O$5,NFI,5,0),1,0)*Table_NFI[[#This Row],[Tarpaulin]],Table_NFI[[#This Row],[Tarpaulin]])</f>
        <v>#REF!</v>
      </c>
      <c r="AG517" s="532" t="e">
        <f>IF(NFI_Expiration=1,IF(#REF!&lt;VLOOKUP(P$5,NFI,5,0),1,0)*Table_NFI[[#This Row],[Blanket]],Table_NFI[[#This Row],[Blanket]])</f>
        <v>#REF!</v>
      </c>
      <c r="AH517" s="532" t="e">
        <f>IF(NFI_Expiration=1,IF(#REF!&lt;VLOOKUP(Q$5,NFI,5,0),1,0)*Table_NFI[[#This Row],[Kitchen Set]],Table_NFI[Kitchen Set])</f>
        <v>#REF!</v>
      </c>
      <c r="AI517" s="532" t="e">
        <f>IF(NFI_Expiration=1,IF(#REF!&lt;VLOOKUP(R$5,NFI,5,0),1,0)*Table_NFI[[#This Row],[Clothes Kit]],Table_NFI[Clothes Kit])</f>
        <v>#REF!</v>
      </c>
      <c r="AJ517" s="532" t="e">
        <f>IF(NFI_Expiration=1,IF(#REF!&lt;VLOOKUP(S$5,NFI,5,0),1,0)*Table_NFI[[#This Row],[Plastic Bucket]],Table_NFI[Plastic Bucket])</f>
        <v>#REF!</v>
      </c>
      <c r="AK517" s="532" t="e">
        <f>IF(NFI_Expiration=1,IF(#REF!&lt;VLOOKUP(T$5,NFI,5,0),1,0)*Table_NFI[[#This Row],[Plastic Mat]],Table_NFI[Plastic Mat])*IF(Table_NFI[[#This Row],[Distribution Date]]&gt;"2014-04-01",1,2.5)</f>
        <v>#REF!</v>
      </c>
      <c r="AL517" s="532" t="e">
        <f>IF(NFI_Expiration=1,IF(#REF!&lt;VLOOKUP(U$5,NFI,5,0),1,0)*Table_NFI[[#This Row],[Winter Clothes Adult]],Table_NFI[Winter Clothes Adult])</f>
        <v>#REF!</v>
      </c>
      <c r="AM517" s="532"/>
      <c r="AN517" s="532"/>
      <c r="AO517" s="532"/>
      <c r="AP517" s="532">
        <f>IF(Table_NFI[[#This Row],[Winter Clothes Adult]]+Table_NFI[[#This Row],[Winter Clothes Children]]+Table_NFI[[#This Row],[Winter Items Other]]+Table_NFI[[#This Row],[Winter Blanket]]&gt;0,1,0)</f>
        <v>0</v>
      </c>
      <c r="AQ517" s="532"/>
      <c r="AR517" s="532"/>
      <c r="AS517" s="532"/>
      <c r="AT517" s="532"/>
      <c r="AU517" s="532"/>
      <c r="AV517" s="532"/>
      <c r="AW517" s="532"/>
      <c r="AX517" s="203" t="str">
        <f>IFERROR(VLOOKUP(Table_NFI[[#This Row],[Location]],CL,2,0),"")</f>
        <v>MMR015CMP209</v>
      </c>
      <c r="AZ517" s="524"/>
      <c r="DS517" s="181"/>
      <c r="DT517" s="181"/>
    </row>
    <row r="518" spans="2:124" hidden="1" x14ac:dyDescent="0.3">
      <c r="B518" s="530">
        <v>43453</v>
      </c>
      <c r="C518" s="530" t="str">
        <f>MONTH(Table_NFI[[#This Row],[Distribution Date]]) &amp; "/" &amp; YEAR(Table_NFI[[#This Row],[Distribution Date]])</f>
        <v>12/2018</v>
      </c>
      <c r="D518" s="196" t="s">
        <v>1452</v>
      </c>
      <c r="E518" s="196" t="s">
        <v>1452</v>
      </c>
      <c r="F518" s="196" t="s">
        <v>506</v>
      </c>
      <c r="G518" s="196" t="s">
        <v>166</v>
      </c>
      <c r="H518" s="268" t="s">
        <v>167</v>
      </c>
      <c r="I518" s="181">
        <v>30</v>
      </c>
      <c r="J518" s="531"/>
      <c r="K518" s="531"/>
      <c r="L518" s="531">
        <v>30</v>
      </c>
      <c r="M518" s="531"/>
      <c r="N518" s="531"/>
      <c r="O518" s="531"/>
      <c r="P518" s="531"/>
      <c r="Q518" s="531"/>
      <c r="R518" s="531"/>
      <c r="S518" s="531"/>
      <c r="T518" s="531"/>
      <c r="U518" s="531"/>
      <c r="V518" s="531"/>
      <c r="W518" s="531"/>
      <c r="X518" s="531"/>
      <c r="Y518" s="531"/>
      <c r="Z518" s="531"/>
      <c r="AA518" s="531"/>
      <c r="AB518" s="531"/>
      <c r="AC518" s="532" t="e">
        <f>IF(NFI_Expiration=1,IF(#REF!&lt;VLOOKUP(L$5,NFI,5,0),1,0)*Table_NFI[[#This Row],[NFI Core Kit]],Table_NFI[NFI Core Kit])</f>
        <v>#REF!</v>
      </c>
      <c r="AD518" s="532" t="e">
        <f>IF(NFI_Expiration=1,IF(#REF!&lt;VLOOKUP(M$5,NFI,5,0),1,0)*Table_NFI[[#This Row],[Sanitary Kit]],Table_NFI[Sanitary Kit])</f>
        <v>#REF!</v>
      </c>
      <c r="AE518" s="532" t="e">
        <f>IF(NFI_Expiration=1,IF(#REF!&lt;VLOOKUP(N$5,NFI,5,0),1,0)*Table_NFI[[#This Row],[Mosquito net]],Table_NFI[Mosquito net])</f>
        <v>#REF!</v>
      </c>
      <c r="AF518" s="532" t="e">
        <f>IF(NFI_Expiration=1,IF(#REF!&lt;VLOOKUP(O$5,NFI,5,0),1,0)*Table_NFI[[#This Row],[Tarpaulin]],Table_NFI[[#This Row],[Tarpaulin]])</f>
        <v>#REF!</v>
      </c>
      <c r="AG518" s="532" t="e">
        <f>IF(NFI_Expiration=1,IF(#REF!&lt;VLOOKUP(P$5,NFI,5,0),1,0)*Table_NFI[[#This Row],[Blanket]],Table_NFI[[#This Row],[Blanket]])</f>
        <v>#REF!</v>
      </c>
      <c r="AH518" s="532" t="e">
        <f>IF(NFI_Expiration=1,IF(#REF!&lt;VLOOKUP(Q$5,NFI,5,0),1,0)*Table_NFI[[#This Row],[Kitchen Set]],Table_NFI[Kitchen Set])</f>
        <v>#REF!</v>
      </c>
      <c r="AI518" s="532" t="e">
        <f>IF(NFI_Expiration=1,IF(#REF!&lt;VLOOKUP(R$5,NFI,5,0),1,0)*Table_NFI[[#This Row],[Clothes Kit]],Table_NFI[Clothes Kit])</f>
        <v>#REF!</v>
      </c>
      <c r="AJ518" s="532" t="e">
        <f>IF(NFI_Expiration=1,IF(#REF!&lt;VLOOKUP(S$5,NFI,5,0),1,0)*Table_NFI[[#This Row],[Plastic Bucket]],Table_NFI[Plastic Bucket])</f>
        <v>#REF!</v>
      </c>
      <c r="AK518" s="532" t="e">
        <f>IF(NFI_Expiration=1,IF(#REF!&lt;VLOOKUP(T$5,NFI,5,0),1,0)*Table_NFI[[#This Row],[Plastic Mat]],Table_NFI[Plastic Mat])*IF(Table_NFI[[#This Row],[Distribution Date]]&gt;"2014-04-01",1,2.5)</f>
        <v>#REF!</v>
      </c>
      <c r="AL518" s="532" t="e">
        <f>IF(NFI_Expiration=1,IF(#REF!&lt;VLOOKUP(U$5,NFI,5,0),1,0)*Table_NFI[[#This Row],[Winter Clothes Adult]],Table_NFI[Winter Clothes Adult])</f>
        <v>#REF!</v>
      </c>
      <c r="AM518" s="532"/>
      <c r="AN518" s="532"/>
      <c r="AO518" s="532"/>
      <c r="AP518" s="532">
        <f>IF(Table_NFI[[#This Row],[Winter Clothes Adult]]+Table_NFI[[#This Row],[Winter Clothes Children]]+Table_NFI[[#This Row],[Winter Items Other]]+Table_NFI[[#This Row],[Winter Blanket]]&gt;0,1,0)</f>
        <v>0</v>
      </c>
      <c r="AQ518" s="532"/>
      <c r="AR518" s="532"/>
      <c r="AS518" s="532"/>
      <c r="AT518" s="532"/>
      <c r="AU518" s="532"/>
      <c r="AV518" s="532"/>
      <c r="AW518" s="532"/>
      <c r="AX518" s="203" t="str">
        <f>IFERROR(VLOOKUP(Table_NFI[[#This Row],[Location]],CL,2,0),"")</f>
        <v>MMR015CMP009</v>
      </c>
      <c r="AZ518" s="524"/>
      <c r="DS518" s="181"/>
      <c r="DT518" s="181"/>
    </row>
    <row r="519" spans="2:124" hidden="1" x14ac:dyDescent="0.3">
      <c r="B519" s="530">
        <v>43454</v>
      </c>
      <c r="C519" s="530" t="str">
        <f>MONTH(Table_NFI[[#This Row],[Distribution Date]]) &amp; "/" &amp; YEAR(Table_NFI[[#This Row],[Distribution Date]])</f>
        <v>12/2018</v>
      </c>
      <c r="D519" s="196" t="s">
        <v>1452</v>
      </c>
      <c r="E519" s="196" t="s">
        <v>1452</v>
      </c>
      <c r="F519" s="196" t="s">
        <v>506</v>
      </c>
      <c r="G519" s="196" t="s">
        <v>1774</v>
      </c>
      <c r="H519" s="268" t="s">
        <v>289</v>
      </c>
      <c r="I519" s="181">
        <v>1</v>
      </c>
      <c r="J519" s="531"/>
      <c r="K519" s="531"/>
      <c r="L519" s="531"/>
      <c r="M519" s="531"/>
      <c r="N519" s="531">
        <v>1</v>
      </c>
      <c r="O519" s="531"/>
      <c r="P519" s="531">
        <v>1</v>
      </c>
      <c r="Q519" s="531"/>
      <c r="R519" s="531"/>
      <c r="S519" s="531"/>
      <c r="T519" s="531">
        <v>1</v>
      </c>
      <c r="U519" s="531"/>
      <c r="V519" s="531"/>
      <c r="W519" s="531">
        <v>1</v>
      </c>
      <c r="X519" s="531"/>
      <c r="Y519" s="531"/>
      <c r="Z519" s="531"/>
      <c r="AA519" s="531"/>
      <c r="AB519" s="531"/>
      <c r="AC519" s="532" t="e">
        <f>IF(NFI_Expiration=1,IF(#REF!&lt;VLOOKUP(L$5,NFI,5,0),1,0)*Table_NFI[[#This Row],[NFI Core Kit]],Table_NFI[NFI Core Kit])</f>
        <v>#REF!</v>
      </c>
      <c r="AD519" s="532" t="e">
        <f>IF(NFI_Expiration=1,IF(#REF!&lt;VLOOKUP(M$5,NFI,5,0),1,0)*Table_NFI[[#This Row],[Sanitary Kit]],Table_NFI[Sanitary Kit])</f>
        <v>#REF!</v>
      </c>
      <c r="AE519" s="532" t="e">
        <f>IF(NFI_Expiration=1,IF(#REF!&lt;VLOOKUP(N$5,NFI,5,0),1,0)*Table_NFI[[#This Row],[Mosquito net]],Table_NFI[Mosquito net])</f>
        <v>#REF!</v>
      </c>
      <c r="AF519" s="532" t="e">
        <f>IF(NFI_Expiration=1,IF(#REF!&lt;VLOOKUP(O$5,NFI,5,0),1,0)*Table_NFI[[#This Row],[Tarpaulin]],Table_NFI[[#This Row],[Tarpaulin]])</f>
        <v>#REF!</v>
      </c>
      <c r="AG519" s="532" t="e">
        <f>IF(NFI_Expiration=1,IF(#REF!&lt;VLOOKUP(P$5,NFI,5,0),1,0)*Table_NFI[[#This Row],[Blanket]],Table_NFI[[#This Row],[Blanket]])</f>
        <v>#REF!</v>
      </c>
      <c r="AH519" s="532" t="e">
        <f>IF(NFI_Expiration=1,IF(#REF!&lt;VLOOKUP(Q$5,NFI,5,0),1,0)*Table_NFI[[#This Row],[Kitchen Set]],Table_NFI[Kitchen Set])</f>
        <v>#REF!</v>
      </c>
      <c r="AI519" s="532" t="e">
        <f>IF(NFI_Expiration=1,IF(#REF!&lt;VLOOKUP(R$5,NFI,5,0),1,0)*Table_NFI[[#This Row],[Clothes Kit]],Table_NFI[Clothes Kit])</f>
        <v>#REF!</v>
      </c>
      <c r="AJ519" s="532" t="e">
        <f>IF(NFI_Expiration=1,IF(#REF!&lt;VLOOKUP(S$5,NFI,5,0),1,0)*Table_NFI[[#This Row],[Plastic Bucket]],Table_NFI[Plastic Bucket])</f>
        <v>#REF!</v>
      </c>
      <c r="AK519" s="532" t="e">
        <f>IF(NFI_Expiration=1,IF(#REF!&lt;VLOOKUP(T$5,NFI,5,0),1,0)*Table_NFI[[#This Row],[Plastic Mat]],Table_NFI[Plastic Mat])*IF(Table_NFI[[#This Row],[Distribution Date]]&gt;"2014-04-01",1,2.5)</f>
        <v>#REF!</v>
      </c>
      <c r="AL519" s="532" t="e">
        <f>IF(NFI_Expiration=1,IF(#REF!&lt;VLOOKUP(U$5,NFI,5,0),1,0)*Table_NFI[[#This Row],[Winter Clothes Adult]],Table_NFI[Winter Clothes Adult])</f>
        <v>#REF!</v>
      </c>
      <c r="AM519" s="532"/>
      <c r="AN519" s="532"/>
      <c r="AO519" s="532"/>
      <c r="AP519" s="532">
        <f>IF(Table_NFI[[#This Row],[Winter Clothes Adult]]+Table_NFI[[#This Row],[Winter Clothes Children]]+Table_NFI[[#This Row],[Winter Items Other]]+Table_NFI[[#This Row],[Winter Blanket]]&gt;0,1,0)</f>
        <v>1</v>
      </c>
      <c r="AQ519" s="532"/>
      <c r="AR519" s="532"/>
      <c r="AS519" s="532"/>
      <c r="AT519" s="532"/>
      <c r="AU519" s="532"/>
      <c r="AV519" s="532"/>
      <c r="AW519" s="532"/>
      <c r="AX519" s="203" t="str">
        <f>IFERROR(VLOOKUP(Table_NFI[[#This Row],[Location]],CL,2,0),"")</f>
        <v>MMR015CMP001</v>
      </c>
      <c r="AZ519" s="524"/>
      <c r="DS519" s="181"/>
      <c r="DT519" s="181"/>
    </row>
    <row r="520" spans="2:124" hidden="1" x14ac:dyDescent="0.3">
      <c r="B520" s="530">
        <v>43454</v>
      </c>
      <c r="C520" s="530" t="str">
        <f>MONTH(Table_NFI[[#This Row],[Distribution Date]]) &amp; "/" &amp; YEAR(Table_NFI[[#This Row],[Distribution Date]])</f>
        <v>12/2018</v>
      </c>
      <c r="D520" s="196" t="s">
        <v>1452</v>
      </c>
      <c r="E520" s="196" t="s">
        <v>1452</v>
      </c>
      <c r="F520" s="196" t="s">
        <v>506</v>
      </c>
      <c r="G520" s="196" t="s">
        <v>1774</v>
      </c>
      <c r="H520" s="268" t="s">
        <v>915</v>
      </c>
      <c r="I520" s="181">
        <v>2</v>
      </c>
      <c r="J520" s="531"/>
      <c r="K520" s="531"/>
      <c r="L520" s="531">
        <v>1</v>
      </c>
      <c r="M520" s="531"/>
      <c r="N520" s="531"/>
      <c r="O520" s="531"/>
      <c r="P520" s="531">
        <v>1</v>
      </c>
      <c r="Q520" s="531"/>
      <c r="R520" s="531"/>
      <c r="S520" s="531"/>
      <c r="T520" s="531">
        <v>1</v>
      </c>
      <c r="U520" s="531"/>
      <c r="V520" s="531"/>
      <c r="W520" s="531">
        <v>1</v>
      </c>
      <c r="X520" s="531"/>
      <c r="Y520" s="531"/>
      <c r="Z520" s="531"/>
      <c r="AA520" s="531"/>
      <c r="AB520" s="531"/>
      <c r="AC520" s="532" t="e">
        <f>IF(NFI_Expiration=1,IF(#REF!&lt;VLOOKUP(L$5,NFI,5,0),1,0)*Table_NFI[[#This Row],[NFI Core Kit]],Table_NFI[NFI Core Kit])</f>
        <v>#REF!</v>
      </c>
      <c r="AD520" s="532" t="e">
        <f>IF(NFI_Expiration=1,IF(#REF!&lt;VLOOKUP(M$5,NFI,5,0),1,0)*Table_NFI[[#This Row],[Sanitary Kit]],Table_NFI[Sanitary Kit])</f>
        <v>#REF!</v>
      </c>
      <c r="AE520" s="532" t="e">
        <f>IF(NFI_Expiration=1,IF(#REF!&lt;VLOOKUP(N$5,NFI,5,0),1,0)*Table_NFI[[#This Row],[Mosquito net]],Table_NFI[Mosquito net])</f>
        <v>#REF!</v>
      </c>
      <c r="AF520" s="532" t="e">
        <f>IF(NFI_Expiration=1,IF(#REF!&lt;VLOOKUP(O$5,NFI,5,0),1,0)*Table_NFI[[#This Row],[Tarpaulin]],Table_NFI[[#This Row],[Tarpaulin]])</f>
        <v>#REF!</v>
      </c>
      <c r="AG520" s="532" t="e">
        <f>IF(NFI_Expiration=1,IF(#REF!&lt;VLOOKUP(P$5,NFI,5,0),1,0)*Table_NFI[[#This Row],[Blanket]],Table_NFI[[#This Row],[Blanket]])</f>
        <v>#REF!</v>
      </c>
      <c r="AH520" s="532" t="e">
        <f>IF(NFI_Expiration=1,IF(#REF!&lt;VLOOKUP(Q$5,NFI,5,0),1,0)*Table_NFI[[#This Row],[Kitchen Set]],Table_NFI[Kitchen Set])</f>
        <v>#REF!</v>
      </c>
      <c r="AI520" s="532" t="e">
        <f>IF(NFI_Expiration=1,IF(#REF!&lt;VLOOKUP(R$5,NFI,5,0),1,0)*Table_NFI[[#This Row],[Clothes Kit]],Table_NFI[Clothes Kit])</f>
        <v>#REF!</v>
      </c>
      <c r="AJ520" s="532" t="e">
        <f>IF(NFI_Expiration=1,IF(#REF!&lt;VLOOKUP(S$5,NFI,5,0),1,0)*Table_NFI[[#This Row],[Plastic Bucket]],Table_NFI[Plastic Bucket])</f>
        <v>#REF!</v>
      </c>
      <c r="AK520" s="532" t="e">
        <f>IF(NFI_Expiration=1,IF(#REF!&lt;VLOOKUP(T$5,NFI,5,0),1,0)*Table_NFI[[#This Row],[Plastic Mat]],Table_NFI[Plastic Mat])*IF(Table_NFI[[#This Row],[Distribution Date]]&gt;"2014-04-01",1,2.5)</f>
        <v>#REF!</v>
      </c>
      <c r="AL520" s="532" t="e">
        <f>IF(NFI_Expiration=1,IF(#REF!&lt;VLOOKUP(U$5,NFI,5,0),1,0)*Table_NFI[[#This Row],[Winter Clothes Adult]],Table_NFI[Winter Clothes Adult])</f>
        <v>#REF!</v>
      </c>
      <c r="AM520" s="532"/>
      <c r="AN520" s="532"/>
      <c r="AO520" s="532"/>
      <c r="AP520" s="532">
        <f>IF(Table_NFI[[#This Row],[Winter Clothes Adult]]+Table_NFI[[#This Row],[Winter Clothes Children]]+Table_NFI[[#This Row],[Winter Items Other]]+Table_NFI[[#This Row],[Winter Blanket]]&gt;0,1,0)</f>
        <v>1</v>
      </c>
      <c r="AQ520" s="532"/>
      <c r="AR520" s="532"/>
      <c r="AS520" s="532"/>
      <c r="AT520" s="532"/>
      <c r="AU520" s="532"/>
      <c r="AV520" s="532"/>
      <c r="AW520" s="532"/>
      <c r="AX520" s="203" t="str">
        <f>IFERROR(VLOOKUP(Table_NFI[[#This Row],[Location]],CL,2,0),"")</f>
        <v>MMR015CMP215</v>
      </c>
      <c r="AY520" s="181" t="s">
        <v>1851</v>
      </c>
      <c r="AZ520" s="524"/>
      <c r="DS520" s="181"/>
      <c r="DT520" s="181"/>
    </row>
    <row r="521" spans="2:124" hidden="1" x14ac:dyDescent="0.3">
      <c r="B521" s="530">
        <v>43455</v>
      </c>
      <c r="C521" s="530" t="str">
        <f>MONTH(Table_NFI[[#This Row],[Distribution Date]]) &amp; "/" &amp; YEAR(Table_NFI[[#This Row],[Distribution Date]])</f>
        <v>12/2018</v>
      </c>
      <c r="D521" s="196" t="s">
        <v>1452</v>
      </c>
      <c r="E521" s="196" t="s">
        <v>1452</v>
      </c>
      <c r="F521" s="196" t="s">
        <v>378</v>
      </c>
      <c r="G521" s="196" t="s">
        <v>151</v>
      </c>
      <c r="H521" s="196" t="s">
        <v>909</v>
      </c>
      <c r="I521" s="181">
        <v>144</v>
      </c>
      <c r="J521" s="531"/>
      <c r="K521" s="531"/>
      <c r="L521" s="531"/>
      <c r="M521" s="531"/>
      <c r="N521" s="531"/>
      <c r="O521" s="531"/>
      <c r="P521" s="531">
        <v>2</v>
      </c>
      <c r="Q521" s="531"/>
      <c r="R521" s="531"/>
      <c r="S521" s="531"/>
      <c r="T521" s="531">
        <v>1</v>
      </c>
      <c r="U521" s="531"/>
      <c r="V521" s="531"/>
      <c r="W521" s="531"/>
      <c r="X521" s="531"/>
      <c r="Y521" s="531"/>
      <c r="Z521" s="531"/>
      <c r="AA521" s="531"/>
      <c r="AB521" s="531"/>
      <c r="AC521" s="532" t="e">
        <f>IF(NFI_Expiration=1,IF(#REF!&lt;VLOOKUP(L$5,NFI,5,0),1,0)*Table_NFI[[#This Row],[NFI Core Kit]],Table_NFI[NFI Core Kit])</f>
        <v>#REF!</v>
      </c>
      <c r="AD521" s="532" t="e">
        <f>IF(NFI_Expiration=1,IF(#REF!&lt;VLOOKUP(M$5,NFI,5,0),1,0)*Table_NFI[[#This Row],[Sanitary Kit]],Table_NFI[Sanitary Kit])</f>
        <v>#REF!</v>
      </c>
      <c r="AE521" s="532" t="e">
        <f>IF(NFI_Expiration=1,IF(#REF!&lt;VLOOKUP(N$5,NFI,5,0),1,0)*Table_NFI[[#This Row],[Mosquito net]],Table_NFI[Mosquito net])</f>
        <v>#REF!</v>
      </c>
      <c r="AF521" s="532" t="e">
        <f>IF(NFI_Expiration=1,IF(#REF!&lt;VLOOKUP(O$5,NFI,5,0),1,0)*Table_NFI[[#This Row],[Tarpaulin]],Table_NFI[[#This Row],[Tarpaulin]])</f>
        <v>#REF!</v>
      </c>
      <c r="AG521" s="532" t="e">
        <f>IF(NFI_Expiration=1,IF(#REF!&lt;VLOOKUP(P$5,NFI,5,0),1,0)*Table_NFI[[#This Row],[Blanket]],Table_NFI[[#This Row],[Blanket]])</f>
        <v>#REF!</v>
      </c>
      <c r="AH521" s="532" t="e">
        <f>IF(NFI_Expiration=1,IF(#REF!&lt;VLOOKUP(Q$5,NFI,5,0),1,0)*Table_NFI[[#This Row],[Kitchen Set]],Table_NFI[Kitchen Set])</f>
        <v>#REF!</v>
      </c>
      <c r="AI521" s="532" t="e">
        <f>IF(NFI_Expiration=1,IF(#REF!&lt;VLOOKUP(R$5,NFI,5,0),1,0)*Table_NFI[[#This Row],[Clothes Kit]],Table_NFI[Clothes Kit])</f>
        <v>#REF!</v>
      </c>
      <c r="AJ521" s="532" t="e">
        <f>IF(NFI_Expiration=1,IF(#REF!&lt;VLOOKUP(S$5,NFI,5,0),1,0)*Table_NFI[[#This Row],[Plastic Bucket]],Table_NFI[Plastic Bucket])</f>
        <v>#REF!</v>
      </c>
      <c r="AK521" s="532" t="e">
        <f>IF(NFI_Expiration=1,IF(#REF!&lt;VLOOKUP(T$5,NFI,5,0),1,0)*Table_NFI[[#This Row],[Plastic Mat]],Table_NFI[Plastic Mat])*IF(Table_NFI[[#This Row],[Distribution Date]]&gt;"2014-04-01",1,2.5)</f>
        <v>#REF!</v>
      </c>
      <c r="AL521" s="532" t="e">
        <f>IF(NFI_Expiration=1,IF(#REF!&lt;VLOOKUP(U$5,NFI,5,0),1,0)*Table_NFI[[#This Row],[Winter Clothes Adult]],Table_NFI[Winter Clothes Adult])</f>
        <v>#REF!</v>
      </c>
      <c r="AM521" s="532"/>
      <c r="AN521" s="532"/>
      <c r="AO521" s="532"/>
      <c r="AP521" s="532">
        <f>IF(Table_NFI[[#This Row],[Winter Clothes Adult]]+Table_NFI[[#This Row],[Winter Clothes Children]]+Table_NFI[[#This Row],[Winter Items Other]]+Table_NFI[[#This Row],[Winter Blanket]]&gt;0,1,0)</f>
        <v>0</v>
      </c>
      <c r="AQ521" s="532"/>
      <c r="AR521" s="532"/>
      <c r="AS521" s="532"/>
      <c r="AT521" s="532"/>
      <c r="AU521" s="532"/>
      <c r="AV521" s="532"/>
      <c r="AW521" s="532"/>
      <c r="AX521" s="203" t="str">
        <f>IFERROR(VLOOKUP(Table_NFI[[#This Row],[Location]],CL,2,0),"")</f>
        <v>MMR001CMP228</v>
      </c>
      <c r="AZ521" s="524"/>
      <c r="DS521" s="181"/>
      <c r="DT521" s="181"/>
    </row>
    <row r="522" spans="2:124" hidden="1" x14ac:dyDescent="0.3">
      <c r="B522" s="530">
        <v>43455</v>
      </c>
      <c r="C522" s="530" t="str">
        <f>MONTH(Table_NFI[[#This Row],[Distribution Date]]) &amp; "/" &amp; YEAR(Table_NFI[[#This Row],[Distribution Date]])</f>
        <v>12/2018</v>
      </c>
      <c r="D522" s="196" t="s">
        <v>1452</v>
      </c>
      <c r="E522" s="196" t="s">
        <v>1452</v>
      </c>
      <c r="F522" s="196" t="s">
        <v>506</v>
      </c>
      <c r="G522" s="196" t="s">
        <v>1774</v>
      </c>
      <c r="H522" s="268" t="s">
        <v>291</v>
      </c>
      <c r="I522" s="181">
        <v>76</v>
      </c>
      <c r="J522" s="531"/>
      <c r="K522" s="531"/>
      <c r="L522" s="531"/>
      <c r="M522" s="531"/>
      <c r="N522" s="531"/>
      <c r="O522" s="531"/>
      <c r="P522" s="531"/>
      <c r="Q522" s="531">
        <v>76</v>
      </c>
      <c r="R522" s="531"/>
      <c r="S522" s="531"/>
      <c r="T522" s="531"/>
      <c r="U522" s="531"/>
      <c r="V522" s="531"/>
      <c r="W522" s="531"/>
      <c r="X522" s="531"/>
      <c r="Y522" s="531"/>
      <c r="Z522" s="531"/>
      <c r="AA522" s="531"/>
      <c r="AB522" s="531"/>
      <c r="AC522" s="532" t="e">
        <f>IF(NFI_Expiration=1,IF(#REF!&lt;VLOOKUP(L$5,NFI,5,0),1,0)*Table_NFI[[#This Row],[NFI Core Kit]],Table_NFI[NFI Core Kit])</f>
        <v>#REF!</v>
      </c>
      <c r="AD522" s="532" t="e">
        <f>IF(NFI_Expiration=1,IF(#REF!&lt;VLOOKUP(M$5,NFI,5,0),1,0)*Table_NFI[[#This Row],[Sanitary Kit]],Table_NFI[Sanitary Kit])</f>
        <v>#REF!</v>
      </c>
      <c r="AE522" s="532" t="e">
        <f>IF(NFI_Expiration=1,IF(#REF!&lt;VLOOKUP(N$5,NFI,5,0),1,0)*Table_NFI[[#This Row],[Mosquito net]],Table_NFI[Mosquito net])</f>
        <v>#REF!</v>
      </c>
      <c r="AF522" s="532" t="e">
        <f>IF(NFI_Expiration=1,IF(#REF!&lt;VLOOKUP(O$5,NFI,5,0),1,0)*Table_NFI[[#This Row],[Tarpaulin]],Table_NFI[[#This Row],[Tarpaulin]])</f>
        <v>#REF!</v>
      </c>
      <c r="AG522" s="532" t="e">
        <f>IF(NFI_Expiration=1,IF(#REF!&lt;VLOOKUP(P$5,NFI,5,0),1,0)*Table_NFI[[#This Row],[Blanket]],Table_NFI[[#This Row],[Blanket]])</f>
        <v>#REF!</v>
      </c>
      <c r="AH522" s="532" t="e">
        <f>IF(NFI_Expiration=1,IF(#REF!&lt;VLOOKUP(Q$5,NFI,5,0),1,0)*Table_NFI[[#This Row],[Kitchen Set]],Table_NFI[Kitchen Set])</f>
        <v>#REF!</v>
      </c>
      <c r="AI522" s="532" t="e">
        <f>IF(NFI_Expiration=1,IF(#REF!&lt;VLOOKUP(R$5,NFI,5,0),1,0)*Table_NFI[[#This Row],[Clothes Kit]],Table_NFI[Clothes Kit])</f>
        <v>#REF!</v>
      </c>
      <c r="AJ522" s="532" t="e">
        <f>IF(NFI_Expiration=1,IF(#REF!&lt;VLOOKUP(S$5,NFI,5,0),1,0)*Table_NFI[[#This Row],[Plastic Bucket]],Table_NFI[Plastic Bucket])</f>
        <v>#REF!</v>
      </c>
      <c r="AK522" s="532" t="e">
        <f>IF(NFI_Expiration=1,IF(#REF!&lt;VLOOKUP(T$5,NFI,5,0),1,0)*Table_NFI[[#This Row],[Plastic Mat]],Table_NFI[Plastic Mat])*IF(Table_NFI[[#This Row],[Distribution Date]]&gt;"2014-04-01",1,2.5)</f>
        <v>#REF!</v>
      </c>
      <c r="AL522" s="532" t="e">
        <f>IF(NFI_Expiration=1,IF(#REF!&lt;VLOOKUP(U$5,NFI,5,0),1,0)*Table_NFI[[#This Row],[Winter Clothes Adult]],Table_NFI[Winter Clothes Adult])</f>
        <v>#REF!</v>
      </c>
      <c r="AM522" s="532"/>
      <c r="AN522" s="532"/>
      <c r="AO522" s="532"/>
      <c r="AP522" s="532">
        <f>IF(Table_NFI[[#This Row],[Winter Clothes Adult]]+Table_NFI[[#This Row],[Winter Clothes Children]]+Table_NFI[[#This Row],[Winter Items Other]]+Table_NFI[[#This Row],[Winter Blanket]]&gt;0,1,0)</f>
        <v>0</v>
      </c>
      <c r="AQ522" s="532"/>
      <c r="AR522" s="532"/>
      <c r="AS522" s="532"/>
      <c r="AT522" s="532"/>
      <c r="AU522" s="532"/>
      <c r="AV522" s="532"/>
      <c r="AW522" s="532"/>
      <c r="AX522" s="203" t="str">
        <f>IFERROR(VLOOKUP(Table_NFI[[#This Row],[Location]],CL,2,0),"")</f>
        <v>MMR015CMP004</v>
      </c>
      <c r="AZ522" s="524"/>
      <c r="DS522" s="181"/>
      <c r="DT522" s="181"/>
    </row>
    <row r="523" spans="2:124" x14ac:dyDescent="0.3">
      <c r="B523" s="530">
        <v>43483</v>
      </c>
      <c r="C523" s="530" t="str">
        <f>MONTH(Table_NFI[[#This Row],[Distribution Date]]) &amp; "/" &amp; YEAR(Table_NFI[[#This Row],[Distribution Date]])</f>
        <v>1/2019</v>
      </c>
      <c r="D523" s="196" t="s">
        <v>1541</v>
      </c>
      <c r="E523" s="196"/>
      <c r="F523" s="196" t="s">
        <v>506</v>
      </c>
      <c r="G523" s="196" t="s">
        <v>1198</v>
      </c>
      <c r="H523" s="196" t="s">
        <v>1892</v>
      </c>
      <c r="I523" s="181"/>
      <c r="J523" s="531"/>
      <c r="K523" s="531"/>
      <c r="L523" s="531">
        <v>13</v>
      </c>
      <c r="M523" s="531"/>
      <c r="N523" s="531"/>
      <c r="O523" s="531"/>
      <c r="P523" s="531"/>
      <c r="Q523" s="531"/>
      <c r="R523" s="531"/>
      <c r="S523" s="531"/>
      <c r="T523" s="531"/>
      <c r="U523" s="531"/>
      <c r="V523" s="531"/>
      <c r="W523" s="531"/>
      <c r="X523" s="531"/>
      <c r="Y523" s="531"/>
      <c r="Z523" s="531"/>
      <c r="AA523" s="531"/>
      <c r="AB523" s="531"/>
      <c r="AC523" s="532" t="e">
        <f>IF(NFI_Expiration=1,IF(#REF!&lt;VLOOKUP(L$5,NFI,5,0),1,0)*Table_NFI[[#This Row],[NFI Core Kit]],Table_NFI[NFI Core Kit])</f>
        <v>#REF!</v>
      </c>
      <c r="AD523" s="532" t="e">
        <f>IF(NFI_Expiration=1,IF(#REF!&lt;VLOOKUP(M$5,NFI,5,0),1,0)*Table_NFI[[#This Row],[Sanitary Kit]],Table_NFI[Sanitary Kit])</f>
        <v>#REF!</v>
      </c>
      <c r="AE523" s="532" t="e">
        <f>IF(NFI_Expiration=1,IF(#REF!&lt;VLOOKUP(N$5,NFI,5,0),1,0)*Table_NFI[[#This Row],[Mosquito net]],Table_NFI[Mosquito net])</f>
        <v>#REF!</v>
      </c>
      <c r="AF523" s="532" t="e">
        <f>IF(NFI_Expiration=1,IF(#REF!&lt;VLOOKUP(O$5,NFI,5,0),1,0)*Table_NFI[[#This Row],[Tarpaulin]],Table_NFI[[#This Row],[Tarpaulin]])</f>
        <v>#REF!</v>
      </c>
      <c r="AG523" s="532" t="e">
        <f>IF(NFI_Expiration=1,IF(#REF!&lt;VLOOKUP(P$5,NFI,5,0),1,0)*Table_NFI[[#This Row],[Blanket]],Table_NFI[[#This Row],[Blanket]])</f>
        <v>#REF!</v>
      </c>
      <c r="AH523" s="532" t="e">
        <f>IF(NFI_Expiration=1,IF(#REF!&lt;VLOOKUP(Q$5,NFI,5,0),1,0)*Table_NFI[[#This Row],[Kitchen Set]],Table_NFI[Kitchen Set])</f>
        <v>#REF!</v>
      </c>
      <c r="AI523" s="532" t="e">
        <f>IF(NFI_Expiration=1,IF(#REF!&lt;VLOOKUP(R$5,NFI,5,0),1,0)*Table_NFI[[#This Row],[Clothes Kit]],Table_NFI[Clothes Kit])</f>
        <v>#REF!</v>
      </c>
      <c r="AJ523" s="532" t="e">
        <f>IF(NFI_Expiration=1,IF(#REF!&lt;VLOOKUP(S$5,NFI,5,0),1,0)*Table_NFI[[#This Row],[Plastic Bucket]],Table_NFI[Plastic Bucket])</f>
        <v>#REF!</v>
      </c>
      <c r="AK523" s="532" t="e">
        <f>IF(NFI_Expiration=1,IF(#REF!&lt;VLOOKUP(T$5,NFI,5,0),1,0)*Table_NFI[[#This Row],[Plastic Mat]],Table_NFI[Plastic Mat])*IF(Table_NFI[[#This Row],[Distribution Date]]&gt;"2014-04-01",1,2.5)</f>
        <v>#REF!</v>
      </c>
      <c r="AL523" s="532" t="e">
        <f>IF(NFI_Expiration=1,IF(#REF!&lt;VLOOKUP(U$5,NFI,5,0),1,0)*Table_NFI[[#This Row],[Winter Clothes Adult]],Table_NFI[Winter Clothes Adult])</f>
        <v>#REF!</v>
      </c>
      <c r="AM523" s="532"/>
      <c r="AN523" s="532"/>
      <c r="AO523" s="532"/>
      <c r="AP523" s="532">
        <f>IF(Table_NFI[[#This Row],[Winter Clothes Adult]]+Table_NFI[[#This Row],[Winter Clothes Children]]+Table_NFI[[#This Row],[Winter Items Other]]+Table_NFI[[#This Row],[Winter Blanket]]&gt;0,1,0)</f>
        <v>0</v>
      </c>
      <c r="AQ523" s="532"/>
      <c r="AR523" s="532"/>
      <c r="AS523" s="532"/>
      <c r="AT523" s="532"/>
      <c r="AU523" s="532"/>
      <c r="AV523" s="532"/>
      <c r="AW523" s="532"/>
      <c r="AX523" s="203" t="str">
        <f>IFERROR(VLOOKUP(Table_NFI[[#This Row],[Location]],CL,2,0),"")</f>
        <v/>
      </c>
      <c r="AZ523" s="524"/>
      <c r="DS523" s="181"/>
      <c r="DT523" s="181"/>
    </row>
    <row r="524" spans="2:124" x14ac:dyDescent="0.3">
      <c r="B524" s="530">
        <v>43483</v>
      </c>
      <c r="C524" s="530" t="str">
        <f>MONTH(Table_NFI[[#This Row],[Distribution Date]]) &amp; "/" &amp; YEAR(Table_NFI[[#This Row],[Distribution Date]])</f>
        <v>1/2019</v>
      </c>
      <c r="D524" s="196" t="s">
        <v>1541</v>
      </c>
      <c r="E524" s="196"/>
      <c r="F524" s="196" t="s">
        <v>506</v>
      </c>
      <c r="G524" s="196" t="s">
        <v>1198</v>
      </c>
      <c r="H524" s="196" t="s">
        <v>1893</v>
      </c>
      <c r="I524" s="181"/>
      <c r="J524" s="531"/>
      <c r="K524" s="531"/>
      <c r="L524" s="531">
        <v>44</v>
      </c>
      <c r="M524" s="531"/>
      <c r="N524" s="531"/>
      <c r="O524" s="531"/>
      <c r="P524" s="531"/>
      <c r="Q524" s="531"/>
      <c r="R524" s="531"/>
      <c r="S524" s="531"/>
      <c r="T524" s="531"/>
      <c r="U524" s="531"/>
      <c r="V524" s="531"/>
      <c r="W524" s="531"/>
      <c r="X524" s="531"/>
      <c r="Y524" s="531"/>
      <c r="Z524" s="531"/>
      <c r="AA524" s="531"/>
      <c r="AB524" s="531"/>
      <c r="AC524" s="532" t="e">
        <f>IF(NFI_Expiration=1,IF(#REF!&lt;VLOOKUP(L$5,NFI,5,0),1,0)*Table_NFI[[#This Row],[NFI Core Kit]],Table_NFI[NFI Core Kit])</f>
        <v>#REF!</v>
      </c>
      <c r="AD524" s="532" t="e">
        <f>IF(NFI_Expiration=1,IF(#REF!&lt;VLOOKUP(M$5,NFI,5,0),1,0)*Table_NFI[[#This Row],[Sanitary Kit]],Table_NFI[Sanitary Kit])</f>
        <v>#REF!</v>
      </c>
      <c r="AE524" s="532" t="e">
        <f>IF(NFI_Expiration=1,IF(#REF!&lt;VLOOKUP(N$5,NFI,5,0),1,0)*Table_NFI[[#This Row],[Mosquito net]],Table_NFI[Mosquito net])</f>
        <v>#REF!</v>
      </c>
      <c r="AF524" s="532" t="e">
        <f>IF(NFI_Expiration=1,IF(#REF!&lt;VLOOKUP(O$5,NFI,5,0),1,0)*Table_NFI[[#This Row],[Tarpaulin]],Table_NFI[[#This Row],[Tarpaulin]])</f>
        <v>#REF!</v>
      </c>
      <c r="AG524" s="532" t="e">
        <f>IF(NFI_Expiration=1,IF(#REF!&lt;VLOOKUP(P$5,NFI,5,0),1,0)*Table_NFI[[#This Row],[Blanket]],Table_NFI[[#This Row],[Blanket]])</f>
        <v>#REF!</v>
      </c>
      <c r="AH524" s="532" t="e">
        <f>IF(NFI_Expiration=1,IF(#REF!&lt;VLOOKUP(Q$5,NFI,5,0),1,0)*Table_NFI[[#This Row],[Kitchen Set]],Table_NFI[Kitchen Set])</f>
        <v>#REF!</v>
      </c>
      <c r="AI524" s="532" t="e">
        <f>IF(NFI_Expiration=1,IF(#REF!&lt;VLOOKUP(R$5,NFI,5,0),1,0)*Table_NFI[[#This Row],[Clothes Kit]],Table_NFI[Clothes Kit])</f>
        <v>#REF!</v>
      </c>
      <c r="AJ524" s="532" t="e">
        <f>IF(NFI_Expiration=1,IF(#REF!&lt;VLOOKUP(S$5,NFI,5,0),1,0)*Table_NFI[[#This Row],[Plastic Bucket]],Table_NFI[Plastic Bucket])</f>
        <v>#REF!</v>
      </c>
      <c r="AK524" s="532" t="e">
        <f>IF(NFI_Expiration=1,IF(#REF!&lt;VLOOKUP(T$5,NFI,5,0),1,0)*Table_NFI[[#This Row],[Plastic Mat]],Table_NFI[Plastic Mat])*IF(Table_NFI[[#This Row],[Distribution Date]]&gt;"2014-04-01",1,2.5)</f>
        <v>#REF!</v>
      </c>
      <c r="AL524" s="532" t="e">
        <f>IF(NFI_Expiration=1,IF(#REF!&lt;VLOOKUP(U$5,NFI,5,0),1,0)*Table_NFI[[#This Row],[Winter Clothes Adult]],Table_NFI[Winter Clothes Adult])</f>
        <v>#REF!</v>
      </c>
      <c r="AM524" s="532"/>
      <c r="AN524" s="532"/>
      <c r="AO524" s="532"/>
      <c r="AP524" s="532">
        <f>IF(Table_NFI[[#This Row],[Winter Clothes Adult]]+Table_NFI[[#This Row],[Winter Clothes Children]]+Table_NFI[[#This Row],[Winter Items Other]]+Table_NFI[[#This Row],[Winter Blanket]]&gt;0,1,0)</f>
        <v>0</v>
      </c>
      <c r="AQ524" s="532"/>
      <c r="AR524" s="532"/>
      <c r="AS524" s="532"/>
      <c r="AT524" s="532"/>
      <c r="AU524" s="532"/>
      <c r="AV524" s="532"/>
      <c r="AW524" s="532"/>
      <c r="AX524" s="203" t="str">
        <f>IFERROR(VLOOKUP(Table_NFI[[#This Row],[Location]],CL,2,0),"")</f>
        <v/>
      </c>
      <c r="AZ524" s="524"/>
      <c r="DS524" s="181"/>
      <c r="DT524" s="181"/>
    </row>
    <row r="525" spans="2:124" x14ac:dyDescent="0.3">
      <c r="B525" s="530">
        <v>43487</v>
      </c>
      <c r="C525" s="530" t="str">
        <f>MONTH(Table_NFI[[#This Row],[Distribution Date]]) &amp; "/" &amp; YEAR(Table_NFI[[#This Row],[Distribution Date]])</f>
        <v>1/2019</v>
      </c>
      <c r="D525" s="196" t="s">
        <v>1452</v>
      </c>
      <c r="E525" s="196" t="s">
        <v>1850</v>
      </c>
      <c r="F525" s="196" t="s">
        <v>378</v>
      </c>
      <c r="G525" s="35" t="s">
        <v>1797</v>
      </c>
      <c r="H525" s="195" t="s">
        <v>140</v>
      </c>
      <c r="I525" s="210"/>
      <c r="J525" s="531">
        <v>15</v>
      </c>
      <c r="K525" s="531"/>
      <c r="L525" s="531"/>
      <c r="M525" s="531">
        <v>30</v>
      </c>
      <c r="N525" s="531">
        <v>35</v>
      </c>
      <c r="O525" s="531">
        <v>15</v>
      </c>
      <c r="P525" s="531">
        <v>35</v>
      </c>
      <c r="Q525" s="531"/>
      <c r="R525" s="531"/>
      <c r="S525" s="531">
        <v>15</v>
      </c>
      <c r="T525" s="531">
        <v>35</v>
      </c>
      <c r="U525" s="531">
        <v>60</v>
      </c>
      <c r="V525" s="531">
        <v>19</v>
      </c>
      <c r="W525" s="531"/>
      <c r="X525" s="531"/>
      <c r="Y525" s="531"/>
      <c r="Z525" s="702"/>
      <c r="AA525" s="531">
        <v>15</v>
      </c>
      <c r="AB525" s="531"/>
      <c r="AC525" s="532" t="e">
        <f>IF(NFI_Expiration=1,IF(#REF!&lt;VLOOKUP(L$5,NFI,5,0),1,0)*Table_NFI[[#This Row],[NFI Core Kit]],Table_NFI[NFI Core Kit])</f>
        <v>#REF!</v>
      </c>
      <c r="AD525" s="532" t="e">
        <f>IF(NFI_Expiration=1,IF(#REF!&lt;VLOOKUP(M$5,NFI,5,0),1,0)*Table_NFI[[#This Row],[Sanitary Kit]],Table_NFI[Sanitary Kit])</f>
        <v>#REF!</v>
      </c>
      <c r="AE525" s="532" t="e">
        <f>IF(NFI_Expiration=1,IF(#REF!&lt;VLOOKUP(N$5,NFI,5,0),1,0)*Table_NFI[[#This Row],[Mosquito net]],Table_NFI[Mosquito net])</f>
        <v>#REF!</v>
      </c>
      <c r="AF525" s="532" t="e">
        <f>IF(NFI_Expiration=1,IF(#REF!&lt;VLOOKUP(O$5,NFI,5,0),1,0)*Table_NFI[[#This Row],[Tarpaulin]],Table_NFI[[#This Row],[Tarpaulin]])</f>
        <v>#REF!</v>
      </c>
      <c r="AG525" s="532" t="e">
        <f>IF(NFI_Expiration=1,IF(#REF!&lt;VLOOKUP(P$5,NFI,5,0),1,0)*Table_NFI[[#This Row],[Blanket]],Table_NFI[[#This Row],[Blanket]])</f>
        <v>#REF!</v>
      </c>
      <c r="AH525" s="532" t="e">
        <f>IF(NFI_Expiration=1,IF(#REF!&lt;VLOOKUP(Q$5,NFI,5,0),1,0)*Table_NFI[[#This Row],[Kitchen Set]],Table_NFI[Kitchen Set])</f>
        <v>#REF!</v>
      </c>
      <c r="AI525" s="532" t="e">
        <f>IF(NFI_Expiration=1,IF(#REF!&lt;VLOOKUP(R$5,NFI,5,0),1,0)*Table_NFI[[#This Row],[Clothes Kit]],Table_NFI[Clothes Kit])</f>
        <v>#REF!</v>
      </c>
      <c r="AJ525" s="532" t="e">
        <f>IF(NFI_Expiration=1,IF(#REF!&lt;VLOOKUP(S$5,NFI,5,0),1,0)*Table_NFI[[#This Row],[Plastic Bucket]],Table_NFI[Plastic Bucket])</f>
        <v>#REF!</v>
      </c>
      <c r="AK525" s="532" t="e">
        <f>IF(NFI_Expiration=1,IF(#REF!&lt;VLOOKUP(T$5,NFI,5,0),1,0)*Table_NFI[[#This Row],[Plastic Mat]],Table_NFI[Plastic Mat])*IF(Table_NFI[[#This Row],[Distribution Date]]&gt;"2014-04-01",1,2.5)</f>
        <v>#REF!</v>
      </c>
      <c r="AL525" s="532" t="e">
        <f>IF(NFI_Expiration=1,IF(#REF!&lt;VLOOKUP(U$5,NFI,5,0),1,0)*Table_NFI[[#This Row],[Winter Clothes Adult]],Table_NFI[Winter Clothes Adult])</f>
        <v>#REF!</v>
      </c>
      <c r="AM525" s="532"/>
      <c r="AN525" s="532"/>
      <c r="AO525" s="532"/>
      <c r="AP525" s="532">
        <f>IF(Table_NFI[[#This Row],[Winter Clothes Adult]]+Table_NFI[[#This Row],[Winter Clothes Children]]+Table_NFI[[#This Row],[Winter Items Other]]+Table_NFI[[#This Row],[Winter Blanket]]&gt;0,1,0)</f>
        <v>1</v>
      </c>
      <c r="AQ525" s="532"/>
      <c r="AR525" s="532"/>
      <c r="AS525" s="532"/>
      <c r="AT525" s="532"/>
      <c r="AU525" s="532"/>
      <c r="AV525" s="532"/>
      <c r="AW525" s="532"/>
      <c r="AX525" s="203" t="str">
        <f>IFERROR(VLOOKUP(Table_NFI[[#This Row],[Location]],CL,2,0),"")</f>
        <v>MMR001CMP105</v>
      </c>
      <c r="AY525" s="762"/>
      <c r="AZ525" s="524"/>
      <c r="DS525" s="181"/>
      <c r="DT525" s="181"/>
    </row>
    <row r="526" spans="2:124" hidden="1" x14ac:dyDescent="0.25">
      <c r="B526" s="530">
        <v>43437</v>
      </c>
      <c r="C526" s="530" t="str">
        <f>MONTH(Table_NFI[[#This Row],[Distribution Date]]) &amp; "/" &amp; YEAR(Table_NFI[[#This Row],[Distribution Date]])</f>
        <v>12/2018</v>
      </c>
      <c r="D526" s="629" t="s">
        <v>1916</v>
      </c>
      <c r="E526" s="629" t="s">
        <v>1916</v>
      </c>
      <c r="F526" s="196" t="s">
        <v>378</v>
      </c>
      <c r="G526" s="196" t="s">
        <v>237</v>
      </c>
      <c r="H526" s="196" t="s">
        <v>1660</v>
      </c>
      <c r="I526" s="181"/>
      <c r="J526" s="531"/>
      <c r="K526" s="531"/>
      <c r="L526" s="531"/>
      <c r="M526" s="531"/>
      <c r="N526" s="531"/>
      <c r="O526" s="531"/>
      <c r="P526" s="531"/>
      <c r="Q526" s="531"/>
      <c r="R526" s="531"/>
      <c r="S526" s="531"/>
      <c r="T526" s="531">
        <v>18</v>
      </c>
      <c r="U526" s="805">
        <v>36</v>
      </c>
      <c r="V526" s="805">
        <v>72</v>
      </c>
      <c r="W526" s="531">
        <v>18</v>
      </c>
      <c r="X526" s="531">
        <v>18</v>
      </c>
      <c r="Y526" s="531"/>
      <c r="Z526" s="531">
        <v>9</v>
      </c>
      <c r="AA526" s="531"/>
      <c r="AB526" s="531"/>
      <c r="AC526" s="532" t="e">
        <f>IF(NFI_Expiration=1,IF(#REF!&lt;VLOOKUP(L$5,NFI,5,0),1,0)*Table_NFI[[#This Row],[NFI Core Kit]],Table_NFI[NFI Core Kit])</f>
        <v>#REF!</v>
      </c>
      <c r="AD526" s="532" t="e">
        <f>IF(NFI_Expiration=1,IF(#REF!&lt;VLOOKUP(M$5,NFI,5,0),1,0)*Table_NFI[[#This Row],[Sanitary Kit]],Table_NFI[Sanitary Kit])</f>
        <v>#REF!</v>
      </c>
      <c r="AE526" s="532" t="e">
        <f>IF(NFI_Expiration=1,IF(#REF!&lt;VLOOKUP(N$5,NFI,5,0),1,0)*Table_NFI[[#This Row],[Mosquito net]],Table_NFI[Mosquito net])</f>
        <v>#REF!</v>
      </c>
      <c r="AF526" s="532" t="e">
        <f>IF(NFI_Expiration=1,IF(#REF!&lt;VLOOKUP(O$5,NFI,5,0),1,0)*Table_NFI[[#This Row],[Tarpaulin]],Table_NFI[[#This Row],[Tarpaulin]])</f>
        <v>#REF!</v>
      </c>
      <c r="AG526" s="532" t="e">
        <f>IF(NFI_Expiration=1,IF(#REF!&lt;VLOOKUP(P$5,NFI,5,0),1,0)*Table_NFI[[#This Row],[Blanket]],Table_NFI[[#This Row],[Blanket]])</f>
        <v>#REF!</v>
      </c>
      <c r="AH526" s="532" t="e">
        <f>IF(NFI_Expiration=1,IF(#REF!&lt;VLOOKUP(Q$5,NFI,5,0),1,0)*Table_NFI[[#This Row],[Kitchen Set]],Table_NFI[Kitchen Set])</f>
        <v>#REF!</v>
      </c>
      <c r="AI526" s="532" t="e">
        <f>IF(NFI_Expiration=1,IF(#REF!&lt;VLOOKUP(R$5,NFI,5,0),1,0)*Table_NFI[[#This Row],[Clothes Kit]],Table_NFI[Clothes Kit])</f>
        <v>#REF!</v>
      </c>
      <c r="AJ526" s="532" t="e">
        <f>IF(NFI_Expiration=1,IF(#REF!&lt;VLOOKUP(S$5,NFI,5,0),1,0)*Table_NFI[[#This Row],[Plastic Bucket]],Table_NFI[Plastic Bucket])</f>
        <v>#REF!</v>
      </c>
      <c r="AK526" s="532" t="e">
        <f>IF(NFI_Expiration=1,IF(#REF!&lt;VLOOKUP(T$5,NFI,5,0),1,0)*Table_NFI[[#This Row],[Plastic Mat]],Table_NFI[Plastic Mat])*IF(Table_NFI[[#This Row],[Distribution Date]]&gt;"2014-04-01",1,2.5)</f>
        <v>#REF!</v>
      </c>
      <c r="AL526" s="532" t="e">
        <f>IF(NFI_Expiration=1,IF(#REF!&lt;VLOOKUP(U$5,NFI,5,0),1,0)*Table_NFI[[#This Row],[Winter Clothes Adult]],Table_NFI[Winter Clothes Adult])</f>
        <v>#REF!</v>
      </c>
      <c r="AM526" s="532"/>
      <c r="AN526" s="532"/>
      <c r="AO526" s="532"/>
      <c r="AP526" s="532">
        <f>IF(Table_NFI[[#This Row],[Winter Clothes Adult]]+Table_NFI[[#This Row],[Winter Clothes Children]]+Table_NFI[[#This Row],[Winter Items Other]]+Table_NFI[[#This Row],[Winter Blanket]]&gt;0,1,0)</f>
        <v>1</v>
      </c>
      <c r="AQ526" s="532"/>
      <c r="AR526" s="532"/>
      <c r="AS526" s="532"/>
      <c r="AT526" s="532"/>
      <c r="AU526" s="532"/>
      <c r="AV526" s="532"/>
      <c r="AW526" s="532"/>
      <c r="AX526" s="203" t="str">
        <f>IFERROR(VLOOKUP(Table_NFI[[#This Row],[Location]],CL,2,0),"")</f>
        <v>MMR001CMP267</v>
      </c>
      <c r="AZ526" s="524"/>
      <c r="DS526" s="181"/>
      <c r="DT526" s="181"/>
    </row>
    <row r="527" spans="2:124" hidden="1" x14ac:dyDescent="0.25">
      <c r="B527" s="530">
        <v>43437</v>
      </c>
      <c r="C527" s="530" t="str">
        <f>MONTH(Table_NFI[[#This Row],[Distribution Date]]) &amp; "/" &amp; YEAR(Table_NFI[[#This Row],[Distribution Date]])</f>
        <v>12/2018</v>
      </c>
      <c r="D527" s="629" t="s">
        <v>1916</v>
      </c>
      <c r="E527" s="629" t="s">
        <v>1916</v>
      </c>
      <c r="F527" s="196" t="s">
        <v>378</v>
      </c>
      <c r="G527" s="196" t="s">
        <v>746</v>
      </c>
      <c r="H527" s="196" t="s">
        <v>1852</v>
      </c>
      <c r="I527" s="181"/>
      <c r="J527" s="531"/>
      <c r="K527" s="531"/>
      <c r="L527" s="531"/>
      <c r="M527" s="531"/>
      <c r="N527" s="531"/>
      <c r="O527" s="531"/>
      <c r="P527" s="531"/>
      <c r="Q527" s="531"/>
      <c r="R527" s="531"/>
      <c r="S527" s="531"/>
      <c r="T527" s="531">
        <v>56</v>
      </c>
      <c r="U527" s="805">
        <v>112</v>
      </c>
      <c r="V527" s="805">
        <v>224</v>
      </c>
      <c r="W527" s="531">
        <v>56</v>
      </c>
      <c r="X527" s="531">
        <v>56</v>
      </c>
      <c r="Y527" s="531"/>
      <c r="Z527" s="531">
        <v>28</v>
      </c>
      <c r="AA527" s="531"/>
      <c r="AB527" s="531"/>
      <c r="AC527" s="532" t="e">
        <f>IF(NFI_Expiration=1,IF(#REF!&lt;VLOOKUP(L$5,NFI,5,0),1,0)*Table_NFI[[#This Row],[NFI Core Kit]],Table_NFI[NFI Core Kit])</f>
        <v>#REF!</v>
      </c>
      <c r="AD527" s="532" t="e">
        <f>IF(NFI_Expiration=1,IF(#REF!&lt;VLOOKUP(M$5,NFI,5,0),1,0)*Table_NFI[[#This Row],[Sanitary Kit]],Table_NFI[Sanitary Kit])</f>
        <v>#REF!</v>
      </c>
      <c r="AE527" s="532" t="e">
        <f>IF(NFI_Expiration=1,IF(#REF!&lt;VLOOKUP(N$5,NFI,5,0),1,0)*Table_NFI[[#This Row],[Mosquito net]],Table_NFI[Mosquito net])</f>
        <v>#REF!</v>
      </c>
      <c r="AF527" s="532" t="e">
        <f>IF(NFI_Expiration=1,IF(#REF!&lt;VLOOKUP(O$5,NFI,5,0),1,0)*Table_NFI[[#This Row],[Tarpaulin]],Table_NFI[[#This Row],[Tarpaulin]])</f>
        <v>#REF!</v>
      </c>
      <c r="AG527" s="532" t="e">
        <f>IF(NFI_Expiration=1,IF(#REF!&lt;VLOOKUP(P$5,NFI,5,0),1,0)*Table_NFI[[#This Row],[Blanket]],Table_NFI[[#This Row],[Blanket]])</f>
        <v>#REF!</v>
      </c>
      <c r="AH527" s="532" t="e">
        <f>IF(NFI_Expiration=1,IF(#REF!&lt;VLOOKUP(Q$5,NFI,5,0),1,0)*Table_NFI[[#This Row],[Kitchen Set]],Table_NFI[Kitchen Set])</f>
        <v>#REF!</v>
      </c>
      <c r="AI527" s="532" t="e">
        <f>IF(NFI_Expiration=1,IF(#REF!&lt;VLOOKUP(R$5,NFI,5,0),1,0)*Table_NFI[[#This Row],[Clothes Kit]],Table_NFI[Clothes Kit])</f>
        <v>#REF!</v>
      </c>
      <c r="AJ527" s="532" t="e">
        <f>IF(NFI_Expiration=1,IF(#REF!&lt;VLOOKUP(S$5,NFI,5,0),1,0)*Table_NFI[[#This Row],[Plastic Bucket]],Table_NFI[Plastic Bucket])</f>
        <v>#REF!</v>
      </c>
      <c r="AK527" s="532" t="e">
        <f>IF(NFI_Expiration=1,IF(#REF!&lt;VLOOKUP(T$5,NFI,5,0),1,0)*Table_NFI[[#This Row],[Plastic Mat]],Table_NFI[Plastic Mat])*IF(Table_NFI[[#This Row],[Distribution Date]]&gt;"2014-04-01",1,2.5)</f>
        <v>#REF!</v>
      </c>
      <c r="AL527" s="532" t="e">
        <f>IF(NFI_Expiration=1,IF(#REF!&lt;VLOOKUP(U$5,NFI,5,0),1,0)*Table_NFI[[#This Row],[Winter Clothes Adult]],Table_NFI[Winter Clothes Adult])</f>
        <v>#REF!</v>
      </c>
      <c r="AM527" s="532"/>
      <c r="AN527" s="532"/>
      <c r="AO527" s="532"/>
      <c r="AP527" s="532">
        <f>IF(Table_NFI[[#This Row],[Winter Clothes Adult]]+Table_NFI[[#This Row],[Winter Clothes Children]]+Table_NFI[[#This Row],[Winter Items Other]]+Table_NFI[[#This Row],[Winter Blanket]]&gt;0,1,0)</f>
        <v>1</v>
      </c>
      <c r="AQ527" s="532"/>
      <c r="AR527" s="532"/>
      <c r="AS527" s="532"/>
      <c r="AT527" s="532"/>
      <c r="AU527" s="532"/>
      <c r="AV527" s="532"/>
      <c r="AW527" s="532"/>
      <c r="AX527" s="203" t="str">
        <f>IFERROR(VLOOKUP(Table_NFI[[#This Row],[Location]],CL,2,0),"")</f>
        <v/>
      </c>
      <c r="AZ527" s="524"/>
      <c r="DS527" s="181"/>
      <c r="DT527" s="181"/>
    </row>
    <row r="528" spans="2:124" hidden="1" x14ac:dyDescent="0.25">
      <c r="B528" s="530">
        <v>43437</v>
      </c>
      <c r="C528" s="530" t="str">
        <f>MONTH(Table_NFI[[#This Row],[Distribution Date]]) &amp; "/" &amp; YEAR(Table_NFI[[#This Row],[Distribution Date]])</f>
        <v>12/2018</v>
      </c>
      <c r="D528" s="629" t="s">
        <v>1916</v>
      </c>
      <c r="E528" s="629" t="s">
        <v>1916</v>
      </c>
      <c r="F528" s="196" t="s">
        <v>378</v>
      </c>
      <c r="G528" s="196" t="s">
        <v>746</v>
      </c>
      <c r="H528" s="196" t="s">
        <v>1853</v>
      </c>
      <c r="I528" s="181"/>
      <c r="J528" s="531"/>
      <c r="K528" s="531"/>
      <c r="L528" s="531"/>
      <c r="M528" s="531"/>
      <c r="N528" s="531"/>
      <c r="O528" s="531"/>
      <c r="P528" s="531"/>
      <c r="Q528" s="531"/>
      <c r="R528" s="531"/>
      <c r="S528" s="531"/>
      <c r="T528" s="531">
        <v>16</v>
      </c>
      <c r="U528" s="805">
        <v>32</v>
      </c>
      <c r="V528" s="805">
        <v>64</v>
      </c>
      <c r="W528" s="531">
        <v>16</v>
      </c>
      <c r="X528" s="531">
        <v>16</v>
      </c>
      <c r="Y528" s="531"/>
      <c r="Z528" s="531">
        <v>8</v>
      </c>
      <c r="AA528" s="531"/>
      <c r="AB528" s="531"/>
      <c r="AC528" s="532" t="e">
        <f>IF(NFI_Expiration=1,IF(#REF!&lt;VLOOKUP(L$5,NFI,5,0),1,0)*Table_NFI[[#This Row],[NFI Core Kit]],Table_NFI[NFI Core Kit])</f>
        <v>#REF!</v>
      </c>
      <c r="AD528" s="532" t="e">
        <f>IF(NFI_Expiration=1,IF(#REF!&lt;VLOOKUP(M$5,NFI,5,0),1,0)*Table_NFI[[#This Row],[Sanitary Kit]],Table_NFI[Sanitary Kit])</f>
        <v>#REF!</v>
      </c>
      <c r="AE528" s="532" t="e">
        <f>IF(NFI_Expiration=1,IF(#REF!&lt;VLOOKUP(N$5,NFI,5,0),1,0)*Table_NFI[[#This Row],[Mosquito net]],Table_NFI[Mosquito net])</f>
        <v>#REF!</v>
      </c>
      <c r="AF528" s="532" t="e">
        <f>IF(NFI_Expiration=1,IF(#REF!&lt;VLOOKUP(O$5,NFI,5,0),1,0)*Table_NFI[[#This Row],[Tarpaulin]],Table_NFI[[#This Row],[Tarpaulin]])</f>
        <v>#REF!</v>
      </c>
      <c r="AG528" s="532" t="e">
        <f>IF(NFI_Expiration=1,IF(#REF!&lt;VLOOKUP(P$5,NFI,5,0),1,0)*Table_NFI[[#This Row],[Blanket]],Table_NFI[[#This Row],[Blanket]])</f>
        <v>#REF!</v>
      </c>
      <c r="AH528" s="532" t="e">
        <f>IF(NFI_Expiration=1,IF(#REF!&lt;VLOOKUP(Q$5,NFI,5,0),1,0)*Table_NFI[[#This Row],[Kitchen Set]],Table_NFI[Kitchen Set])</f>
        <v>#REF!</v>
      </c>
      <c r="AI528" s="532" t="e">
        <f>IF(NFI_Expiration=1,IF(#REF!&lt;VLOOKUP(R$5,NFI,5,0),1,0)*Table_NFI[[#This Row],[Clothes Kit]],Table_NFI[Clothes Kit])</f>
        <v>#REF!</v>
      </c>
      <c r="AJ528" s="532" t="e">
        <f>IF(NFI_Expiration=1,IF(#REF!&lt;VLOOKUP(S$5,NFI,5,0),1,0)*Table_NFI[[#This Row],[Plastic Bucket]],Table_NFI[Plastic Bucket])</f>
        <v>#REF!</v>
      </c>
      <c r="AK528" s="532" t="e">
        <f>IF(NFI_Expiration=1,IF(#REF!&lt;VLOOKUP(T$5,NFI,5,0),1,0)*Table_NFI[[#This Row],[Plastic Mat]],Table_NFI[Plastic Mat])*IF(Table_NFI[[#This Row],[Distribution Date]]&gt;"2014-04-01",1,2.5)</f>
        <v>#REF!</v>
      </c>
      <c r="AL528" s="532" t="e">
        <f>IF(NFI_Expiration=1,IF(#REF!&lt;VLOOKUP(U$5,NFI,5,0),1,0)*Table_NFI[[#This Row],[Winter Clothes Adult]],Table_NFI[Winter Clothes Adult])</f>
        <v>#REF!</v>
      </c>
      <c r="AM528" s="532"/>
      <c r="AN528" s="532"/>
      <c r="AO528" s="532"/>
      <c r="AP528" s="532">
        <f>IF(Table_NFI[[#This Row],[Winter Clothes Adult]]+Table_NFI[[#This Row],[Winter Clothes Children]]+Table_NFI[[#This Row],[Winter Items Other]]+Table_NFI[[#This Row],[Winter Blanket]]&gt;0,1,0)</f>
        <v>1</v>
      </c>
      <c r="AQ528" s="532"/>
      <c r="AR528" s="532"/>
      <c r="AS528" s="532"/>
      <c r="AT528" s="532"/>
      <c r="AU528" s="532"/>
      <c r="AV528" s="532"/>
      <c r="AW528" s="532"/>
      <c r="AX528" s="203" t="str">
        <f>IFERROR(VLOOKUP(Table_NFI[[#This Row],[Location]],CL,2,0),"")</f>
        <v/>
      </c>
      <c r="AZ528" s="524"/>
      <c r="DS528" s="181"/>
      <c r="DT528" s="181"/>
    </row>
    <row r="529" spans="2:124" hidden="1" x14ac:dyDescent="0.25">
      <c r="B529" s="530">
        <v>43437</v>
      </c>
      <c r="C529" s="530" t="str">
        <f>MONTH(Table_NFI[[#This Row],[Distribution Date]]) &amp; "/" &amp; YEAR(Table_NFI[[#This Row],[Distribution Date]])</f>
        <v>12/2018</v>
      </c>
      <c r="D529" s="629" t="s">
        <v>1916</v>
      </c>
      <c r="E529" s="629" t="s">
        <v>1916</v>
      </c>
      <c r="F529" s="196" t="s">
        <v>378</v>
      </c>
      <c r="G529" s="196" t="s">
        <v>746</v>
      </c>
      <c r="H529" s="196" t="s">
        <v>1854</v>
      </c>
      <c r="I529" s="181"/>
      <c r="J529" s="531"/>
      <c r="K529" s="531"/>
      <c r="L529" s="531"/>
      <c r="M529" s="531"/>
      <c r="N529" s="531"/>
      <c r="O529" s="531"/>
      <c r="P529" s="531"/>
      <c r="Q529" s="531"/>
      <c r="R529" s="531"/>
      <c r="S529" s="531"/>
      <c r="T529" s="531">
        <v>26</v>
      </c>
      <c r="U529" s="805">
        <v>52</v>
      </c>
      <c r="V529" s="805">
        <v>104</v>
      </c>
      <c r="W529" s="531">
        <v>26</v>
      </c>
      <c r="X529" s="531">
        <v>26</v>
      </c>
      <c r="Y529" s="531"/>
      <c r="Z529" s="531">
        <v>13</v>
      </c>
      <c r="AA529" s="531"/>
      <c r="AB529" s="531"/>
      <c r="AC529" s="532" t="e">
        <f>IF(NFI_Expiration=1,IF(#REF!&lt;VLOOKUP(L$5,NFI,5,0),1,0)*Table_NFI[[#This Row],[NFI Core Kit]],Table_NFI[NFI Core Kit])</f>
        <v>#REF!</v>
      </c>
      <c r="AD529" s="532" t="e">
        <f>IF(NFI_Expiration=1,IF(#REF!&lt;VLOOKUP(M$5,NFI,5,0),1,0)*Table_NFI[[#This Row],[Sanitary Kit]],Table_NFI[Sanitary Kit])</f>
        <v>#REF!</v>
      </c>
      <c r="AE529" s="532" t="e">
        <f>IF(NFI_Expiration=1,IF(#REF!&lt;VLOOKUP(N$5,NFI,5,0),1,0)*Table_NFI[[#This Row],[Mosquito net]],Table_NFI[Mosquito net])</f>
        <v>#REF!</v>
      </c>
      <c r="AF529" s="532" t="e">
        <f>IF(NFI_Expiration=1,IF(#REF!&lt;VLOOKUP(O$5,NFI,5,0),1,0)*Table_NFI[[#This Row],[Tarpaulin]],Table_NFI[[#This Row],[Tarpaulin]])</f>
        <v>#REF!</v>
      </c>
      <c r="AG529" s="532" t="e">
        <f>IF(NFI_Expiration=1,IF(#REF!&lt;VLOOKUP(P$5,NFI,5,0),1,0)*Table_NFI[[#This Row],[Blanket]],Table_NFI[[#This Row],[Blanket]])</f>
        <v>#REF!</v>
      </c>
      <c r="AH529" s="532" t="e">
        <f>IF(NFI_Expiration=1,IF(#REF!&lt;VLOOKUP(Q$5,NFI,5,0),1,0)*Table_NFI[[#This Row],[Kitchen Set]],Table_NFI[Kitchen Set])</f>
        <v>#REF!</v>
      </c>
      <c r="AI529" s="532" t="e">
        <f>IF(NFI_Expiration=1,IF(#REF!&lt;VLOOKUP(R$5,NFI,5,0),1,0)*Table_NFI[[#This Row],[Clothes Kit]],Table_NFI[Clothes Kit])</f>
        <v>#REF!</v>
      </c>
      <c r="AJ529" s="532" t="e">
        <f>IF(NFI_Expiration=1,IF(#REF!&lt;VLOOKUP(S$5,NFI,5,0),1,0)*Table_NFI[[#This Row],[Plastic Bucket]],Table_NFI[Plastic Bucket])</f>
        <v>#REF!</v>
      </c>
      <c r="AK529" s="532" t="e">
        <f>IF(NFI_Expiration=1,IF(#REF!&lt;VLOOKUP(T$5,NFI,5,0),1,0)*Table_NFI[[#This Row],[Plastic Mat]],Table_NFI[Plastic Mat])*IF(Table_NFI[[#This Row],[Distribution Date]]&gt;"2014-04-01",1,2.5)</f>
        <v>#REF!</v>
      </c>
      <c r="AL529" s="532" t="e">
        <f>IF(NFI_Expiration=1,IF(#REF!&lt;VLOOKUP(U$5,NFI,5,0),1,0)*Table_NFI[[#This Row],[Winter Clothes Adult]],Table_NFI[Winter Clothes Adult])</f>
        <v>#REF!</v>
      </c>
      <c r="AM529" s="532"/>
      <c r="AN529" s="532"/>
      <c r="AO529" s="532"/>
      <c r="AP529" s="532">
        <f>IF(Table_NFI[[#This Row],[Winter Clothes Adult]]+Table_NFI[[#This Row],[Winter Clothes Children]]+Table_NFI[[#This Row],[Winter Items Other]]+Table_NFI[[#This Row],[Winter Blanket]]&gt;0,1,0)</f>
        <v>1</v>
      </c>
      <c r="AQ529" s="532"/>
      <c r="AR529" s="532"/>
      <c r="AS529" s="532"/>
      <c r="AT529" s="532"/>
      <c r="AU529" s="532"/>
      <c r="AV529" s="532"/>
      <c r="AW529" s="532"/>
      <c r="AX529" s="203" t="str">
        <f>IFERROR(VLOOKUP(Table_NFI[[#This Row],[Location]],CL,2,0),"")</f>
        <v/>
      </c>
      <c r="AZ529" s="524"/>
      <c r="DS529" s="181"/>
      <c r="DT529" s="181"/>
    </row>
    <row r="530" spans="2:124" hidden="1" x14ac:dyDescent="0.25">
      <c r="B530" s="530">
        <v>43438</v>
      </c>
      <c r="C530" s="530" t="str">
        <f>MONTH(Table_NFI[[#This Row],[Distribution Date]]) &amp; "/" &amp; YEAR(Table_NFI[[#This Row],[Distribution Date]])</f>
        <v>12/2018</v>
      </c>
      <c r="D530" s="629" t="s">
        <v>1916</v>
      </c>
      <c r="E530" s="629" t="s">
        <v>1916</v>
      </c>
      <c r="F530" s="196" t="s">
        <v>378</v>
      </c>
      <c r="G530" s="196" t="s">
        <v>746</v>
      </c>
      <c r="H530" s="196" t="s">
        <v>1855</v>
      </c>
      <c r="I530" s="181"/>
      <c r="J530" s="531"/>
      <c r="K530" s="531"/>
      <c r="L530" s="531"/>
      <c r="M530" s="531"/>
      <c r="N530" s="531"/>
      <c r="O530" s="531"/>
      <c r="P530" s="531"/>
      <c r="Q530" s="531"/>
      <c r="R530" s="531"/>
      <c r="S530" s="531"/>
      <c r="T530" s="531">
        <v>44</v>
      </c>
      <c r="U530" s="805">
        <v>88</v>
      </c>
      <c r="V530" s="805">
        <v>176</v>
      </c>
      <c r="W530" s="531">
        <v>44</v>
      </c>
      <c r="X530" s="531">
        <v>44</v>
      </c>
      <c r="Y530" s="531"/>
      <c r="Z530" s="531">
        <v>22</v>
      </c>
      <c r="AA530" s="531"/>
      <c r="AB530" s="531"/>
      <c r="AC530" s="532" t="e">
        <f>IF(NFI_Expiration=1,IF(#REF!&lt;VLOOKUP(L$5,NFI,5,0),1,0)*Table_NFI[[#This Row],[NFI Core Kit]],Table_NFI[NFI Core Kit])</f>
        <v>#REF!</v>
      </c>
      <c r="AD530" s="532" t="e">
        <f>IF(NFI_Expiration=1,IF(#REF!&lt;VLOOKUP(M$5,NFI,5,0),1,0)*Table_NFI[[#This Row],[Sanitary Kit]],Table_NFI[Sanitary Kit])</f>
        <v>#REF!</v>
      </c>
      <c r="AE530" s="532" t="e">
        <f>IF(NFI_Expiration=1,IF(#REF!&lt;VLOOKUP(N$5,NFI,5,0),1,0)*Table_NFI[[#This Row],[Mosquito net]],Table_NFI[Mosquito net])</f>
        <v>#REF!</v>
      </c>
      <c r="AF530" s="532" t="e">
        <f>IF(NFI_Expiration=1,IF(#REF!&lt;VLOOKUP(O$5,NFI,5,0),1,0)*Table_NFI[[#This Row],[Tarpaulin]],Table_NFI[[#This Row],[Tarpaulin]])</f>
        <v>#REF!</v>
      </c>
      <c r="AG530" s="532" t="e">
        <f>IF(NFI_Expiration=1,IF(#REF!&lt;VLOOKUP(P$5,NFI,5,0),1,0)*Table_NFI[[#This Row],[Blanket]],Table_NFI[[#This Row],[Blanket]])</f>
        <v>#REF!</v>
      </c>
      <c r="AH530" s="532" t="e">
        <f>IF(NFI_Expiration=1,IF(#REF!&lt;VLOOKUP(Q$5,NFI,5,0),1,0)*Table_NFI[[#This Row],[Kitchen Set]],Table_NFI[Kitchen Set])</f>
        <v>#REF!</v>
      </c>
      <c r="AI530" s="532" t="e">
        <f>IF(NFI_Expiration=1,IF(#REF!&lt;VLOOKUP(R$5,NFI,5,0),1,0)*Table_NFI[[#This Row],[Clothes Kit]],Table_NFI[Clothes Kit])</f>
        <v>#REF!</v>
      </c>
      <c r="AJ530" s="532" t="e">
        <f>IF(NFI_Expiration=1,IF(#REF!&lt;VLOOKUP(S$5,NFI,5,0),1,0)*Table_NFI[[#This Row],[Plastic Bucket]],Table_NFI[Plastic Bucket])</f>
        <v>#REF!</v>
      </c>
      <c r="AK530" s="532" t="e">
        <f>IF(NFI_Expiration=1,IF(#REF!&lt;VLOOKUP(T$5,NFI,5,0),1,0)*Table_NFI[[#This Row],[Plastic Mat]],Table_NFI[Plastic Mat])*IF(Table_NFI[[#This Row],[Distribution Date]]&gt;"2014-04-01",1,2.5)</f>
        <v>#REF!</v>
      </c>
      <c r="AL530" s="532" t="e">
        <f>IF(NFI_Expiration=1,IF(#REF!&lt;VLOOKUP(U$5,NFI,5,0),1,0)*Table_NFI[[#This Row],[Winter Clothes Adult]],Table_NFI[Winter Clothes Adult])</f>
        <v>#REF!</v>
      </c>
      <c r="AM530" s="532"/>
      <c r="AN530" s="532"/>
      <c r="AO530" s="532"/>
      <c r="AP530" s="532">
        <f>IF(Table_NFI[[#This Row],[Winter Clothes Adult]]+Table_NFI[[#This Row],[Winter Clothes Children]]+Table_NFI[[#This Row],[Winter Items Other]]+Table_NFI[[#This Row],[Winter Blanket]]&gt;0,1,0)</f>
        <v>1</v>
      </c>
      <c r="AQ530" s="532"/>
      <c r="AR530" s="532"/>
      <c r="AS530" s="532"/>
      <c r="AT530" s="532"/>
      <c r="AU530" s="532"/>
      <c r="AV530" s="532"/>
      <c r="AW530" s="532"/>
      <c r="AX530" s="203" t="str">
        <f>IFERROR(VLOOKUP(Table_NFI[[#This Row],[Location]],CL,2,0),"")</f>
        <v/>
      </c>
      <c r="AZ530" s="524"/>
      <c r="DS530" s="181"/>
      <c r="DT530" s="181"/>
    </row>
    <row r="531" spans="2:124" hidden="1" x14ac:dyDescent="0.25">
      <c r="B531" s="530">
        <v>43438</v>
      </c>
      <c r="C531" s="530" t="str">
        <f>MONTH(Table_NFI[[#This Row],[Distribution Date]]) &amp; "/" &amp; YEAR(Table_NFI[[#This Row],[Distribution Date]])</f>
        <v>12/2018</v>
      </c>
      <c r="D531" s="629" t="s">
        <v>1916</v>
      </c>
      <c r="E531" s="629" t="s">
        <v>1916</v>
      </c>
      <c r="F531" s="196" t="s">
        <v>378</v>
      </c>
      <c r="G531" s="196" t="s">
        <v>746</v>
      </c>
      <c r="H531" s="196" t="s">
        <v>1856</v>
      </c>
      <c r="I531" s="181"/>
      <c r="J531" s="531"/>
      <c r="K531" s="531"/>
      <c r="L531" s="531"/>
      <c r="M531" s="531"/>
      <c r="N531" s="531"/>
      <c r="O531" s="531"/>
      <c r="P531" s="531"/>
      <c r="Q531" s="531"/>
      <c r="R531" s="531"/>
      <c r="S531" s="531"/>
      <c r="T531" s="531">
        <v>16</v>
      </c>
      <c r="U531" s="805">
        <v>32</v>
      </c>
      <c r="V531" s="805">
        <v>64</v>
      </c>
      <c r="W531" s="531">
        <v>16</v>
      </c>
      <c r="X531" s="531">
        <v>16</v>
      </c>
      <c r="Y531" s="531"/>
      <c r="Z531" s="531">
        <v>8</v>
      </c>
      <c r="AA531" s="531"/>
      <c r="AB531" s="531"/>
      <c r="AC531" s="532" t="e">
        <f>IF(NFI_Expiration=1,IF(#REF!&lt;VLOOKUP(L$5,NFI,5,0),1,0)*Table_NFI[[#This Row],[NFI Core Kit]],Table_NFI[NFI Core Kit])</f>
        <v>#REF!</v>
      </c>
      <c r="AD531" s="532" t="e">
        <f>IF(NFI_Expiration=1,IF(#REF!&lt;VLOOKUP(M$5,NFI,5,0),1,0)*Table_NFI[[#This Row],[Sanitary Kit]],Table_NFI[Sanitary Kit])</f>
        <v>#REF!</v>
      </c>
      <c r="AE531" s="532" t="e">
        <f>IF(NFI_Expiration=1,IF(#REF!&lt;VLOOKUP(N$5,NFI,5,0),1,0)*Table_NFI[[#This Row],[Mosquito net]],Table_NFI[Mosquito net])</f>
        <v>#REF!</v>
      </c>
      <c r="AF531" s="532" t="e">
        <f>IF(NFI_Expiration=1,IF(#REF!&lt;VLOOKUP(O$5,NFI,5,0),1,0)*Table_NFI[[#This Row],[Tarpaulin]],Table_NFI[[#This Row],[Tarpaulin]])</f>
        <v>#REF!</v>
      </c>
      <c r="AG531" s="532" t="e">
        <f>IF(NFI_Expiration=1,IF(#REF!&lt;VLOOKUP(P$5,NFI,5,0),1,0)*Table_NFI[[#This Row],[Blanket]],Table_NFI[[#This Row],[Blanket]])</f>
        <v>#REF!</v>
      </c>
      <c r="AH531" s="532" t="e">
        <f>IF(NFI_Expiration=1,IF(#REF!&lt;VLOOKUP(Q$5,NFI,5,0),1,0)*Table_NFI[[#This Row],[Kitchen Set]],Table_NFI[Kitchen Set])</f>
        <v>#REF!</v>
      </c>
      <c r="AI531" s="532" t="e">
        <f>IF(NFI_Expiration=1,IF(#REF!&lt;VLOOKUP(R$5,NFI,5,0),1,0)*Table_NFI[[#This Row],[Clothes Kit]],Table_NFI[Clothes Kit])</f>
        <v>#REF!</v>
      </c>
      <c r="AJ531" s="532" t="e">
        <f>IF(NFI_Expiration=1,IF(#REF!&lt;VLOOKUP(S$5,NFI,5,0),1,0)*Table_NFI[[#This Row],[Plastic Bucket]],Table_NFI[Plastic Bucket])</f>
        <v>#REF!</v>
      </c>
      <c r="AK531" s="532" t="e">
        <f>IF(NFI_Expiration=1,IF(#REF!&lt;VLOOKUP(T$5,NFI,5,0),1,0)*Table_NFI[[#This Row],[Plastic Mat]],Table_NFI[Plastic Mat])*IF(Table_NFI[[#This Row],[Distribution Date]]&gt;"2014-04-01",1,2.5)</f>
        <v>#REF!</v>
      </c>
      <c r="AL531" s="532" t="e">
        <f>IF(NFI_Expiration=1,IF(#REF!&lt;VLOOKUP(U$5,NFI,5,0),1,0)*Table_NFI[[#This Row],[Winter Clothes Adult]],Table_NFI[Winter Clothes Adult])</f>
        <v>#REF!</v>
      </c>
      <c r="AM531" s="532"/>
      <c r="AN531" s="532"/>
      <c r="AO531" s="532"/>
      <c r="AP531" s="532">
        <f>IF(Table_NFI[[#This Row],[Winter Clothes Adult]]+Table_NFI[[#This Row],[Winter Clothes Children]]+Table_NFI[[#This Row],[Winter Items Other]]+Table_NFI[[#This Row],[Winter Blanket]]&gt;0,1,0)</f>
        <v>1</v>
      </c>
      <c r="AQ531" s="532"/>
      <c r="AR531" s="532"/>
      <c r="AS531" s="532"/>
      <c r="AT531" s="532"/>
      <c r="AU531" s="532"/>
      <c r="AV531" s="532"/>
      <c r="AW531" s="532"/>
      <c r="AX531" s="203" t="str">
        <f>IFERROR(VLOOKUP(Table_NFI[[#This Row],[Location]],CL,2,0),"")</f>
        <v/>
      </c>
      <c r="AZ531" s="524"/>
      <c r="DS531" s="181"/>
      <c r="DT531" s="181"/>
    </row>
    <row r="532" spans="2:124" hidden="1" x14ac:dyDescent="0.25">
      <c r="B532" s="530">
        <v>43439</v>
      </c>
      <c r="C532" s="530" t="str">
        <f>MONTH(Table_NFI[[#This Row],[Distribution Date]]) &amp; "/" &amp; YEAR(Table_NFI[[#This Row],[Distribution Date]])</f>
        <v>12/2018</v>
      </c>
      <c r="D532" s="629" t="s">
        <v>1916</v>
      </c>
      <c r="E532" s="629" t="s">
        <v>1916</v>
      </c>
      <c r="F532" s="196" t="s">
        <v>378</v>
      </c>
      <c r="G532" s="196" t="s">
        <v>746</v>
      </c>
      <c r="H532" s="196" t="s">
        <v>1857</v>
      </c>
      <c r="I532" s="181"/>
      <c r="J532" s="531"/>
      <c r="K532" s="531"/>
      <c r="L532" s="531"/>
      <c r="M532" s="531"/>
      <c r="N532" s="531"/>
      <c r="O532" s="531"/>
      <c r="P532" s="531"/>
      <c r="Q532" s="531"/>
      <c r="R532" s="531"/>
      <c r="S532" s="531"/>
      <c r="T532" s="531">
        <v>8</v>
      </c>
      <c r="U532" s="805">
        <v>16</v>
      </c>
      <c r="V532" s="805">
        <v>32</v>
      </c>
      <c r="W532" s="531">
        <v>8</v>
      </c>
      <c r="X532" s="531">
        <v>8</v>
      </c>
      <c r="Y532" s="531"/>
      <c r="Z532" s="531">
        <v>4</v>
      </c>
      <c r="AA532" s="531"/>
      <c r="AB532" s="531"/>
      <c r="AC532" s="532" t="e">
        <f>IF(NFI_Expiration=1,IF(#REF!&lt;VLOOKUP(L$5,NFI,5,0),1,0)*Table_NFI[[#This Row],[NFI Core Kit]],Table_NFI[NFI Core Kit])</f>
        <v>#REF!</v>
      </c>
      <c r="AD532" s="532" t="e">
        <f>IF(NFI_Expiration=1,IF(#REF!&lt;VLOOKUP(M$5,NFI,5,0),1,0)*Table_NFI[[#This Row],[Sanitary Kit]],Table_NFI[Sanitary Kit])</f>
        <v>#REF!</v>
      </c>
      <c r="AE532" s="532" t="e">
        <f>IF(NFI_Expiration=1,IF(#REF!&lt;VLOOKUP(N$5,NFI,5,0),1,0)*Table_NFI[[#This Row],[Mosquito net]],Table_NFI[Mosquito net])</f>
        <v>#REF!</v>
      </c>
      <c r="AF532" s="532" t="e">
        <f>IF(NFI_Expiration=1,IF(#REF!&lt;VLOOKUP(O$5,NFI,5,0),1,0)*Table_NFI[[#This Row],[Tarpaulin]],Table_NFI[[#This Row],[Tarpaulin]])</f>
        <v>#REF!</v>
      </c>
      <c r="AG532" s="532" t="e">
        <f>IF(NFI_Expiration=1,IF(#REF!&lt;VLOOKUP(P$5,NFI,5,0),1,0)*Table_NFI[[#This Row],[Blanket]],Table_NFI[[#This Row],[Blanket]])</f>
        <v>#REF!</v>
      </c>
      <c r="AH532" s="532" t="e">
        <f>IF(NFI_Expiration=1,IF(#REF!&lt;VLOOKUP(Q$5,NFI,5,0),1,0)*Table_NFI[[#This Row],[Kitchen Set]],Table_NFI[Kitchen Set])</f>
        <v>#REF!</v>
      </c>
      <c r="AI532" s="532" t="e">
        <f>IF(NFI_Expiration=1,IF(#REF!&lt;VLOOKUP(R$5,NFI,5,0),1,0)*Table_NFI[[#This Row],[Clothes Kit]],Table_NFI[Clothes Kit])</f>
        <v>#REF!</v>
      </c>
      <c r="AJ532" s="532" t="e">
        <f>IF(NFI_Expiration=1,IF(#REF!&lt;VLOOKUP(S$5,NFI,5,0),1,0)*Table_NFI[[#This Row],[Plastic Bucket]],Table_NFI[Plastic Bucket])</f>
        <v>#REF!</v>
      </c>
      <c r="AK532" s="532" t="e">
        <f>IF(NFI_Expiration=1,IF(#REF!&lt;VLOOKUP(T$5,NFI,5,0),1,0)*Table_NFI[[#This Row],[Plastic Mat]],Table_NFI[Plastic Mat])*IF(Table_NFI[[#This Row],[Distribution Date]]&gt;"2014-04-01",1,2.5)</f>
        <v>#REF!</v>
      </c>
      <c r="AL532" s="532" t="e">
        <f>IF(NFI_Expiration=1,IF(#REF!&lt;VLOOKUP(U$5,NFI,5,0),1,0)*Table_NFI[[#This Row],[Winter Clothes Adult]],Table_NFI[Winter Clothes Adult])</f>
        <v>#REF!</v>
      </c>
      <c r="AM532" s="532"/>
      <c r="AN532" s="532"/>
      <c r="AO532" s="532"/>
      <c r="AP532" s="532">
        <f>IF(Table_NFI[[#This Row],[Winter Clothes Adult]]+Table_NFI[[#This Row],[Winter Clothes Children]]+Table_NFI[[#This Row],[Winter Items Other]]+Table_NFI[[#This Row],[Winter Blanket]]&gt;0,1,0)</f>
        <v>1</v>
      </c>
      <c r="AQ532" s="532"/>
      <c r="AR532" s="532"/>
      <c r="AS532" s="532"/>
      <c r="AT532" s="532"/>
      <c r="AU532" s="532"/>
      <c r="AV532" s="532"/>
      <c r="AW532" s="532"/>
      <c r="AX532" s="203" t="str">
        <f>IFERROR(VLOOKUP(Table_NFI[[#This Row],[Location]],CL,2,0),"")</f>
        <v/>
      </c>
      <c r="AZ532" s="524"/>
      <c r="DS532" s="181"/>
      <c r="DT532" s="181"/>
    </row>
    <row r="533" spans="2:124" hidden="1" x14ac:dyDescent="0.25">
      <c r="B533" s="530">
        <v>43439</v>
      </c>
      <c r="C533" s="530" t="str">
        <f>MONTH(Table_NFI[[#This Row],[Distribution Date]]) &amp; "/" &amp; YEAR(Table_NFI[[#This Row],[Distribution Date]])</f>
        <v>12/2018</v>
      </c>
      <c r="D533" s="629" t="s">
        <v>1916</v>
      </c>
      <c r="E533" s="629" t="s">
        <v>1916</v>
      </c>
      <c r="F533" s="196" t="s">
        <v>378</v>
      </c>
      <c r="G533" s="196" t="s">
        <v>746</v>
      </c>
      <c r="H533" s="196" t="s">
        <v>1858</v>
      </c>
      <c r="I533" s="181"/>
      <c r="J533" s="531"/>
      <c r="K533" s="531"/>
      <c r="L533" s="531"/>
      <c r="M533" s="531"/>
      <c r="N533" s="531"/>
      <c r="O533" s="531"/>
      <c r="P533" s="531"/>
      <c r="Q533" s="531"/>
      <c r="R533" s="531"/>
      <c r="S533" s="531"/>
      <c r="T533" s="531">
        <v>82</v>
      </c>
      <c r="U533" s="805">
        <v>164</v>
      </c>
      <c r="V533" s="805">
        <v>328</v>
      </c>
      <c r="W533" s="531">
        <v>82</v>
      </c>
      <c r="X533" s="531">
        <v>82</v>
      </c>
      <c r="Y533" s="531"/>
      <c r="Z533" s="531">
        <v>41</v>
      </c>
      <c r="AA533" s="531"/>
      <c r="AB533" s="531"/>
      <c r="AC533" s="532" t="e">
        <f>IF(NFI_Expiration=1,IF(#REF!&lt;VLOOKUP(L$5,NFI,5,0),1,0)*Table_NFI[[#This Row],[NFI Core Kit]],Table_NFI[NFI Core Kit])</f>
        <v>#REF!</v>
      </c>
      <c r="AD533" s="532" t="e">
        <f>IF(NFI_Expiration=1,IF(#REF!&lt;VLOOKUP(M$5,NFI,5,0),1,0)*Table_NFI[[#This Row],[Sanitary Kit]],Table_NFI[Sanitary Kit])</f>
        <v>#REF!</v>
      </c>
      <c r="AE533" s="532" t="e">
        <f>IF(NFI_Expiration=1,IF(#REF!&lt;VLOOKUP(N$5,NFI,5,0),1,0)*Table_NFI[[#This Row],[Mosquito net]],Table_NFI[Mosquito net])</f>
        <v>#REF!</v>
      </c>
      <c r="AF533" s="532" t="e">
        <f>IF(NFI_Expiration=1,IF(#REF!&lt;VLOOKUP(O$5,NFI,5,0),1,0)*Table_NFI[[#This Row],[Tarpaulin]],Table_NFI[[#This Row],[Tarpaulin]])</f>
        <v>#REF!</v>
      </c>
      <c r="AG533" s="532" t="e">
        <f>IF(NFI_Expiration=1,IF(#REF!&lt;VLOOKUP(P$5,NFI,5,0),1,0)*Table_NFI[[#This Row],[Blanket]],Table_NFI[[#This Row],[Blanket]])</f>
        <v>#REF!</v>
      </c>
      <c r="AH533" s="532" t="e">
        <f>IF(NFI_Expiration=1,IF(#REF!&lt;VLOOKUP(Q$5,NFI,5,0),1,0)*Table_NFI[[#This Row],[Kitchen Set]],Table_NFI[Kitchen Set])</f>
        <v>#REF!</v>
      </c>
      <c r="AI533" s="532" t="e">
        <f>IF(NFI_Expiration=1,IF(#REF!&lt;VLOOKUP(R$5,NFI,5,0),1,0)*Table_NFI[[#This Row],[Clothes Kit]],Table_NFI[Clothes Kit])</f>
        <v>#REF!</v>
      </c>
      <c r="AJ533" s="532" t="e">
        <f>IF(NFI_Expiration=1,IF(#REF!&lt;VLOOKUP(S$5,NFI,5,0),1,0)*Table_NFI[[#This Row],[Plastic Bucket]],Table_NFI[Plastic Bucket])</f>
        <v>#REF!</v>
      </c>
      <c r="AK533" s="532" t="e">
        <f>IF(NFI_Expiration=1,IF(#REF!&lt;VLOOKUP(T$5,NFI,5,0),1,0)*Table_NFI[[#This Row],[Plastic Mat]],Table_NFI[Plastic Mat])*IF(Table_NFI[[#This Row],[Distribution Date]]&gt;"2014-04-01",1,2.5)</f>
        <v>#REF!</v>
      </c>
      <c r="AL533" s="532" t="e">
        <f>IF(NFI_Expiration=1,IF(#REF!&lt;VLOOKUP(U$5,NFI,5,0),1,0)*Table_NFI[[#This Row],[Winter Clothes Adult]],Table_NFI[Winter Clothes Adult])</f>
        <v>#REF!</v>
      </c>
      <c r="AM533" s="532"/>
      <c r="AN533" s="532"/>
      <c r="AO533" s="532"/>
      <c r="AP533" s="532">
        <f>IF(Table_NFI[[#This Row],[Winter Clothes Adult]]+Table_NFI[[#This Row],[Winter Clothes Children]]+Table_NFI[[#This Row],[Winter Items Other]]+Table_NFI[[#This Row],[Winter Blanket]]&gt;0,1,0)</f>
        <v>1</v>
      </c>
      <c r="AQ533" s="532"/>
      <c r="AR533" s="532"/>
      <c r="AS533" s="532"/>
      <c r="AT533" s="532"/>
      <c r="AU533" s="532"/>
      <c r="AV533" s="532"/>
      <c r="AW533" s="532"/>
      <c r="AX533" s="203" t="str">
        <f>IFERROR(VLOOKUP(Table_NFI[[#This Row],[Location]],CL,2,0),"")</f>
        <v/>
      </c>
      <c r="AZ533" s="524"/>
      <c r="DS533" s="181"/>
      <c r="DT533" s="181"/>
    </row>
    <row r="534" spans="2:124" hidden="1" x14ac:dyDescent="0.25">
      <c r="B534" s="530">
        <v>43439</v>
      </c>
      <c r="C534" s="530" t="str">
        <f>MONTH(Table_NFI[[#This Row],[Distribution Date]]) &amp; "/" &amp; YEAR(Table_NFI[[#This Row],[Distribution Date]])</f>
        <v>12/2018</v>
      </c>
      <c r="D534" s="629" t="s">
        <v>1916</v>
      </c>
      <c r="E534" s="629" t="s">
        <v>1916</v>
      </c>
      <c r="F534" s="196" t="s">
        <v>378</v>
      </c>
      <c r="G534" s="196" t="s">
        <v>746</v>
      </c>
      <c r="H534" s="196" t="s">
        <v>1859</v>
      </c>
      <c r="I534" s="181"/>
      <c r="J534" s="531"/>
      <c r="K534" s="531"/>
      <c r="L534" s="531"/>
      <c r="M534" s="531"/>
      <c r="N534" s="531"/>
      <c r="O534" s="531"/>
      <c r="P534" s="531"/>
      <c r="Q534" s="531"/>
      <c r="R534" s="531"/>
      <c r="S534" s="531"/>
      <c r="T534" s="531">
        <v>4</v>
      </c>
      <c r="U534" s="805">
        <v>8</v>
      </c>
      <c r="V534" s="805">
        <v>16</v>
      </c>
      <c r="W534" s="531">
        <v>4</v>
      </c>
      <c r="X534" s="531">
        <v>4</v>
      </c>
      <c r="Y534" s="531"/>
      <c r="Z534" s="531">
        <v>2</v>
      </c>
      <c r="AA534" s="531"/>
      <c r="AB534" s="531"/>
      <c r="AC534" s="532" t="e">
        <f>IF(NFI_Expiration=1,IF(#REF!&lt;VLOOKUP(L$5,NFI,5,0),1,0)*Table_NFI[[#This Row],[NFI Core Kit]],Table_NFI[NFI Core Kit])</f>
        <v>#REF!</v>
      </c>
      <c r="AD534" s="532" t="e">
        <f>IF(NFI_Expiration=1,IF(#REF!&lt;VLOOKUP(M$5,NFI,5,0),1,0)*Table_NFI[[#This Row],[Sanitary Kit]],Table_NFI[Sanitary Kit])</f>
        <v>#REF!</v>
      </c>
      <c r="AE534" s="532" t="e">
        <f>IF(NFI_Expiration=1,IF(#REF!&lt;VLOOKUP(N$5,NFI,5,0),1,0)*Table_NFI[[#This Row],[Mosquito net]],Table_NFI[Mosquito net])</f>
        <v>#REF!</v>
      </c>
      <c r="AF534" s="532" t="e">
        <f>IF(NFI_Expiration=1,IF(#REF!&lt;VLOOKUP(O$5,NFI,5,0),1,0)*Table_NFI[[#This Row],[Tarpaulin]],Table_NFI[[#This Row],[Tarpaulin]])</f>
        <v>#REF!</v>
      </c>
      <c r="AG534" s="532" t="e">
        <f>IF(NFI_Expiration=1,IF(#REF!&lt;VLOOKUP(P$5,NFI,5,0),1,0)*Table_NFI[[#This Row],[Blanket]],Table_NFI[[#This Row],[Blanket]])</f>
        <v>#REF!</v>
      </c>
      <c r="AH534" s="532" t="e">
        <f>IF(NFI_Expiration=1,IF(#REF!&lt;VLOOKUP(Q$5,NFI,5,0),1,0)*Table_NFI[[#This Row],[Kitchen Set]],Table_NFI[Kitchen Set])</f>
        <v>#REF!</v>
      </c>
      <c r="AI534" s="532" t="e">
        <f>IF(NFI_Expiration=1,IF(#REF!&lt;VLOOKUP(R$5,NFI,5,0),1,0)*Table_NFI[[#This Row],[Clothes Kit]],Table_NFI[Clothes Kit])</f>
        <v>#REF!</v>
      </c>
      <c r="AJ534" s="532" t="e">
        <f>IF(NFI_Expiration=1,IF(#REF!&lt;VLOOKUP(S$5,NFI,5,0),1,0)*Table_NFI[[#This Row],[Plastic Bucket]],Table_NFI[Plastic Bucket])</f>
        <v>#REF!</v>
      </c>
      <c r="AK534" s="532" t="e">
        <f>IF(NFI_Expiration=1,IF(#REF!&lt;VLOOKUP(T$5,NFI,5,0),1,0)*Table_NFI[[#This Row],[Plastic Mat]],Table_NFI[Plastic Mat])*IF(Table_NFI[[#This Row],[Distribution Date]]&gt;"2014-04-01",1,2.5)</f>
        <v>#REF!</v>
      </c>
      <c r="AL534" s="532" t="e">
        <f>IF(NFI_Expiration=1,IF(#REF!&lt;VLOOKUP(U$5,NFI,5,0),1,0)*Table_NFI[[#This Row],[Winter Clothes Adult]],Table_NFI[Winter Clothes Adult])</f>
        <v>#REF!</v>
      </c>
      <c r="AM534" s="532"/>
      <c r="AN534" s="532"/>
      <c r="AO534" s="532"/>
      <c r="AP534" s="532">
        <f>IF(Table_NFI[[#This Row],[Winter Clothes Adult]]+Table_NFI[[#This Row],[Winter Clothes Children]]+Table_NFI[[#This Row],[Winter Items Other]]+Table_NFI[[#This Row],[Winter Blanket]]&gt;0,1,0)</f>
        <v>1</v>
      </c>
      <c r="AQ534" s="532"/>
      <c r="AR534" s="532"/>
      <c r="AS534" s="532"/>
      <c r="AT534" s="532"/>
      <c r="AU534" s="532"/>
      <c r="AV534" s="532"/>
      <c r="AW534" s="532"/>
      <c r="AX534" s="203" t="str">
        <f>IFERROR(VLOOKUP(Table_NFI[[#This Row],[Location]],CL,2,0),"")</f>
        <v/>
      </c>
      <c r="AZ534" s="524"/>
      <c r="DS534" s="181"/>
      <c r="DT534" s="181"/>
    </row>
    <row r="535" spans="2:124" hidden="1" x14ac:dyDescent="0.25">
      <c r="B535" s="530">
        <v>43439</v>
      </c>
      <c r="C535" s="530" t="str">
        <f>MONTH(Table_NFI[[#This Row],[Distribution Date]]) &amp; "/" &amp; YEAR(Table_NFI[[#This Row],[Distribution Date]])</f>
        <v>12/2018</v>
      </c>
      <c r="D535" s="629" t="s">
        <v>1916</v>
      </c>
      <c r="E535" s="629" t="s">
        <v>1916</v>
      </c>
      <c r="F535" s="196" t="s">
        <v>378</v>
      </c>
      <c r="G535" s="196" t="s">
        <v>746</v>
      </c>
      <c r="H535" s="196" t="s">
        <v>1860</v>
      </c>
      <c r="I535" s="181"/>
      <c r="J535" s="531"/>
      <c r="K535" s="531"/>
      <c r="L535" s="531"/>
      <c r="M535" s="531"/>
      <c r="N535" s="531"/>
      <c r="O535" s="531"/>
      <c r="P535" s="531"/>
      <c r="Q535" s="531"/>
      <c r="R535" s="531"/>
      <c r="S535" s="531"/>
      <c r="T535" s="531">
        <v>6</v>
      </c>
      <c r="U535" s="805">
        <v>12</v>
      </c>
      <c r="V535" s="805">
        <v>24</v>
      </c>
      <c r="W535" s="531">
        <v>6</v>
      </c>
      <c r="X535" s="531">
        <v>6</v>
      </c>
      <c r="Y535" s="531"/>
      <c r="Z535" s="531">
        <v>3</v>
      </c>
      <c r="AA535" s="531"/>
      <c r="AB535" s="531"/>
      <c r="AC535" s="532" t="e">
        <f>IF(NFI_Expiration=1,IF(#REF!&lt;VLOOKUP(L$5,NFI,5,0),1,0)*Table_NFI[[#This Row],[NFI Core Kit]],Table_NFI[NFI Core Kit])</f>
        <v>#REF!</v>
      </c>
      <c r="AD535" s="532" t="e">
        <f>IF(NFI_Expiration=1,IF(#REF!&lt;VLOOKUP(M$5,NFI,5,0),1,0)*Table_NFI[[#This Row],[Sanitary Kit]],Table_NFI[Sanitary Kit])</f>
        <v>#REF!</v>
      </c>
      <c r="AE535" s="532" t="e">
        <f>IF(NFI_Expiration=1,IF(#REF!&lt;VLOOKUP(N$5,NFI,5,0),1,0)*Table_NFI[[#This Row],[Mosquito net]],Table_NFI[Mosquito net])</f>
        <v>#REF!</v>
      </c>
      <c r="AF535" s="532" t="e">
        <f>IF(NFI_Expiration=1,IF(#REF!&lt;VLOOKUP(O$5,NFI,5,0),1,0)*Table_NFI[[#This Row],[Tarpaulin]],Table_NFI[[#This Row],[Tarpaulin]])</f>
        <v>#REF!</v>
      </c>
      <c r="AG535" s="532" t="e">
        <f>IF(NFI_Expiration=1,IF(#REF!&lt;VLOOKUP(P$5,NFI,5,0),1,0)*Table_NFI[[#This Row],[Blanket]],Table_NFI[[#This Row],[Blanket]])</f>
        <v>#REF!</v>
      </c>
      <c r="AH535" s="532" t="e">
        <f>IF(NFI_Expiration=1,IF(#REF!&lt;VLOOKUP(Q$5,NFI,5,0),1,0)*Table_NFI[[#This Row],[Kitchen Set]],Table_NFI[Kitchen Set])</f>
        <v>#REF!</v>
      </c>
      <c r="AI535" s="532" t="e">
        <f>IF(NFI_Expiration=1,IF(#REF!&lt;VLOOKUP(R$5,NFI,5,0),1,0)*Table_NFI[[#This Row],[Clothes Kit]],Table_NFI[Clothes Kit])</f>
        <v>#REF!</v>
      </c>
      <c r="AJ535" s="532" t="e">
        <f>IF(NFI_Expiration=1,IF(#REF!&lt;VLOOKUP(S$5,NFI,5,0),1,0)*Table_NFI[[#This Row],[Plastic Bucket]],Table_NFI[Plastic Bucket])</f>
        <v>#REF!</v>
      </c>
      <c r="AK535" s="532" t="e">
        <f>IF(NFI_Expiration=1,IF(#REF!&lt;VLOOKUP(T$5,NFI,5,0),1,0)*Table_NFI[[#This Row],[Plastic Mat]],Table_NFI[Plastic Mat])*IF(Table_NFI[[#This Row],[Distribution Date]]&gt;"2014-04-01",1,2.5)</f>
        <v>#REF!</v>
      </c>
      <c r="AL535" s="532" t="e">
        <f>IF(NFI_Expiration=1,IF(#REF!&lt;VLOOKUP(U$5,NFI,5,0),1,0)*Table_NFI[[#This Row],[Winter Clothes Adult]],Table_NFI[Winter Clothes Adult])</f>
        <v>#REF!</v>
      </c>
      <c r="AM535" s="532"/>
      <c r="AN535" s="532"/>
      <c r="AO535" s="532"/>
      <c r="AP535" s="532">
        <f>IF(Table_NFI[[#This Row],[Winter Clothes Adult]]+Table_NFI[[#This Row],[Winter Clothes Children]]+Table_NFI[[#This Row],[Winter Items Other]]+Table_NFI[[#This Row],[Winter Blanket]]&gt;0,1,0)</f>
        <v>1</v>
      </c>
      <c r="AQ535" s="532"/>
      <c r="AR535" s="532"/>
      <c r="AS535" s="532"/>
      <c r="AT535" s="532"/>
      <c r="AU535" s="532"/>
      <c r="AV535" s="532"/>
      <c r="AW535" s="532"/>
      <c r="AX535" s="203" t="str">
        <f>IFERROR(VLOOKUP(Table_NFI[[#This Row],[Location]],CL,2,0),"")</f>
        <v/>
      </c>
      <c r="AZ535" s="524"/>
      <c r="DS535" s="181"/>
      <c r="DT535" s="181"/>
    </row>
    <row r="536" spans="2:124" hidden="1" x14ac:dyDescent="0.25">
      <c r="B536" s="530">
        <v>43439</v>
      </c>
      <c r="C536" s="530" t="str">
        <f>MONTH(Table_NFI[[#This Row],[Distribution Date]]) &amp; "/" &amp; YEAR(Table_NFI[[#This Row],[Distribution Date]])</f>
        <v>12/2018</v>
      </c>
      <c r="D536" s="629" t="s">
        <v>1916</v>
      </c>
      <c r="E536" s="629" t="s">
        <v>1916</v>
      </c>
      <c r="F536" s="196" t="s">
        <v>378</v>
      </c>
      <c r="G536" s="196" t="s">
        <v>746</v>
      </c>
      <c r="H536" s="196" t="s">
        <v>1861</v>
      </c>
      <c r="I536" s="181"/>
      <c r="J536" s="531"/>
      <c r="K536" s="531"/>
      <c r="L536" s="531"/>
      <c r="M536" s="531"/>
      <c r="N536" s="531"/>
      <c r="O536" s="531"/>
      <c r="P536" s="531"/>
      <c r="Q536" s="531"/>
      <c r="R536" s="531"/>
      <c r="S536" s="531"/>
      <c r="T536" s="531">
        <v>18</v>
      </c>
      <c r="U536" s="805">
        <v>36</v>
      </c>
      <c r="V536" s="805">
        <v>72</v>
      </c>
      <c r="W536" s="531">
        <v>18</v>
      </c>
      <c r="X536" s="531">
        <v>18</v>
      </c>
      <c r="Y536" s="531"/>
      <c r="Z536" s="531">
        <v>9</v>
      </c>
      <c r="AA536" s="531"/>
      <c r="AB536" s="531"/>
      <c r="AC536" s="532" t="e">
        <f>IF(NFI_Expiration=1,IF(#REF!&lt;VLOOKUP(L$5,NFI,5,0),1,0)*Table_NFI[[#This Row],[NFI Core Kit]],Table_NFI[NFI Core Kit])</f>
        <v>#REF!</v>
      </c>
      <c r="AD536" s="532" t="e">
        <f>IF(NFI_Expiration=1,IF(#REF!&lt;VLOOKUP(M$5,NFI,5,0),1,0)*Table_NFI[[#This Row],[Sanitary Kit]],Table_NFI[Sanitary Kit])</f>
        <v>#REF!</v>
      </c>
      <c r="AE536" s="532" t="e">
        <f>IF(NFI_Expiration=1,IF(#REF!&lt;VLOOKUP(N$5,NFI,5,0),1,0)*Table_NFI[[#This Row],[Mosquito net]],Table_NFI[Mosquito net])</f>
        <v>#REF!</v>
      </c>
      <c r="AF536" s="532" t="e">
        <f>IF(NFI_Expiration=1,IF(#REF!&lt;VLOOKUP(O$5,NFI,5,0),1,0)*Table_NFI[[#This Row],[Tarpaulin]],Table_NFI[[#This Row],[Tarpaulin]])</f>
        <v>#REF!</v>
      </c>
      <c r="AG536" s="532" t="e">
        <f>IF(NFI_Expiration=1,IF(#REF!&lt;VLOOKUP(P$5,NFI,5,0),1,0)*Table_NFI[[#This Row],[Blanket]],Table_NFI[[#This Row],[Blanket]])</f>
        <v>#REF!</v>
      </c>
      <c r="AH536" s="532" t="e">
        <f>IF(NFI_Expiration=1,IF(#REF!&lt;VLOOKUP(Q$5,NFI,5,0),1,0)*Table_NFI[[#This Row],[Kitchen Set]],Table_NFI[Kitchen Set])</f>
        <v>#REF!</v>
      </c>
      <c r="AI536" s="532" t="e">
        <f>IF(NFI_Expiration=1,IF(#REF!&lt;VLOOKUP(R$5,NFI,5,0),1,0)*Table_NFI[[#This Row],[Clothes Kit]],Table_NFI[Clothes Kit])</f>
        <v>#REF!</v>
      </c>
      <c r="AJ536" s="532" t="e">
        <f>IF(NFI_Expiration=1,IF(#REF!&lt;VLOOKUP(S$5,NFI,5,0),1,0)*Table_NFI[[#This Row],[Plastic Bucket]],Table_NFI[Plastic Bucket])</f>
        <v>#REF!</v>
      </c>
      <c r="AK536" s="532" t="e">
        <f>IF(NFI_Expiration=1,IF(#REF!&lt;VLOOKUP(T$5,NFI,5,0),1,0)*Table_NFI[[#This Row],[Plastic Mat]],Table_NFI[Plastic Mat])*IF(Table_NFI[[#This Row],[Distribution Date]]&gt;"2014-04-01",1,2.5)</f>
        <v>#REF!</v>
      </c>
      <c r="AL536" s="532" t="e">
        <f>IF(NFI_Expiration=1,IF(#REF!&lt;VLOOKUP(U$5,NFI,5,0),1,0)*Table_NFI[[#This Row],[Winter Clothes Adult]],Table_NFI[Winter Clothes Adult])</f>
        <v>#REF!</v>
      </c>
      <c r="AM536" s="532"/>
      <c r="AN536" s="532"/>
      <c r="AO536" s="532"/>
      <c r="AP536" s="532">
        <f>IF(Table_NFI[[#This Row],[Winter Clothes Adult]]+Table_NFI[[#This Row],[Winter Clothes Children]]+Table_NFI[[#This Row],[Winter Items Other]]+Table_NFI[[#This Row],[Winter Blanket]]&gt;0,1,0)</f>
        <v>1</v>
      </c>
      <c r="AQ536" s="532"/>
      <c r="AR536" s="532"/>
      <c r="AS536" s="532"/>
      <c r="AT536" s="532"/>
      <c r="AU536" s="532"/>
      <c r="AV536" s="532"/>
      <c r="AW536" s="532"/>
      <c r="AX536" s="203" t="str">
        <f>IFERROR(VLOOKUP(Table_NFI[[#This Row],[Location]],CL,2,0),"")</f>
        <v/>
      </c>
      <c r="AZ536" s="524"/>
      <c r="DS536" s="181"/>
      <c r="DT536" s="181"/>
    </row>
    <row r="537" spans="2:124" hidden="1" x14ac:dyDescent="0.25">
      <c r="B537" s="530">
        <v>43440</v>
      </c>
      <c r="C537" s="530" t="str">
        <f>MONTH(Table_NFI[[#This Row],[Distribution Date]]) &amp; "/" &amp; YEAR(Table_NFI[[#This Row],[Distribution Date]])</f>
        <v>12/2018</v>
      </c>
      <c r="D537" s="629" t="s">
        <v>1916</v>
      </c>
      <c r="E537" s="629" t="s">
        <v>1916</v>
      </c>
      <c r="F537" s="196" t="s">
        <v>378</v>
      </c>
      <c r="G537" s="196" t="s">
        <v>746</v>
      </c>
      <c r="H537" s="196" t="s">
        <v>1862</v>
      </c>
      <c r="I537" s="181"/>
      <c r="J537" s="531"/>
      <c r="K537" s="531"/>
      <c r="L537" s="531"/>
      <c r="M537" s="531"/>
      <c r="N537" s="531"/>
      <c r="O537" s="531"/>
      <c r="P537" s="531"/>
      <c r="Q537" s="531"/>
      <c r="R537" s="531"/>
      <c r="S537" s="531"/>
      <c r="T537" s="531">
        <v>74</v>
      </c>
      <c r="U537" s="805">
        <v>148</v>
      </c>
      <c r="V537" s="805">
        <v>296</v>
      </c>
      <c r="W537" s="531">
        <v>74</v>
      </c>
      <c r="X537" s="531">
        <v>74</v>
      </c>
      <c r="Y537" s="531"/>
      <c r="Z537" s="531">
        <v>37</v>
      </c>
      <c r="AA537" s="531"/>
      <c r="AB537" s="531"/>
      <c r="AC537" s="532" t="e">
        <f>IF(NFI_Expiration=1,IF(#REF!&lt;VLOOKUP(L$5,NFI,5,0),1,0)*Table_NFI[[#This Row],[NFI Core Kit]],Table_NFI[NFI Core Kit])</f>
        <v>#REF!</v>
      </c>
      <c r="AD537" s="532" t="e">
        <f>IF(NFI_Expiration=1,IF(#REF!&lt;VLOOKUP(M$5,NFI,5,0),1,0)*Table_NFI[[#This Row],[Sanitary Kit]],Table_NFI[Sanitary Kit])</f>
        <v>#REF!</v>
      </c>
      <c r="AE537" s="532" t="e">
        <f>IF(NFI_Expiration=1,IF(#REF!&lt;VLOOKUP(N$5,NFI,5,0),1,0)*Table_NFI[[#This Row],[Mosquito net]],Table_NFI[Mosquito net])</f>
        <v>#REF!</v>
      </c>
      <c r="AF537" s="532" t="e">
        <f>IF(NFI_Expiration=1,IF(#REF!&lt;VLOOKUP(O$5,NFI,5,0),1,0)*Table_NFI[[#This Row],[Tarpaulin]],Table_NFI[[#This Row],[Tarpaulin]])</f>
        <v>#REF!</v>
      </c>
      <c r="AG537" s="532" t="e">
        <f>IF(NFI_Expiration=1,IF(#REF!&lt;VLOOKUP(P$5,NFI,5,0),1,0)*Table_NFI[[#This Row],[Blanket]],Table_NFI[[#This Row],[Blanket]])</f>
        <v>#REF!</v>
      </c>
      <c r="AH537" s="532" t="e">
        <f>IF(NFI_Expiration=1,IF(#REF!&lt;VLOOKUP(Q$5,NFI,5,0),1,0)*Table_NFI[[#This Row],[Kitchen Set]],Table_NFI[Kitchen Set])</f>
        <v>#REF!</v>
      </c>
      <c r="AI537" s="532" t="e">
        <f>IF(NFI_Expiration=1,IF(#REF!&lt;VLOOKUP(R$5,NFI,5,0),1,0)*Table_NFI[[#This Row],[Clothes Kit]],Table_NFI[Clothes Kit])</f>
        <v>#REF!</v>
      </c>
      <c r="AJ537" s="532" t="e">
        <f>IF(NFI_Expiration=1,IF(#REF!&lt;VLOOKUP(S$5,NFI,5,0),1,0)*Table_NFI[[#This Row],[Plastic Bucket]],Table_NFI[Plastic Bucket])</f>
        <v>#REF!</v>
      </c>
      <c r="AK537" s="532" t="e">
        <f>IF(NFI_Expiration=1,IF(#REF!&lt;VLOOKUP(T$5,NFI,5,0),1,0)*Table_NFI[[#This Row],[Plastic Mat]],Table_NFI[Plastic Mat])*IF(Table_NFI[[#This Row],[Distribution Date]]&gt;"2014-04-01",1,2.5)</f>
        <v>#REF!</v>
      </c>
      <c r="AL537" s="532" t="e">
        <f>IF(NFI_Expiration=1,IF(#REF!&lt;VLOOKUP(U$5,NFI,5,0),1,0)*Table_NFI[[#This Row],[Winter Clothes Adult]],Table_NFI[Winter Clothes Adult])</f>
        <v>#REF!</v>
      </c>
      <c r="AM537" s="532"/>
      <c r="AN537" s="532"/>
      <c r="AO537" s="532"/>
      <c r="AP537" s="532">
        <f>IF(Table_NFI[[#This Row],[Winter Clothes Adult]]+Table_NFI[[#This Row],[Winter Clothes Children]]+Table_NFI[[#This Row],[Winter Items Other]]+Table_NFI[[#This Row],[Winter Blanket]]&gt;0,1,0)</f>
        <v>1</v>
      </c>
      <c r="AQ537" s="532"/>
      <c r="AR537" s="532"/>
      <c r="AS537" s="532"/>
      <c r="AT537" s="532"/>
      <c r="AU537" s="532"/>
      <c r="AV537" s="532"/>
      <c r="AW537" s="532"/>
      <c r="AX537" s="203" t="str">
        <f>IFERROR(VLOOKUP(Table_NFI[[#This Row],[Location]],CL,2,0),"")</f>
        <v/>
      </c>
      <c r="AZ537" s="524"/>
      <c r="DS537" s="181"/>
      <c r="DT537" s="181"/>
    </row>
    <row r="538" spans="2:124" hidden="1" x14ac:dyDescent="0.25">
      <c r="B538" s="530">
        <v>43440</v>
      </c>
      <c r="C538" s="530" t="str">
        <f>MONTH(Table_NFI[[#This Row],[Distribution Date]]) &amp; "/" &amp; YEAR(Table_NFI[[#This Row],[Distribution Date]])</f>
        <v>12/2018</v>
      </c>
      <c r="D538" s="629" t="s">
        <v>1916</v>
      </c>
      <c r="E538" s="629" t="s">
        <v>1916</v>
      </c>
      <c r="F538" s="196" t="s">
        <v>378</v>
      </c>
      <c r="G538" s="196" t="s">
        <v>746</v>
      </c>
      <c r="H538" s="196" t="s">
        <v>1863</v>
      </c>
      <c r="I538" s="181"/>
      <c r="J538" s="531"/>
      <c r="K538" s="531"/>
      <c r="L538" s="531"/>
      <c r="M538" s="531"/>
      <c r="N538" s="531"/>
      <c r="O538" s="531"/>
      <c r="P538" s="531"/>
      <c r="Q538" s="531"/>
      <c r="R538" s="531"/>
      <c r="S538" s="531"/>
      <c r="T538" s="531">
        <v>26</v>
      </c>
      <c r="U538" s="805">
        <v>52</v>
      </c>
      <c r="V538" s="805">
        <v>104</v>
      </c>
      <c r="W538" s="531">
        <v>26</v>
      </c>
      <c r="X538" s="531">
        <v>26</v>
      </c>
      <c r="Y538" s="531"/>
      <c r="Z538" s="531">
        <v>13</v>
      </c>
      <c r="AA538" s="531"/>
      <c r="AB538" s="531"/>
      <c r="AC538" s="532" t="e">
        <f>IF(NFI_Expiration=1,IF(#REF!&lt;VLOOKUP(L$5,NFI,5,0),1,0)*Table_NFI[[#This Row],[NFI Core Kit]],Table_NFI[NFI Core Kit])</f>
        <v>#REF!</v>
      </c>
      <c r="AD538" s="532" t="e">
        <f>IF(NFI_Expiration=1,IF(#REF!&lt;VLOOKUP(M$5,NFI,5,0),1,0)*Table_NFI[[#This Row],[Sanitary Kit]],Table_NFI[Sanitary Kit])</f>
        <v>#REF!</v>
      </c>
      <c r="AE538" s="532" t="e">
        <f>IF(NFI_Expiration=1,IF(#REF!&lt;VLOOKUP(N$5,NFI,5,0),1,0)*Table_NFI[[#This Row],[Mosquito net]],Table_NFI[Mosquito net])</f>
        <v>#REF!</v>
      </c>
      <c r="AF538" s="532" t="e">
        <f>IF(NFI_Expiration=1,IF(#REF!&lt;VLOOKUP(O$5,NFI,5,0),1,0)*Table_NFI[[#This Row],[Tarpaulin]],Table_NFI[[#This Row],[Tarpaulin]])</f>
        <v>#REF!</v>
      </c>
      <c r="AG538" s="532" t="e">
        <f>IF(NFI_Expiration=1,IF(#REF!&lt;VLOOKUP(P$5,NFI,5,0),1,0)*Table_NFI[[#This Row],[Blanket]],Table_NFI[[#This Row],[Blanket]])</f>
        <v>#REF!</v>
      </c>
      <c r="AH538" s="532" t="e">
        <f>IF(NFI_Expiration=1,IF(#REF!&lt;VLOOKUP(Q$5,NFI,5,0),1,0)*Table_NFI[[#This Row],[Kitchen Set]],Table_NFI[Kitchen Set])</f>
        <v>#REF!</v>
      </c>
      <c r="AI538" s="532" t="e">
        <f>IF(NFI_Expiration=1,IF(#REF!&lt;VLOOKUP(R$5,NFI,5,0),1,0)*Table_NFI[[#This Row],[Clothes Kit]],Table_NFI[Clothes Kit])</f>
        <v>#REF!</v>
      </c>
      <c r="AJ538" s="532" t="e">
        <f>IF(NFI_Expiration=1,IF(#REF!&lt;VLOOKUP(S$5,NFI,5,0),1,0)*Table_NFI[[#This Row],[Plastic Bucket]],Table_NFI[Plastic Bucket])</f>
        <v>#REF!</v>
      </c>
      <c r="AK538" s="532" t="e">
        <f>IF(NFI_Expiration=1,IF(#REF!&lt;VLOOKUP(T$5,NFI,5,0),1,0)*Table_NFI[[#This Row],[Plastic Mat]],Table_NFI[Plastic Mat])*IF(Table_NFI[[#This Row],[Distribution Date]]&gt;"2014-04-01",1,2.5)</f>
        <v>#REF!</v>
      </c>
      <c r="AL538" s="532" t="e">
        <f>IF(NFI_Expiration=1,IF(#REF!&lt;VLOOKUP(U$5,NFI,5,0),1,0)*Table_NFI[[#This Row],[Winter Clothes Adult]],Table_NFI[Winter Clothes Adult])</f>
        <v>#REF!</v>
      </c>
      <c r="AM538" s="532"/>
      <c r="AN538" s="532"/>
      <c r="AO538" s="532"/>
      <c r="AP538" s="532">
        <f>IF(Table_NFI[[#This Row],[Winter Clothes Adult]]+Table_NFI[[#This Row],[Winter Clothes Children]]+Table_NFI[[#This Row],[Winter Items Other]]+Table_NFI[[#This Row],[Winter Blanket]]&gt;0,1,0)</f>
        <v>1</v>
      </c>
      <c r="AQ538" s="532"/>
      <c r="AR538" s="532"/>
      <c r="AS538" s="532"/>
      <c r="AT538" s="532"/>
      <c r="AU538" s="532"/>
      <c r="AV538" s="532"/>
      <c r="AW538" s="532"/>
      <c r="AX538" s="203" t="str">
        <f>IFERROR(VLOOKUP(Table_NFI[[#This Row],[Location]],CL,2,0),"")</f>
        <v/>
      </c>
      <c r="AZ538" s="524"/>
      <c r="DS538" s="181"/>
      <c r="DT538" s="181"/>
    </row>
    <row r="539" spans="2:124" hidden="1" x14ac:dyDescent="0.25">
      <c r="B539" s="530">
        <v>43437</v>
      </c>
      <c r="C539" s="530" t="str">
        <f>MONTH(Table_NFI[[#This Row],[Distribution Date]]) &amp; "/" &amp; YEAR(Table_NFI[[#This Row],[Distribution Date]])</f>
        <v>12/2018</v>
      </c>
      <c r="D539" s="629" t="s">
        <v>1916</v>
      </c>
      <c r="E539" s="629" t="s">
        <v>1916</v>
      </c>
      <c r="F539" s="196" t="s">
        <v>378</v>
      </c>
      <c r="G539" s="196" t="s">
        <v>746</v>
      </c>
      <c r="H539" s="196" t="s">
        <v>1864</v>
      </c>
      <c r="I539" s="181"/>
      <c r="J539" s="531"/>
      <c r="K539" s="531"/>
      <c r="L539" s="531"/>
      <c r="M539" s="531"/>
      <c r="N539" s="531"/>
      <c r="O539" s="531"/>
      <c r="P539" s="531"/>
      <c r="Q539" s="531"/>
      <c r="R539" s="531"/>
      <c r="S539" s="531"/>
      <c r="T539" s="531">
        <v>22</v>
      </c>
      <c r="U539" s="805">
        <v>44</v>
      </c>
      <c r="V539" s="805">
        <v>88</v>
      </c>
      <c r="W539" s="531">
        <v>22</v>
      </c>
      <c r="X539" s="531">
        <v>22</v>
      </c>
      <c r="Y539" s="531"/>
      <c r="Z539" s="531">
        <v>11</v>
      </c>
      <c r="AA539" s="531"/>
      <c r="AB539" s="531"/>
      <c r="AC539" s="532" t="e">
        <f>IF(NFI_Expiration=1,IF(#REF!&lt;VLOOKUP(L$5,NFI,5,0),1,0)*Table_NFI[[#This Row],[NFI Core Kit]],Table_NFI[NFI Core Kit])</f>
        <v>#REF!</v>
      </c>
      <c r="AD539" s="532" t="e">
        <f>IF(NFI_Expiration=1,IF(#REF!&lt;VLOOKUP(M$5,NFI,5,0),1,0)*Table_NFI[[#This Row],[Sanitary Kit]],Table_NFI[Sanitary Kit])</f>
        <v>#REF!</v>
      </c>
      <c r="AE539" s="532" t="e">
        <f>IF(NFI_Expiration=1,IF(#REF!&lt;VLOOKUP(N$5,NFI,5,0),1,0)*Table_NFI[[#This Row],[Mosquito net]],Table_NFI[Mosquito net])</f>
        <v>#REF!</v>
      </c>
      <c r="AF539" s="532" t="e">
        <f>IF(NFI_Expiration=1,IF(#REF!&lt;VLOOKUP(O$5,NFI,5,0),1,0)*Table_NFI[[#This Row],[Tarpaulin]],Table_NFI[[#This Row],[Tarpaulin]])</f>
        <v>#REF!</v>
      </c>
      <c r="AG539" s="532" t="e">
        <f>IF(NFI_Expiration=1,IF(#REF!&lt;VLOOKUP(P$5,NFI,5,0),1,0)*Table_NFI[[#This Row],[Blanket]],Table_NFI[[#This Row],[Blanket]])</f>
        <v>#REF!</v>
      </c>
      <c r="AH539" s="532" t="e">
        <f>IF(NFI_Expiration=1,IF(#REF!&lt;VLOOKUP(Q$5,NFI,5,0),1,0)*Table_NFI[[#This Row],[Kitchen Set]],Table_NFI[Kitchen Set])</f>
        <v>#REF!</v>
      </c>
      <c r="AI539" s="532" t="e">
        <f>IF(NFI_Expiration=1,IF(#REF!&lt;VLOOKUP(R$5,NFI,5,0),1,0)*Table_NFI[[#This Row],[Clothes Kit]],Table_NFI[Clothes Kit])</f>
        <v>#REF!</v>
      </c>
      <c r="AJ539" s="532" t="e">
        <f>IF(NFI_Expiration=1,IF(#REF!&lt;VLOOKUP(S$5,NFI,5,0),1,0)*Table_NFI[[#This Row],[Plastic Bucket]],Table_NFI[Plastic Bucket])</f>
        <v>#REF!</v>
      </c>
      <c r="AK539" s="532" t="e">
        <f>IF(NFI_Expiration=1,IF(#REF!&lt;VLOOKUP(T$5,NFI,5,0),1,0)*Table_NFI[[#This Row],[Plastic Mat]],Table_NFI[Plastic Mat])*IF(Table_NFI[[#This Row],[Distribution Date]]&gt;"2014-04-01",1,2.5)</f>
        <v>#REF!</v>
      </c>
      <c r="AL539" s="532" t="e">
        <f>IF(NFI_Expiration=1,IF(#REF!&lt;VLOOKUP(U$5,NFI,5,0),1,0)*Table_NFI[[#This Row],[Winter Clothes Adult]],Table_NFI[Winter Clothes Adult])</f>
        <v>#REF!</v>
      </c>
      <c r="AM539" s="532"/>
      <c r="AN539" s="532"/>
      <c r="AO539" s="532"/>
      <c r="AP539" s="532">
        <f>IF(Table_NFI[[#This Row],[Winter Clothes Adult]]+Table_NFI[[#This Row],[Winter Clothes Children]]+Table_NFI[[#This Row],[Winter Items Other]]+Table_NFI[[#This Row],[Winter Blanket]]&gt;0,1,0)</f>
        <v>1</v>
      </c>
      <c r="AQ539" s="532"/>
      <c r="AR539" s="532"/>
      <c r="AS539" s="532"/>
      <c r="AT539" s="532"/>
      <c r="AU539" s="532"/>
      <c r="AV539" s="532"/>
      <c r="AW539" s="532"/>
      <c r="AX539" s="203" t="str">
        <f>IFERROR(VLOOKUP(Table_NFI[[#This Row],[Location]],CL,2,0),"")</f>
        <v/>
      </c>
      <c r="AZ539" s="524"/>
      <c r="DS539" s="181"/>
      <c r="DT539" s="181"/>
    </row>
    <row r="540" spans="2:124" hidden="1" x14ac:dyDescent="0.25">
      <c r="B540" s="530">
        <v>43438</v>
      </c>
      <c r="C540" s="530" t="str">
        <f>MONTH(Table_NFI[[#This Row],[Distribution Date]]) &amp; "/" &amp; YEAR(Table_NFI[[#This Row],[Distribution Date]])</f>
        <v>12/2018</v>
      </c>
      <c r="D540" s="629" t="s">
        <v>1916</v>
      </c>
      <c r="E540" s="629" t="s">
        <v>1916</v>
      </c>
      <c r="F540" s="196" t="s">
        <v>378</v>
      </c>
      <c r="G540" s="196" t="s">
        <v>746</v>
      </c>
      <c r="H540" s="196" t="s">
        <v>1865</v>
      </c>
      <c r="I540" s="181"/>
      <c r="J540" s="531"/>
      <c r="K540" s="531"/>
      <c r="L540" s="531"/>
      <c r="M540" s="531"/>
      <c r="N540" s="531"/>
      <c r="O540" s="531"/>
      <c r="P540" s="531"/>
      <c r="Q540" s="531"/>
      <c r="R540" s="531"/>
      <c r="S540" s="531"/>
      <c r="T540" s="531">
        <v>40</v>
      </c>
      <c r="U540" s="805">
        <v>80</v>
      </c>
      <c r="V540" s="805">
        <v>160</v>
      </c>
      <c r="W540" s="531">
        <v>40</v>
      </c>
      <c r="X540" s="531">
        <v>40</v>
      </c>
      <c r="Y540" s="531"/>
      <c r="Z540" s="531">
        <v>20</v>
      </c>
      <c r="AA540" s="531"/>
      <c r="AB540" s="531"/>
      <c r="AC540" s="532" t="e">
        <f>IF(NFI_Expiration=1,IF(#REF!&lt;VLOOKUP(L$5,NFI,5,0),1,0)*Table_NFI[[#This Row],[NFI Core Kit]],Table_NFI[NFI Core Kit])</f>
        <v>#REF!</v>
      </c>
      <c r="AD540" s="532" t="e">
        <f>IF(NFI_Expiration=1,IF(#REF!&lt;VLOOKUP(M$5,NFI,5,0),1,0)*Table_NFI[[#This Row],[Sanitary Kit]],Table_NFI[Sanitary Kit])</f>
        <v>#REF!</v>
      </c>
      <c r="AE540" s="532" t="e">
        <f>IF(NFI_Expiration=1,IF(#REF!&lt;VLOOKUP(N$5,NFI,5,0),1,0)*Table_NFI[[#This Row],[Mosquito net]],Table_NFI[Mosquito net])</f>
        <v>#REF!</v>
      </c>
      <c r="AF540" s="532" t="e">
        <f>IF(NFI_Expiration=1,IF(#REF!&lt;VLOOKUP(O$5,NFI,5,0),1,0)*Table_NFI[[#This Row],[Tarpaulin]],Table_NFI[[#This Row],[Tarpaulin]])</f>
        <v>#REF!</v>
      </c>
      <c r="AG540" s="532" t="e">
        <f>IF(NFI_Expiration=1,IF(#REF!&lt;VLOOKUP(P$5,NFI,5,0),1,0)*Table_NFI[[#This Row],[Blanket]],Table_NFI[[#This Row],[Blanket]])</f>
        <v>#REF!</v>
      </c>
      <c r="AH540" s="532" t="e">
        <f>IF(NFI_Expiration=1,IF(#REF!&lt;VLOOKUP(Q$5,NFI,5,0),1,0)*Table_NFI[[#This Row],[Kitchen Set]],Table_NFI[Kitchen Set])</f>
        <v>#REF!</v>
      </c>
      <c r="AI540" s="532" t="e">
        <f>IF(NFI_Expiration=1,IF(#REF!&lt;VLOOKUP(R$5,NFI,5,0),1,0)*Table_NFI[[#This Row],[Clothes Kit]],Table_NFI[Clothes Kit])</f>
        <v>#REF!</v>
      </c>
      <c r="AJ540" s="532" t="e">
        <f>IF(NFI_Expiration=1,IF(#REF!&lt;VLOOKUP(S$5,NFI,5,0),1,0)*Table_NFI[[#This Row],[Plastic Bucket]],Table_NFI[Plastic Bucket])</f>
        <v>#REF!</v>
      </c>
      <c r="AK540" s="532" t="e">
        <f>IF(NFI_Expiration=1,IF(#REF!&lt;VLOOKUP(T$5,NFI,5,0),1,0)*Table_NFI[[#This Row],[Plastic Mat]],Table_NFI[Plastic Mat])*IF(Table_NFI[[#This Row],[Distribution Date]]&gt;"2014-04-01",1,2.5)</f>
        <v>#REF!</v>
      </c>
      <c r="AL540" s="532" t="e">
        <f>IF(NFI_Expiration=1,IF(#REF!&lt;VLOOKUP(U$5,NFI,5,0),1,0)*Table_NFI[[#This Row],[Winter Clothes Adult]],Table_NFI[Winter Clothes Adult])</f>
        <v>#REF!</v>
      </c>
      <c r="AM540" s="532"/>
      <c r="AN540" s="532"/>
      <c r="AO540" s="532"/>
      <c r="AP540" s="532">
        <f>IF(Table_NFI[[#This Row],[Winter Clothes Adult]]+Table_NFI[[#This Row],[Winter Clothes Children]]+Table_NFI[[#This Row],[Winter Items Other]]+Table_NFI[[#This Row],[Winter Blanket]]&gt;0,1,0)</f>
        <v>1</v>
      </c>
      <c r="AQ540" s="532"/>
      <c r="AR540" s="532"/>
      <c r="AS540" s="532"/>
      <c r="AT540" s="532"/>
      <c r="AU540" s="532"/>
      <c r="AV540" s="532"/>
      <c r="AW540" s="532"/>
      <c r="AX540" s="203" t="str">
        <f>IFERROR(VLOOKUP(Table_NFI[[#This Row],[Location]],CL,2,0),"")</f>
        <v/>
      </c>
      <c r="AZ540" s="524"/>
      <c r="DS540" s="181"/>
      <c r="DT540" s="181"/>
    </row>
    <row r="541" spans="2:124" hidden="1" x14ac:dyDescent="0.25">
      <c r="B541" s="530">
        <v>43438</v>
      </c>
      <c r="C541" s="530" t="str">
        <f>MONTH(Table_NFI[[#This Row],[Distribution Date]]) &amp; "/" &amp; YEAR(Table_NFI[[#This Row],[Distribution Date]])</f>
        <v>12/2018</v>
      </c>
      <c r="D541" s="629" t="s">
        <v>1916</v>
      </c>
      <c r="E541" s="629" t="s">
        <v>1916</v>
      </c>
      <c r="F541" s="196" t="s">
        <v>378</v>
      </c>
      <c r="G541" s="196" t="s">
        <v>746</v>
      </c>
      <c r="H541" s="196" t="s">
        <v>1866</v>
      </c>
      <c r="I541" s="181"/>
      <c r="J541" s="531"/>
      <c r="K541" s="531"/>
      <c r="L541" s="531"/>
      <c r="M541" s="531"/>
      <c r="N541" s="531"/>
      <c r="O541" s="531"/>
      <c r="P541" s="531"/>
      <c r="Q541" s="531"/>
      <c r="R541" s="531"/>
      <c r="S541" s="531"/>
      <c r="T541" s="531">
        <v>18</v>
      </c>
      <c r="U541" s="805">
        <v>36</v>
      </c>
      <c r="V541" s="805">
        <v>72</v>
      </c>
      <c r="W541" s="531">
        <v>18</v>
      </c>
      <c r="X541" s="531">
        <v>18</v>
      </c>
      <c r="Y541" s="531"/>
      <c r="Z541" s="531">
        <v>9</v>
      </c>
      <c r="AA541" s="531"/>
      <c r="AB541" s="531"/>
      <c r="AC541" s="532" t="e">
        <f>IF(NFI_Expiration=1,IF(#REF!&lt;VLOOKUP(L$5,NFI,5,0),1,0)*Table_NFI[[#This Row],[NFI Core Kit]],Table_NFI[NFI Core Kit])</f>
        <v>#REF!</v>
      </c>
      <c r="AD541" s="532" t="e">
        <f>IF(NFI_Expiration=1,IF(#REF!&lt;VLOOKUP(M$5,NFI,5,0),1,0)*Table_NFI[[#This Row],[Sanitary Kit]],Table_NFI[Sanitary Kit])</f>
        <v>#REF!</v>
      </c>
      <c r="AE541" s="532" t="e">
        <f>IF(NFI_Expiration=1,IF(#REF!&lt;VLOOKUP(N$5,NFI,5,0),1,0)*Table_NFI[[#This Row],[Mosquito net]],Table_NFI[Mosquito net])</f>
        <v>#REF!</v>
      </c>
      <c r="AF541" s="532" t="e">
        <f>IF(NFI_Expiration=1,IF(#REF!&lt;VLOOKUP(O$5,NFI,5,0),1,0)*Table_NFI[[#This Row],[Tarpaulin]],Table_NFI[[#This Row],[Tarpaulin]])</f>
        <v>#REF!</v>
      </c>
      <c r="AG541" s="532" t="e">
        <f>IF(NFI_Expiration=1,IF(#REF!&lt;VLOOKUP(P$5,NFI,5,0),1,0)*Table_NFI[[#This Row],[Blanket]],Table_NFI[[#This Row],[Blanket]])</f>
        <v>#REF!</v>
      </c>
      <c r="AH541" s="532" t="e">
        <f>IF(NFI_Expiration=1,IF(#REF!&lt;VLOOKUP(Q$5,NFI,5,0),1,0)*Table_NFI[[#This Row],[Kitchen Set]],Table_NFI[Kitchen Set])</f>
        <v>#REF!</v>
      </c>
      <c r="AI541" s="532" t="e">
        <f>IF(NFI_Expiration=1,IF(#REF!&lt;VLOOKUP(R$5,NFI,5,0),1,0)*Table_NFI[[#This Row],[Clothes Kit]],Table_NFI[Clothes Kit])</f>
        <v>#REF!</v>
      </c>
      <c r="AJ541" s="532" t="e">
        <f>IF(NFI_Expiration=1,IF(#REF!&lt;VLOOKUP(S$5,NFI,5,0),1,0)*Table_NFI[[#This Row],[Plastic Bucket]],Table_NFI[Plastic Bucket])</f>
        <v>#REF!</v>
      </c>
      <c r="AK541" s="532" t="e">
        <f>IF(NFI_Expiration=1,IF(#REF!&lt;VLOOKUP(T$5,NFI,5,0),1,0)*Table_NFI[[#This Row],[Plastic Mat]],Table_NFI[Plastic Mat])*IF(Table_NFI[[#This Row],[Distribution Date]]&gt;"2014-04-01",1,2.5)</f>
        <v>#REF!</v>
      </c>
      <c r="AL541" s="532" t="e">
        <f>IF(NFI_Expiration=1,IF(#REF!&lt;VLOOKUP(U$5,NFI,5,0),1,0)*Table_NFI[[#This Row],[Winter Clothes Adult]],Table_NFI[Winter Clothes Adult])</f>
        <v>#REF!</v>
      </c>
      <c r="AM541" s="532"/>
      <c r="AN541" s="532"/>
      <c r="AO541" s="532"/>
      <c r="AP541" s="532">
        <f>IF(Table_NFI[[#This Row],[Winter Clothes Adult]]+Table_NFI[[#This Row],[Winter Clothes Children]]+Table_NFI[[#This Row],[Winter Items Other]]+Table_NFI[[#This Row],[Winter Blanket]]&gt;0,1,0)</f>
        <v>1</v>
      </c>
      <c r="AQ541" s="532"/>
      <c r="AR541" s="532"/>
      <c r="AS541" s="532"/>
      <c r="AT541" s="532"/>
      <c r="AU541" s="532"/>
      <c r="AV541" s="532"/>
      <c r="AW541" s="532"/>
      <c r="AX541" s="203" t="str">
        <f>IFERROR(VLOOKUP(Table_NFI[[#This Row],[Location]],CL,2,0),"")</f>
        <v/>
      </c>
      <c r="AZ541" s="524"/>
      <c r="DS541" s="181"/>
      <c r="DT541" s="181"/>
    </row>
    <row r="542" spans="2:124" hidden="1" x14ac:dyDescent="0.25">
      <c r="B542" s="530">
        <v>43438</v>
      </c>
      <c r="C542" s="530" t="str">
        <f>MONTH(Table_NFI[[#This Row],[Distribution Date]]) &amp; "/" &amp; YEAR(Table_NFI[[#This Row],[Distribution Date]])</f>
        <v>12/2018</v>
      </c>
      <c r="D542" s="629" t="s">
        <v>1916</v>
      </c>
      <c r="E542" s="629" t="s">
        <v>1916</v>
      </c>
      <c r="F542" s="196" t="s">
        <v>378</v>
      </c>
      <c r="G542" s="196" t="s">
        <v>746</v>
      </c>
      <c r="H542" s="196" t="s">
        <v>1867</v>
      </c>
      <c r="I542" s="181"/>
      <c r="J542" s="531"/>
      <c r="K542" s="531"/>
      <c r="L542" s="531"/>
      <c r="M542" s="531"/>
      <c r="N542" s="531"/>
      <c r="O542" s="531"/>
      <c r="P542" s="531"/>
      <c r="Q542" s="531"/>
      <c r="R542" s="531"/>
      <c r="S542" s="531"/>
      <c r="T542" s="531">
        <v>64</v>
      </c>
      <c r="U542" s="805">
        <v>128</v>
      </c>
      <c r="V542" s="805">
        <v>256</v>
      </c>
      <c r="W542" s="531">
        <v>64</v>
      </c>
      <c r="X542" s="531">
        <v>64</v>
      </c>
      <c r="Y542" s="531"/>
      <c r="Z542" s="531">
        <v>32</v>
      </c>
      <c r="AA542" s="531"/>
      <c r="AB542" s="531"/>
      <c r="AC542" s="532" t="e">
        <f>IF(NFI_Expiration=1,IF(#REF!&lt;VLOOKUP(L$5,NFI,5,0),1,0)*Table_NFI[[#This Row],[NFI Core Kit]],Table_NFI[NFI Core Kit])</f>
        <v>#REF!</v>
      </c>
      <c r="AD542" s="532" t="e">
        <f>IF(NFI_Expiration=1,IF(#REF!&lt;VLOOKUP(M$5,NFI,5,0),1,0)*Table_NFI[[#This Row],[Sanitary Kit]],Table_NFI[Sanitary Kit])</f>
        <v>#REF!</v>
      </c>
      <c r="AE542" s="532" t="e">
        <f>IF(NFI_Expiration=1,IF(#REF!&lt;VLOOKUP(N$5,NFI,5,0),1,0)*Table_NFI[[#This Row],[Mosquito net]],Table_NFI[Mosquito net])</f>
        <v>#REF!</v>
      </c>
      <c r="AF542" s="532" t="e">
        <f>IF(NFI_Expiration=1,IF(#REF!&lt;VLOOKUP(O$5,NFI,5,0),1,0)*Table_NFI[[#This Row],[Tarpaulin]],Table_NFI[[#This Row],[Tarpaulin]])</f>
        <v>#REF!</v>
      </c>
      <c r="AG542" s="532" t="e">
        <f>IF(NFI_Expiration=1,IF(#REF!&lt;VLOOKUP(P$5,NFI,5,0),1,0)*Table_NFI[[#This Row],[Blanket]],Table_NFI[[#This Row],[Blanket]])</f>
        <v>#REF!</v>
      </c>
      <c r="AH542" s="532" t="e">
        <f>IF(NFI_Expiration=1,IF(#REF!&lt;VLOOKUP(Q$5,NFI,5,0),1,0)*Table_NFI[[#This Row],[Kitchen Set]],Table_NFI[Kitchen Set])</f>
        <v>#REF!</v>
      </c>
      <c r="AI542" s="532" t="e">
        <f>IF(NFI_Expiration=1,IF(#REF!&lt;VLOOKUP(R$5,NFI,5,0),1,0)*Table_NFI[[#This Row],[Clothes Kit]],Table_NFI[Clothes Kit])</f>
        <v>#REF!</v>
      </c>
      <c r="AJ542" s="532" t="e">
        <f>IF(NFI_Expiration=1,IF(#REF!&lt;VLOOKUP(S$5,NFI,5,0),1,0)*Table_NFI[[#This Row],[Plastic Bucket]],Table_NFI[Plastic Bucket])</f>
        <v>#REF!</v>
      </c>
      <c r="AK542" s="532" t="e">
        <f>IF(NFI_Expiration=1,IF(#REF!&lt;VLOOKUP(T$5,NFI,5,0),1,0)*Table_NFI[[#This Row],[Plastic Mat]],Table_NFI[Plastic Mat])*IF(Table_NFI[[#This Row],[Distribution Date]]&gt;"2014-04-01",1,2.5)</f>
        <v>#REF!</v>
      </c>
      <c r="AL542" s="532" t="e">
        <f>IF(NFI_Expiration=1,IF(#REF!&lt;VLOOKUP(U$5,NFI,5,0),1,0)*Table_NFI[[#This Row],[Winter Clothes Adult]],Table_NFI[Winter Clothes Adult])</f>
        <v>#REF!</v>
      </c>
      <c r="AM542" s="532"/>
      <c r="AN542" s="532"/>
      <c r="AO542" s="532"/>
      <c r="AP542" s="532">
        <f>IF(Table_NFI[[#This Row],[Winter Clothes Adult]]+Table_NFI[[#This Row],[Winter Clothes Children]]+Table_NFI[[#This Row],[Winter Items Other]]+Table_NFI[[#This Row],[Winter Blanket]]&gt;0,1,0)</f>
        <v>1</v>
      </c>
      <c r="AQ542" s="532"/>
      <c r="AR542" s="532"/>
      <c r="AS542" s="532"/>
      <c r="AT542" s="532"/>
      <c r="AU542" s="532"/>
      <c r="AV542" s="532"/>
      <c r="AW542" s="532"/>
      <c r="AX542" s="203" t="str">
        <f>IFERROR(VLOOKUP(Table_NFI[[#This Row],[Location]],CL,2,0),"")</f>
        <v/>
      </c>
      <c r="AZ542" s="524"/>
      <c r="DS542" s="181"/>
      <c r="DT542" s="181"/>
    </row>
    <row r="543" spans="2:124" hidden="1" x14ac:dyDescent="0.25">
      <c r="B543" s="530">
        <v>43438</v>
      </c>
      <c r="C543" s="530" t="str">
        <f>MONTH(Table_NFI[[#This Row],[Distribution Date]]) &amp; "/" &amp; YEAR(Table_NFI[[#This Row],[Distribution Date]])</f>
        <v>12/2018</v>
      </c>
      <c r="D543" s="629" t="s">
        <v>1916</v>
      </c>
      <c r="E543" s="629" t="s">
        <v>1916</v>
      </c>
      <c r="F543" s="196" t="s">
        <v>378</v>
      </c>
      <c r="G543" s="196" t="s">
        <v>746</v>
      </c>
      <c r="H543" s="196" t="s">
        <v>1868</v>
      </c>
      <c r="I543" s="181"/>
      <c r="J543" s="531"/>
      <c r="K543" s="531"/>
      <c r="L543" s="531"/>
      <c r="M543" s="531"/>
      <c r="N543" s="531"/>
      <c r="O543" s="531"/>
      <c r="P543" s="531"/>
      <c r="Q543" s="531"/>
      <c r="R543" s="531"/>
      <c r="S543" s="531"/>
      <c r="T543" s="531">
        <v>266</v>
      </c>
      <c r="U543" s="805">
        <v>532</v>
      </c>
      <c r="V543" s="805">
        <v>1064</v>
      </c>
      <c r="W543" s="531">
        <v>266</v>
      </c>
      <c r="X543" s="531">
        <v>266</v>
      </c>
      <c r="Y543" s="531"/>
      <c r="Z543" s="531">
        <v>133</v>
      </c>
      <c r="AA543" s="531"/>
      <c r="AB543" s="531"/>
      <c r="AC543" s="532" t="e">
        <f>IF(NFI_Expiration=1,IF(#REF!&lt;VLOOKUP(L$5,NFI,5,0),1,0)*Table_NFI[[#This Row],[NFI Core Kit]],Table_NFI[NFI Core Kit])</f>
        <v>#REF!</v>
      </c>
      <c r="AD543" s="532" t="e">
        <f>IF(NFI_Expiration=1,IF(#REF!&lt;VLOOKUP(M$5,NFI,5,0),1,0)*Table_NFI[[#This Row],[Sanitary Kit]],Table_NFI[Sanitary Kit])</f>
        <v>#REF!</v>
      </c>
      <c r="AE543" s="532" t="e">
        <f>IF(NFI_Expiration=1,IF(#REF!&lt;VLOOKUP(N$5,NFI,5,0),1,0)*Table_NFI[[#This Row],[Mosquito net]],Table_NFI[Mosquito net])</f>
        <v>#REF!</v>
      </c>
      <c r="AF543" s="532" t="e">
        <f>IF(NFI_Expiration=1,IF(#REF!&lt;VLOOKUP(O$5,NFI,5,0),1,0)*Table_NFI[[#This Row],[Tarpaulin]],Table_NFI[[#This Row],[Tarpaulin]])</f>
        <v>#REF!</v>
      </c>
      <c r="AG543" s="532" t="e">
        <f>IF(NFI_Expiration=1,IF(#REF!&lt;VLOOKUP(P$5,NFI,5,0),1,0)*Table_NFI[[#This Row],[Blanket]],Table_NFI[[#This Row],[Blanket]])</f>
        <v>#REF!</v>
      </c>
      <c r="AH543" s="532" t="e">
        <f>IF(NFI_Expiration=1,IF(#REF!&lt;VLOOKUP(Q$5,NFI,5,0),1,0)*Table_NFI[[#This Row],[Kitchen Set]],Table_NFI[Kitchen Set])</f>
        <v>#REF!</v>
      </c>
      <c r="AI543" s="532" t="e">
        <f>IF(NFI_Expiration=1,IF(#REF!&lt;VLOOKUP(R$5,NFI,5,0),1,0)*Table_NFI[[#This Row],[Clothes Kit]],Table_NFI[Clothes Kit])</f>
        <v>#REF!</v>
      </c>
      <c r="AJ543" s="532" t="e">
        <f>IF(NFI_Expiration=1,IF(#REF!&lt;VLOOKUP(S$5,NFI,5,0),1,0)*Table_NFI[[#This Row],[Plastic Bucket]],Table_NFI[Plastic Bucket])</f>
        <v>#REF!</v>
      </c>
      <c r="AK543" s="532" t="e">
        <f>IF(NFI_Expiration=1,IF(#REF!&lt;VLOOKUP(T$5,NFI,5,0),1,0)*Table_NFI[[#This Row],[Plastic Mat]],Table_NFI[Plastic Mat])*IF(Table_NFI[[#This Row],[Distribution Date]]&gt;"2014-04-01",1,2.5)</f>
        <v>#REF!</v>
      </c>
      <c r="AL543" s="532" t="e">
        <f>IF(NFI_Expiration=1,IF(#REF!&lt;VLOOKUP(U$5,NFI,5,0),1,0)*Table_NFI[[#This Row],[Winter Clothes Adult]],Table_NFI[Winter Clothes Adult])</f>
        <v>#REF!</v>
      </c>
      <c r="AM543" s="532"/>
      <c r="AN543" s="532"/>
      <c r="AO543" s="532"/>
      <c r="AP543" s="532">
        <f>IF(Table_NFI[[#This Row],[Winter Clothes Adult]]+Table_NFI[[#This Row],[Winter Clothes Children]]+Table_NFI[[#This Row],[Winter Items Other]]+Table_NFI[[#This Row],[Winter Blanket]]&gt;0,1,0)</f>
        <v>1</v>
      </c>
      <c r="AQ543" s="532"/>
      <c r="AR543" s="532"/>
      <c r="AS543" s="532"/>
      <c r="AT543" s="532"/>
      <c r="AU543" s="532"/>
      <c r="AV543" s="532"/>
      <c r="AW543" s="532"/>
      <c r="AX543" s="203" t="str">
        <f>IFERROR(VLOOKUP(Table_NFI[[#This Row],[Location]],CL,2,0),"")</f>
        <v/>
      </c>
      <c r="AZ543" s="524"/>
      <c r="DS543" s="181"/>
      <c r="DT543" s="181"/>
    </row>
    <row r="544" spans="2:124" hidden="1" x14ac:dyDescent="0.25">
      <c r="B544" s="530">
        <v>43438</v>
      </c>
      <c r="C544" s="530" t="str">
        <f>MONTH(Table_NFI[[#This Row],[Distribution Date]]) &amp; "/" &amp; YEAR(Table_NFI[[#This Row],[Distribution Date]])</f>
        <v>12/2018</v>
      </c>
      <c r="D544" s="629" t="s">
        <v>1916</v>
      </c>
      <c r="E544" s="629" t="s">
        <v>1916</v>
      </c>
      <c r="F544" s="196" t="s">
        <v>378</v>
      </c>
      <c r="G544" s="196" t="s">
        <v>746</v>
      </c>
      <c r="H544" s="196" t="s">
        <v>1869</v>
      </c>
      <c r="I544" s="181"/>
      <c r="J544" s="531"/>
      <c r="K544" s="531"/>
      <c r="L544" s="531"/>
      <c r="M544" s="531"/>
      <c r="N544" s="531"/>
      <c r="O544" s="531"/>
      <c r="P544" s="531"/>
      <c r="Q544" s="531"/>
      <c r="R544" s="531"/>
      <c r="S544" s="531"/>
      <c r="T544" s="531">
        <v>28</v>
      </c>
      <c r="U544" s="805">
        <v>56</v>
      </c>
      <c r="V544" s="805">
        <v>112</v>
      </c>
      <c r="W544" s="531">
        <v>28</v>
      </c>
      <c r="X544" s="531">
        <v>28</v>
      </c>
      <c r="Y544" s="531"/>
      <c r="Z544" s="531">
        <v>14</v>
      </c>
      <c r="AA544" s="531"/>
      <c r="AB544" s="531"/>
      <c r="AC544" s="532" t="e">
        <f>IF(NFI_Expiration=1,IF(#REF!&lt;VLOOKUP(L$5,NFI,5,0),1,0)*Table_NFI[[#This Row],[NFI Core Kit]],Table_NFI[NFI Core Kit])</f>
        <v>#REF!</v>
      </c>
      <c r="AD544" s="532" t="e">
        <f>IF(NFI_Expiration=1,IF(#REF!&lt;VLOOKUP(M$5,NFI,5,0),1,0)*Table_NFI[[#This Row],[Sanitary Kit]],Table_NFI[Sanitary Kit])</f>
        <v>#REF!</v>
      </c>
      <c r="AE544" s="532" t="e">
        <f>IF(NFI_Expiration=1,IF(#REF!&lt;VLOOKUP(N$5,NFI,5,0),1,0)*Table_NFI[[#This Row],[Mosquito net]],Table_NFI[Mosquito net])</f>
        <v>#REF!</v>
      </c>
      <c r="AF544" s="532" t="e">
        <f>IF(NFI_Expiration=1,IF(#REF!&lt;VLOOKUP(O$5,NFI,5,0),1,0)*Table_NFI[[#This Row],[Tarpaulin]],Table_NFI[[#This Row],[Tarpaulin]])</f>
        <v>#REF!</v>
      </c>
      <c r="AG544" s="532" t="e">
        <f>IF(NFI_Expiration=1,IF(#REF!&lt;VLOOKUP(P$5,NFI,5,0),1,0)*Table_NFI[[#This Row],[Blanket]],Table_NFI[[#This Row],[Blanket]])</f>
        <v>#REF!</v>
      </c>
      <c r="AH544" s="532" t="e">
        <f>IF(NFI_Expiration=1,IF(#REF!&lt;VLOOKUP(Q$5,NFI,5,0),1,0)*Table_NFI[[#This Row],[Kitchen Set]],Table_NFI[Kitchen Set])</f>
        <v>#REF!</v>
      </c>
      <c r="AI544" s="532" t="e">
        <f>IF(NFI_Expiration=1,IF(#REF!&lt;VLOOKUP(R$5,NFI,5,0),1,0)*Table_NFI[[#This Row],[Clothes Kit]],Table_NFI[Clothes Kit])</f>
        <v>#REF!</v>
      </c>
      <c r="AJ544" s="532" t="e">
        <f>IF(NFI_Expiration=1,IF(#REF!&lt;VLOOKUP(S$5,NFI,5,0),1,0)*Table_NFI[[#This Row],[Plastic Bucket]],Table_NFI[Plastic Bucket])</f>
        <v>#REF!</v>
      </c>
      <c r="AK544" s="532" t="e">
        <f>IF(NFI_Expiration=1,IF(#REF!&lt;VLOOKUP(T$5,NFI,5,0),1,0)*Table_NFI[[#This Row],[Plastic Mat]],Table_NFI[Plastic Mat])*IF(Table_NFI[[#This Row],[Distribution Date]]&gt;"2014-04-01",1,2.5)</f>
        <v>#REF!</v>
      </c>
      <c r="AL544" s="532" t="e">
        <f>IF(NFI_Expiration=1,IF(#REF!&lt;VLOOKUP(U$5,NFI,5,0),1,0)*Table_NFI[[#This Row],[Winter Clothes Adult]],Table_NFI[Winter Clothes Adult])</f>
        <v>#REF!</v>
      </c>
      <c r="AM544" s="532"/>
      <c r="AN544" s="532"/>
      <c r="AO544" s="532"/>
      <c r="AP544" s="532">
        <f>IF(Table_NFI[[#This Row],[Winter Clothes Adult]]+Table_NFI[[#This Row],[Winter Clothes Children]]+Table_NFI[[#This Row],[Winter Items Other]]+Table_NFI[[#This Row],[Winter Blanket]]&gt;0,1,0)</f>
        <v>1</v>
      </c>
      <c r="AQ544" s="532"/>
      <c r="AR544" s="532"/>
      <c r="AS544" s="532"/>
      <c r="AT544" s="532"/>
      <c r="AU544" s="532"/>
      <c r="AV544" s="532"/>
      <c r="AW544" s="532"/>
      <c r="AX544" s="203" t="str">
        <f>IFERROR(VLOOKUP(Table_NFI[[#This Row],[Location]],CL,2,0),"")</f>
        <v/>
      </c>
      <c r="AZ544" s="524"/>
      <c r="DS544" s="181"/>
      <c r="DT544" s="181"/>
    </row>
    <row r="545" spans="2:124" hidden="1" x14ac:dyDescent="0.25">
      <c r="B545" s="530">
        <v>43438</v>
      </c>
      <c r="C545" s="530" t="str">
        <f>MONTH(Table_NFI[[#This Row],[Distribution Date]]) &amp; "/" &amp; YEAR(Table_NFI[[#This Row],[Distribution Date]])</f>
        <v>12/2018</v>
      </c>
      <c r="D545" s="629" t="s">
        <v>1916</v>
      </c>
      <c r="E545" s="629" t="s">
        <v>1916</v>
      </c>
      <c r="F545" s="196" t="s">
        <v>378</v>
      </c>
      <c r="G545" s="196" t="s">
        <v>746</v>
      </c>
      <c r="H545" s="196" t="s">
        <v>1870</v>
      </c>
      <c r="I545" s="181"/>
      <c r="J545" s="531"/>
      <c r="K545" s="531"/>
      <c r="L545" s="531"/>
      <c r="M545" s="531"/>
      <c r="N545" s="531"/>
      <c r="O545" s="531"/>
      <c r="P545" s="531"/>
      <c r="Q545" s="531"/>
      <c r="R545" s="531"/>
      <c r="S545" s="531"/>
      <c r="T545" s="531">
        <v>102</v>
      </c>
      <c r="U545" s="805">
        <v>204</v>
      </c>
      <c r="V545" s="805">
        <v>408</v>
      </c>
      <c r="W545" s="531">
        <v>102</v>
      </c>
      <c r="X545" s="531">
        <v>102</v>
      </c>
      <c r="Y545" s="531"/>
      <c r="Z545" s="531">
        <v>51</v>
      </c>
      <c r="AA545" s="531"/>
      <c r="AB545" s="531"/>
      <c r="AC545" s="532" t="e">
        <f>IF(NFI_Expiration=1,IF(#REF!&lt;VLOOKUP(L$5,NFI,5,0),1,0)*Table_NFI[[#This Row],[NFI Core Kit]],Table_NFI[NFI Core Kit])</f>
        <v>#REF!</v>
      </c>
      <c r="AD545" s="532" t="e">
        <f>IF(NFI_Expiration=1,IF(#REF!&lt;VLOOKUP(M$5,NFI,5,0),1,0)*Table_NFI[[#This Row],[Sanitary Kit]],Table_NFI[Sanitary Kit])</f>
        <v>#REF!</v>
      </c>
      <c r="AE545" s="532" t="e">
        <f>IF(NFI_Expiration=1,IF(#REF!&lt;VLOOKUP(N$5,NFI,5,0),1,0)*Table_NFI[[#This Row],[Mosquito net]],Table_NFI[Mosquito net])</f>
        <v>#REF!</v>
      </c>
      <c r="AF545" s="532" t="e">
        <f>IF(NFI_Expiration=1,IF(#REF!&lt;VLOOKUP(O$5,NFI,5,0),1,0)*Table_NFI[[#This Row],[Tarpaulin]],Table_NFI[[#This Row],[Tarpaulin]])</f>
        <v>#REF!</v>
      </c>
      <c r="AG545" s="532" t="e">
        <f>IF(NFI_Expiration=1,IF(#REF!&lt;VLOOKUP(P$5,NFI,5,0),1,0)*Table_NFI[[#This Row],[Blanket]],Table_NFI[[#This Row],[Blanket]])</f>
        <v>#REF!</v>
      </c>
      <c r="AH545" s="532" t="e">
        <f>IF(NFI_Expiration=1,IF(#REF!&lt;VLOOKUP(Q$5,NFI,5,0),1,0)*Table_NFI[[#This Row],[Kitchen Set]],Table_NFI[Kitchen Set])</f>
        <v>#REF!</v>
      </c>
      <c r="AI545" s="532" t="e">
        <f>IF(NFI_Expiration=1,IF(#REF!&lt;VLOOKUP(R$5,NFI,5,0),1,0)*Table_NFI[[#This Row],[Clothes Kit]],Table_NFI[Clothes Kit])</f>
        <v>#REF!</v>
      </c>
      <c r="AJ545" s="532" t="e">
        <f>IF(NFI_Expiration=1,IF(#REF!&lt;VLOOKUP(S$5,NFI,5,0),1,0)*Table_NFI[[#This Row],[Plastic Bucket]],Table_NFI[Plastic Bucket])</f>
        <v>#REF!</v>
      </c>
      <c r="AK545" s="532" t="e">
        <f>IF(NFI_Expiration=1,IF(#REF!&lt;VLOOKUP(T$5,NFI,5,0),1,0)*Table_NFI[[#This Row],[Plastic Mat]],Table_NFI[Plastic Mat])*IF(Table_NFI[[#This Row],[Distribution Date]]&gt;"2014-04-01",1,2.5)</f>
        <v>#REF!</v>
      </c>
      <c r="AL545" s="532" t="e">
        <f>IF(NFI_Expiration=1,IF(#REF!&lt;VLOOKUP(U$5,NFI,5,0),1,0)*Table_NFI[[#This Row],[Winter Clothes Adult]],Table_NFI[Winter Clothes Adult])</f>
        <v>#REF!</v>
      </c>
      <c r="AM545" s="532"/>
      <c r="AN545" s="532"/>
      <c r="AO545" s="532"/>
      <c r="AP545" s="532">
        <f>IF(Table_NFI[[#This Row],[Winter Clothes Adult]]+Table_NFI[[#This Row],[Winter Clothes Children]]+Table_NFI[[#This Row],[Winter Items Other]]+Table_NFI[[#This Row],[Winter Blanket]]&gt;0,1,0)</f>
        <v>1</v>
      </c>
      <c r="AQ545" s="532"/>
      <c r="AR545" s="532"/>
      <c r="AS545" s="532"/>
      <c r="AT545" s="532"/>
      <c r="AU545" s="532"/>
      <c r="AV545" s="532"/>
      <c r="AW545" s="532"/>
      <c r="AX545" s="203" t="str">
        <f>IFERROR(VLOOKUP(Table_NFI[[#This Row],[Location]],CL,2,0),"")</f>
        <v/>
      </c>
      <c r="AZ545" s="524"/>
      <c r="DS545" s="181"/>
      <c r="DT545" s="181"/>
    </row>
    <row r="546" spans="2:124" hidden="1" x14ac:dyDescent="0.25">
      <c r="B546" s="530">
        <v>43439</v>
      </c>
      <c r="C546" s="530" t="str">
        <f>MONTH(Table_NFI[[#This Row],[Distribution Date]]) &amp; "/" &amp; YEAR(Table_NFI[[#This Row],[Distribution Date]])</f>
        <v>12/2018</v>
      </c>
      <c r="D546" s="629" t="s">
        <v>1916</v>
      </c>
      <c r="E546" s="629" t="s">
        <v>1916</v>
      </c>
      <c r="F546" s="196" t="s">
        <v>378</v>
      </c>
      <c r="G546" s="196" t="s">
        <v>746</v>
      </c>
      <c r="H546" s="196" t="s">
        <v>1871</v>
      </c>
      <c r="I546" s="181"/>
      <c r="J546" s="531"/>
      <c r="K546" s="531"/>
      <c r="L546" s="531"/>
      <c r="M546" s="531"/>
      <c r="N546" s="531"/>
      <c r="O546" s="531"/>
      <c r="P546" s="531"/>
      <c r="Q546" s="531"/>
      <c r="R546" s="531"/>
      <c r="S546" s="531"/>
      <c r="T546" s="531">
        <v>36</v>
      </c>
      <c r="U546" s="805">
        <v>72</v>
      </c>
      <c r="V546" s="805">
        <v>144</v>
      </c>
      <c r="W546" s="531">
        <v>36</v>
      </c>
      <c r="X546" s="531">
        <v>36</v>
      </c>
      <c r="Y546" s="531"/>
      <c r="Z546" s="531">
        <v>18</v>
      </c>
      <c r="AA546" s="531"/>
      <c r="AB546" s="531"/>
      <c r="AC546" s="532" t="e">
        <f>IF(NFI_Expiration=1,IF(#REF!&lt;VLOOKUP(L$5,NFI,5,0),1,0)*Table_NFI[[#This Row],[NFI Core Kit]],Table_NFI[NFI Core Kit])</f>
        <v>#REF!</v>
      </c>
      <c r="AD546" s="532" t="e">
        <f>IF(NFI_Expiration=1,IF(#REF!&lt;VLOOKUP(M$5,NFI,5,0),1,0)*Table_NFI[[#This Row],[Sanitary Kit]],Table_NFI[Sanitary Kit])</f>
        <v>#REF!</v>
      </c>
      <c r="AE546" s="532" t="e">
        <f>IF(NFI_Expiration=1,IF(#REF!&lt;VLOOKUP(N$5,NFI,5,0),1,0)*Table_NFI[[#This Row],[Mosquito net]],Table_NFI[Mosquito net])</f>
        <v>#REF!</v>
      </c>
      <c r="AF546" s="532" t="e">
        <f>IF(NFI_Expiration=1,IF(#REF!&lt;VLOOKUP(O$5,NFI,5,0),1,0)*Table_NFI[[#This Row],[Tarpaulin]],Table_NFI[[#This Row],[Tarpaulin]])</f>
        <v>#REF!</v>
      </c>
      <c r="AG546" s="532" t="e">
        <f>IF(NFI_Expiration=1,IF(#REF!&lt;VLOOKUP(P$5,NFI,5,0),1,0)*Table_NFI[[#This Row],[Blanket]],Table_NFI[[#This Row],[Blanket]])</f>
        <v>#REF!</v>
      </c>
      <c r="AH546" s="532" t="e">
        <f>IF(NFI_Expiration=1,IF(#REF!&lt;VLOOKUP(Q$5,NFI,5,0),1,0)*Table_NFI[[#This Row],[Kitchen Set]],Table_NFI[Kitchen Set])</f>
        <v>#REF!</v>
      </c>
      <c r="AI546" s="532" t="e">
        <f>IF(NFI_Expiration=1,IF(#REF!&lt;VLOOKUP(R$5,NFI,5,0),1,0)*Table_NFI[[#This Row],[Clothes Kit]],Table_NFI[Clothes Kit])</f>
        <v>#REF!</v>
      </c>
      <c r="AJ546" s="532" t="e">
        <f>IF(NFI_Expiration=1,IF(#REF!&lt;VLOOKUP(S$5,NFI,5,0),1,0)*Table_NFI[[#This Row],[Plastic Bucket]],Table_NFI[Plastic Bucket])</f>
        <v>#REF!</v>
      </c>
      <c r="AK546" s="532" t="e">
        <f>IF(NFI_Expiration=1,IF(#REF!&lt;VLOOKUP(T$5,NFI,5,0),1,0)*Table_NFI[[#This Row],[Plastic Mat]],Table_NFI[Plastic Mat])*IF(Table_NFI[[#This Row],[Distribution Date]]&gt;"2014-04-01",1,2.5)</f>
        <v>#REF!</v>
      </c>
      <c r="AL546" s="532" t="e">
        <f>IF(NFI_Expiration=1,IF(#REF!&lt;VLOOKUP(U$5,NFI,5,0),1,0)*Table_NFI[[#This Row],[Winter Clothes Adult]],Table_NFI[Winter Clothes Adult])</f>
        <v>#REF!</v>
      </c>
      <c r="AM546" s="532"/>
      <c r="AN546" s="532"/>
      <c r="AO546" s="532"/>
      <c r="AP546" s="532">
        <f>IF(Table_NFI[[#This Row],[Winter Clothes Adult]]+Table_NFI[[#This Row],[Winter Clothes Children]]+Table_NFI[[#This Row],[Winter Items Other]]+Table_NFI[[#This Row],[Winter Blanket]]&gt;0,1,0)</f>
        <v>1</v>
      </c>
      <c r="AQ546" s="532"/>
      <c r="AR546" s="532"/>
      <c r="AS546" s="532"/>
      <c r="AT546" s="532"/>
      <c r="AU546" s="532"/>
      <c r="AV546" s="532"/>
      <c r="AW546" s="532"/>
      <c r="AX546" s="203" t="str">
        <f>IFERROR(VLOOKUP(Table_NFI[[#This Row],[Location]],CL,2,0),"")</f>
        <v/>
      </c>
      <c r="AZ546" s="524"/>
      <c r="DS546" s="181"/>
      <c r="DT546" s="181"/>
    </row>
    <row r="547" spans="2:124" hidden="1" x14ac:dyDescent="0.25">
      <c r="B547" s="530">
        <v>43439</v>
      </c>
      <c r="C547" s="530" t="str">
        <f>MONTH(Table_NFI[[#This Row],[Distribution Date]]) &amp; "/" &amp; YEAR(Table_NFI[[#This Row],[Distribution Date]])</f>
        <v>12/2018</v>
      </c>
      <c r="D547" s="629" t="s">
        <v>1916</v>
      </c>
      <c r="E547" s="629" t="s">
        <v>1916</v>
      </c>
      <c r="F547" s="196" t="s">
        <v>378</v>
      </c>
      <c r="G547" s="196" t="s">
        <v>746</v>
      </c>
      <c r="H547" s="196" t="s">
        <v>1872</v>
      </c>
      <c r="I547" s="181"/>
      <c r="J547" s="531"/>
      <c r="K547" s="531"/>
      <c r="L547" s="531"/>
      <c r="M547" s="531"/>
      <c r="N547" s="531"/>
      <c r="O547" s="531"/>
      <c r="P547" s="531"/>
      <c r="Q547" s="531"/>
      <c r="R547" s="531"/>
      <c r="S547" s="531"/>
      <c r="T547" s="531">
        <v>94</v>
      </c>
      <c r="U547" s="805">
        <v>188</v>
      </c>
      <c r="V547" s="805">
        <v>237</v>
      </c>
      <c r="W547" s="531">
        <v>94</v>
      </c>
      <c r="X547" s="531">
        <v>94</v>
      </c>
      <c r="Y547" s="531"/>
      <c r="Z547" s="531">
        <v>47</v>
      </c>
      <c r="AA547" s="531"/>
      <c r="AB547" s="531"/>
      <c r="AC547" s="532" t="e">
        <f>IF(NFI_Expiration=1,IF(#REF!&lt;VLOOKUP(L$5,NFI,5,0),1,0)*Table_NFI[[#This Row],[NFI Core Kit]],Table_NFI[NFI Core Kit])</f>
        <v>#REF!</v>
      </c>
      <c r="AD547" s="532" t="e">
        <f>IF(NFI_Expiration=1,IF(#REF!&lt;VLOOKUP(M$5,NFI,5,0),1,0)*Table_NFI[[#This Row],[Sanitary Kit]],Table_NFI[Sanitary Kit])</f>
        <v>#REF!</v>
      </c>
      <c r="AE547" s="532" t="e">
        <f>IF(NFI_Expiration=1,IF(#REF!&lt;VLOOKUP(N$5,NFI,5,0),1,0)*Table_NFI[[#This Row],[Mosquito net]],Table_NFI[Mosquito net])</f>
        <v>#REF!</v>
      </c>
      <c r="AF547" s="532" t="e">
        <f>IF(NFI_Expiration=1,IF(#REF!&lt;VLOOKUP(O$5,NFI,5,0),1,0)*Table_NFI[[#This Row],[Tarpaulin]],Table_NFI[[#This Row],[Tarpaulin]])</f>
        <v>#REF!</v>
      </c>
      <c r="AG547" s="532" t="e">
        <f>IF(NFI_Expiration=1,IF(#REF!&lt;VLOOKUP(P$5,NFI,5,0),1,0)*Table_NFI[[#This Row],[Blanket]],Table_NFI[[#This Row],[Blanket]])</f>
        <v>#REF!</v>
      </c>
      <c r="AH547" s="532" t="e">
        <f>IF(NFI_Expiration=1,IF(#REF!&lt;VLOOKUP(Q$5,NFI,5,0),1,0)*Table_NFI[[#This Row],[Kitchen Set]],Table_NFI[Kitchen Set])</f>
        <v>#REF!</v>
      </c>
      <c r="AI547" s="532" t="e">
        <f>IF(NFI_Expiration=1,IF(#REF!&lt;VLOOKUP(R$5,NFI,5,0),1,0)*Table_NFI[[#This Row],[Clothes Kit]],Table_NFI[Clothes Kit])</f>
        <v>#REF!</v>
      </c>
      <c r="AJ547" s="532" t="e">
        <f>IF(NFI_Expiration=1,IF(#REF!&lt;VLOOKUP(S$5,NFI,5,0),1,0)*Table_NFI[[#This Row],[Plastic Bucket]],Table_NFI[Plastic Bucket])</f>
        <v>#REF!</v>
      </c>
      <c r="AK547" s="532" t="e">
        <f>IF(NFI_Expiration=1,IF(#REF!&lt;VLOOKUP(T$5,NFI,5,0),1,0)*Table_NFI[[#This Row],[Plastic Mat]],Table_NFI[Plastic Mat])*IF(Table_NFI[[#This Row],[Distribution Date]]&gt;"2014-04-01",1,2.5)</f>
        <v>#REF!</v>
      </c>
      <c r="AL547" s="532" t="e">
        <f>IF(NFI_Expiration=1,IF(#REF!&lt;VLOOKUP(U$5,NFI,5,0),1,0)*Table_NFI[[#This Row],[Winter Clothes Adult]],Table_NFI[Winter Clothes Adult])</f>
        <v>#REF!</v>
      </c>
      <c r="AM547" s="532"/>
      <c r="AN547" s="532"/>
      <c r="AO547" s="532"/>
      <c r="AP547" s="532">
        <f>IF(Table_NFI[[#This Row],[Winter Clothes Adult]]+Table_NFI[[#This Row],[Winter Clothes Children]]+Table_NFI[[#This Row],[Winter Items Other]]+Table_NFI[[#This Row],[Winter Blanket]]&gt;0,1,0)</f>
        <v>1</v>
      </c>
      <c r="AQ547" s="532"/>
      <c r="AR547" s="532"/>
      <c r="AS547" s="532"/>
      <c r="AT547" s="532"/>
      <c r="AU547" s="532"/>
      <c r="AV547" s="532"/>
      <c r="AW547" s="532"/>
      <c r="AX547" s="203" t="str">
        <f>IFERROR(VLOOKUP(Table_NFI[[#This Row],[Location]],CL,2,0),"")</f>
        <v/>
      </c>
      <c r="AZ547" s="524"/>
      <c r="DS547" s="181"/>
      <c r="DT547" s="181"/>
    </row>
    <row r="548" spans="2:124" hidden="1" x14ac:dyDescent="0.25">
      <c r="B548" s="530">
        <v>43439</v>
      </c>
      <c r="C548" s="530" t="str">
        <f>MONTH(Table_NFI[[#This Row],[Distribution Date]]) &amp; "/" &amp; YEAR(Table_NFI[[#This Row],[Distribution Date]])</f>
        <v>12/2018</v>
      </c>
      <c r="D548" s="629" t="s">
        <v>1916</v>
      </c>
      <c r="E548" s="629" t="s">
        <v>1916</v>
      </c>
      <c r="F548" s="196" t="s">
        <v>378</v>
      </c>
      <c r="G548" s="196" t="s">
        <v>746</v>
      </c>
      <c r="H548" s="196" t="s">
        <v>1873</v>
      </c>
      <c r="I548" s="181"/>
      <c r="J548" s="531"/>
      <c r="K548" s="531"/>
      <c r="L548" s="531"/>
      <c r="M548" s="531"/>
      <c r="N548" s="531"/>
      <c r="O548" s="531"/>
      <c r="P548" s="531"/>
      <c r="Q548" s="531"/>
      <c r="R548" s="531"/>
      <c r="S548" s="531"/>
      <c r="T548" s="531">
        <v>54</v>
      </c>
      <c r="U548" s="805">
        <v>108</v>
      </c>
      <c r="V548" s="805">
        <v>216</v>
      </c>
      <c r="W548" s="531">
        <v>54</v>
      </c>
      <c r="X548" s="531">
        <v>54</v>
      </c>
      <c r="Y548" s="531"/>
      <c r="Z548" s="531">
        <v>27</v>
      </c>
      <c r="AA548" s="531"/>
      <c r="AB548" s="531"/>
      <c r="AC548" s="532" t="e">
        <f>IF(NFI_Expiration=1,IF(#REF!&lt;VLOOKUP(L$5,NFI,5,0),1,0)*Table_NFI[[#This Row],[NFI Core Kit]],Table_NFI[NFI Core Kit])</f>
        <v>#REF!</v>
      </c>
      <c r="AD548" s="532" t="e">
        <f>IF(NFI_Expiration=1,IF(#REF!&lt;VLOOKUP(M$5,NFI,5,0),1,0)*Table_NFI[[#This Row],[Sanitary Kit]],Table_NFI[Sanitary Kit])</f>
        <v>#REF!</v>
      </c>
      <c r="AE548" s="532" t="e">
        <f>IF(NFI_Expiration=1,IF(#REF!&lt;VLOOKUP(N$5,NFI,5,0),1,0)*Table_NFI[[#This Row],[Mosquito net]],Table_NFI[Mosquito net])</f>
        <v>#REF!</v>
      </c>
      <c r="AF548" s="532" t="e">
        <f>IF(NFI_Expiration=1,IF(#REF!&lt;VLOOKUP(O$5,NFI,5,0),1,0)*Table_NFI[[#This Row],[Tarpaulin]],Table_NFI[[#This Row],[Tarpaulin]])</f>
        <v>#REF!</v>
      </c>
      <c r="AG548" s="532" t="e">
        <f>IF(NFI_Expiration=1,IF(#REF!&lt;VLOOKUP(P$5,NFI,5,0),1,0)*Table_NFI[[#This Row],[Blanket]],Table_NFI[[#This Row],[Blanket]])</f>
        <v>#REF!</v>
      </c>
      <c r="AH548" s="532" t="e">
        <f>IF(NFI_Expiration=1,IF(#REF!&lt;VLOOKUP(Q$5,NFI,5,0),1,0)*Table_NFI[[#This Row],[Kitchen Set]],Table_NFI[Kitchen Set])</f>
        <v>#REF!</v>
      </c>
      <c r="AI548" s="532" t="e">
        <f>IF(NFI_Expiration=1,IF(#REF!&lt;VLOOKUP(R$5,NFI,5,0),1,0)*Table_NFI[[#This Row],[Clothes Kit]],Table_NFI[Clothes Kit])</f>
        <v>#REF!</v>
      </c>
      <c r="AJ548" s="532" t="e">
        <f>IF(NFI_Expiration=1,IF(#REF!&lt;VLOOKUP(S$5,NFI,5,0),1,0)*Table_NFI[[#This Row],[Plastic Bucket]],Table_NFI[Plastic Bucket])</f>
        <v>#REF!</v>
      </c>
      <c r="AK548" s="532" t="e">
        <f>IF(NFI_Expiration=1,IF(#REF!&lt;VLOOKUP(T$5,NFI,5,0),1,0)*Table_NFI[[#This Row],[Plastic Mat]],Table_NFI[Plastic Mat])*IF(Table_NFI[[#This Row],[Distribution Date]]&gt;"2014-04-01",1,2.5)</f>
        <v>#REF!</v>
      </c>
      <c r="AL548" s="532" t="e">
        <f>IF(NFI_Expiration=1,IF(#REF!&lt;VLOOKUP(U$5,NFI,5,0),1,0)*Table_NFI[[#This Row],[Winter Clothes Adult]],Table_NFI[Winter Clothes Adult])</f>
        <v>#REF!</v>
      </c>
      <c r="AM548" s="532"/>
      <c r="AN548" s="532"/>
      <c r="AO548" s="532"/>
      <c r="AP548" s="532">
        <f>IF(Table_NFI[[#This Row],[Winter Clothes Adult]]+Table_NFI[[#This Row],[Winter Clothes Children]]+Table_NFI[[#This Row],[Winter Items Other]]+Table_NFI[[#This Row],[Winter Blanket]]&gt;0,1,0)</f>
        <v>1</v>
      </c>
      <c r="AQ548" s="532"/>
      <c r="AR548" s="532"/>
      <c r="AS548" s="532"/>
      <c r="AT548" s="532"/>
      <c r="AU548" s="532"/>
      <c r="AV548" s="532"/>
      <c r="AW548" s="532"/>
      <c r="AX548" s="203" t="str">
        <f>IFERROR(VLOOKUP(Table_NFI[[#This Row],[Location]],CL,2,0),"")</f>
        <v/>
      </c>
      <c r="AZ548" s="524"/>
      <c r="DS548" s="181"/>
      <c r="DT548" s="181"/>
    </row>
    <row r="549" spans="2:124" hidden="1" x14ac:dyDescent="0.25">
      <c r="B549" s="530">
        <v>43438</v>
      </c>
      <c r="C549" s="530" t="str">
        <f>MONTH(Table_NFI[[#This Row],[Distribution Date]]) &amp; "/" &amp; YEAR(Table_NFI[[#This Row],[Distribution Date]])</f>
        <v>12/2018</v>
      </c>
      <c r="D549" s="629" t="s">
        <v>1916</v>
      </c>
      <c r="E549" s="629" t="s">
        <v>1916</v>
      </c>
      <c r="F549" s="196" t="s">
        <v>378</v>
      </c>
      <c r="G549" s="196" t="s">
        <v>746</v>
      </c>
      <c r="H549" s="196" t="s">
        <v>1874</v>
      </c>
      <c r="I549" s="181"/>
      <c r="J549" s="531"/>
      <c r="K549" s="531"/>
      <c r="L549" s="531"/>
      <c r="M549" s="531"/>
      <c r="N549" s="531"/>
      <c r="O549" s="531"/>
      <c r="P549" s="531"/>
      <c r="Q549" s="531"/>
      <c r="R549" s="531"/>
      <c r="S549" s="531"/>
      <c r="T549" s="531">
        <v>80</v>
      </c>
      <c r="U549" s="805">
        <v>160</v>
      </c>
      <c r="V549" s="805">
        <v>320</v>
      </c>
      <c r="W549" s="531">
        <v>80</v>
      </c>
      <c r="X549" s="531">
        <v>80</v>
      </c>
      <c r="Y549" s="531"/>
      <c r="Z549" s="531">
        <v>40</v>
      </c>
      <c r="AA549" s="531"/>
      <c r="AB549" s="531"/>
      <c r="AC549" s="532" t="e">
        <f>IF(NFI_Expiration=1,IF(#REF!&lt;VLOOKUP(L$5,NFI,5,0),1,0)*Table_NFI[[#This Row],[NFI Core Kit]],Table_NFI[NFI Core Kit])</f>
        <v>#REF!</v>
      </c>
      <c r="AD549" s="532" t="e">
        <f>IF(NFI_Expiration=1,IF(#REF!&lt;VLOOKUP(M$5,NFI,5,0),1,0)*Table_NFI[[#This Row],[Sanitary Kit]],Table_NFI[Sanitary Kit])</f>
        <v>#REF!</v>
      </c>
      <c r="AE549" s="532" t="e">
        <f>IF(NFI_Expiration=1,IF(#REF!&lt;VLOOKUP(N$5,NFI,5,0),1,0)*Table_NFI[[#This Row],[Mosquito net]],Table_NFI[Mosquito net])</f>
        <v>#REF!</v>
      </c>
      <c r="AF549" s="532" t="e">
        <f>IF(NFI_Expiration=1,IF(#REF!&lt;VLOOKUP(O$5,NFI,5,0),1,0)*Table_NFI[[#This Row],[Tarpaulin]],Table_NFI[[#This Row],[Tarpaulin]])</f>
        <v>#REF!</v>
      </c>
      <c r="AG549" s="532" t="e">
        <f>IF(NFI_Expiration=1,IF(#REF!&lt;VLOOKUP(P$5,NFI,5,0),1,0)*Table_NFI[[#This Row],[Blanket]],Table_NFI[[#This Row],[Blanket]])</f>
        <v>#REF!</v>
      </c>
      <c r="AH549" s="532" t="e">
        <f>IF(NFI_Expiration=1,IF(#REF!&lt;VLOOKUP(Q$5,NFI,5,0),1,0)*Table_NFI[[#This Row],[Kitchen Set]],Table_NFI[Kitchen Set])</f>
        <v>#REF!</v>
      </c>
      <c r="AI549" s="532" t="e">
        <f>IF(NFI_Expiration=1,IF(#REF!&lt;VLOOKUP(R$5,NFI,5,0),1,0)*Table_NFI[[#This Row],[Clothes Kit]],Table_NFI[Clothes Kit])</f>
        <v>#REF!</v>
      </c>
      <c r="AJ549" s="532" t="e">
        <f>IF(NFI_Expiration=1,IF(#REF!&lt;VLOOKUP(S$5,NFI,5,0),1,0)*Table_NFI[[#This Row],[Plastic Bucket]],Table_NFI[Plastic Bucket])</f>
        <v>#REF!</v>
      </c>
      <c r="AK549" s="532" t="e">
        <f>IF(NFI_Expiration=1,IF(#REF!&lt;VLOOKUP(T$5,NFI,5,0),1,0)*Table_NFI[[#This Row],[Plastic Mat]],Table_NFI[Plastic Mat])*IF(Table_NFI[[#This Row],[Distribution Date]]&gt;"2014-04-01",1,2.5)</f>
        <v>#REF!</v>
      </c>
      <c r="AL549" s="532" t="e">
        <f>IF(NFI_Expiration=1,IF(#REF!&lt;VLOOKUP(U$5,NFI,5,0),1,0)*Table_NFI[[#This Row],[Winter Clothes Adult]],Table_NFI[Winter Clothes Adult])</f>
        <v>#REF!</v>
      </c>
      <c r="AM549" s="532"/>
      <c r="AN549" s="532"/>
      <c r="AO549" s="532"/>
      <c r="AP549" s="532">
        <f>IF(Table_NFI[[#This Row],[Winter Clothes Adult]]+Table_NFI[[#This Row],[Winter Clothes Children]]+Table_NFI[[#This Row],[Winter Items Other]]+Table_NFI[[#This Row],[Winter Blanket]]&gt;0,1,0)</f>
        <v>1</v>
      </c>
      <c r="AQ549" s="532"/>
      <c r="AR549" s="532"/>
      <c r="AS549" s="532"/>
      <c r="AT549" s="532"/>
      <c r="AU549" s="532"/>
      <c r="AV549" s="532"/>
      <c r="AW549" s="532"/>
      <c r="AX549" s="203" t="str">
        <f>IFERROR(VLOOKUP(Table_NFI[[#This Row],[Location]],CL,2,0),"")</f>
        <v/>
      </c>
      <c r="AZ549" s="524"/>
      <c r="DS549" s="181"/>
      <c r="DT549" s="181"/>
    </row>
    <row r="550" spans="2:124" hidden="1" x14ac:dyDescent="0.25">
      <c r="B550" s="530">
        <v>43438</v>
      </c>
      <c r="C550" s="530" t="str">
        <f>MONTH(Table_NFI[[#This Row],[Distribution Date]]) &amp; "/" &amp; YEAR(Table_NFI[[#This Row],[Distribution Date]])</f>
        <v>12/2018</v>
      </c>
      <c r="D550" s="629" t="s">
        <v>1916</v>
      </c>
      <c r="E550" s="629" t="s">
        <v>1916</v>
      </c>
      <c r="F550" s="196" t="s">
        <v>378</v>
      </c>
      <c r="G550" s="196" t="s">
        <v>746</v>
      </c>
      <c r="H550" s="196" t="s">
        <v>1875</v>
      </c>
      <c r="I550" s="181"/>
      <c r="J550" s="531"/>
      <c r="K550" s="531"/>
      <c r="L550" s="531"/>
      <c r="M550" s="531"/>
      <c r="N550" s="531"/>
      <c r="O550" s="531"/>
      <c r="P550" s="531"/>
      <c r="Q550" s="531"/>
      <c r="R550" s="531"/>
      <c r="S550" s="531"/>
      <c r="T550" s="531">
        <v>24</v>
      </c>
      <c r="U550" s="805">
        <v>48</v>
      </c>
      <c r="V550" s="805">
        <v>96</v>
      </c>
      <c r="W550" s="531">
        <v>24</v>
      </c>
      <c r="X550" s="531">
        <v>24</v>
      </c>
      <c r="Y550" s="531"/>
      <c r="Z550" s="531">
        <v>12</v>
      </c>
      <c r="AA550" s="531"/>
      <c r="AB550" s="531"/>
      <c r="AC550" s="532" t="e">
        <f>IF(NFI_Expiration=1,IF(#REF!&lt;VLOOKUP(L$5,NFI,5,0),1,0)*Table_NFI[[#This Row],[NFI Core Kit]],Table_NFI[NFI Core Kit])</f>
        <v>#REF!</v>
      </c>
      <c r="AD550" s="532" t="e">
        <f>IF(NFI_Expiration=1,IF(#REF!&lt;VLOOKUP(M$5,NFI,5,0),1,0)*Table_NFI[[#This Row],[Sanitary Kit]],Table_NFI[Sanitary Kit])</f>
        <v>#REF!</v>
      </c>
      <c r="AE550" s="532" t="e">
        <f>IF(NFI_Expiration=1,IF(#REF!&lt;VLOOKUP(N$5,NFI,5,0),1,0)*Table_NFI[[#This Row],[Mosquito net]],Table_NFI[Mosquito net])</f>
        <v>#REF!</v>
      </c>
      <c r="AF550" s="532" t="e">
        <f>IF(NFI_Expiration=1,IF(#REF!&lt;VLOOKUP(O$5,NFI,5,0),1,0)*Table_NFI[[#This Row],[Tarpaulin]],Table_NFI[[#This Row],[Tarpaulin]])</f>
        <v>#REF!</v>
      </c>
      <c r="AG550" s="532" t="e">
        <f>IF(NFI_Expiration=1,IF(#REF!&lt;VLOOKUP(P$5,NFI,5,0),1,0)*Table_NFI[[#This Row],[Blanket]],Table_NFI[[#This Row],[Blanket]])</f>
        <v>#REF!</v>
      </c>
      <c r="AH550" s="532" t="e">
        <f>IF(NFI_Expiration=1,IF(#REF!&lt;VLOOKUP(Q$5,NFI,5,0),1,0)*Table_NFI[[#This Row],[Kitchen Set]],Table_NFI[Kitchen Set])</f>
        <v>#REF!</v>
      </c>
      <c r="AI550" s="532" t="e">
        <f>IF(NFI_Expiration=1,IF(#REF!&lt;VLOOKUP(R$5,NFI,5,0),1,0)*Table_NFI[[#This Row],[Clothes Kit]],Table_NFI[Clothes Kit])</f>
        <v>#REF!</v>
      </c>
      <c r="AJ550" s="532" t="e">
        <f>IF(NFI_Expiration=1,IF(#REF!&lt;VLOOKUP(S$5,NFI,5,0),1,0)*Table_NFI[[#This Row],[Plastic Bucket]],Table_NFI[Plastic Bucket])</f>
        <v>#REF!</v>
      </c>
      <c r="AK550" s="532" t="e">
        <f>IF(NFI_Expiration=1,IF(#REF!&lt;VLOOKUP(T$5,NFI,5,0),1,0)*Table_NFI[[#This Row],[Plastic Mat]],Table_NFI[Plastic Mat])*IF(Table_NFI[[#This Row],[Distribution Date]]&gt;"2014-04-01",1,2.5)</f>
        <v>#REF!</v>
      </c>
      <c r="AL550" s="532" t="e">
        <f>IF(NFI_Expiration=1,IF(#REF!&lt;VLOOKUP(U$5,NFI,5,0),1,0)*Table_NFI[[#This Row],[Winter Clothes Adult]],Table_NFI[Winter Clothes Adult])</f>
        <v>#REF!</v>
      </c>
      <c r="AM550" s="532"/>
      <c r="AN550" s="532"/>
      <c r="AO550" s="532"/>
      <c r="AP550" s="532">
        <f>IF(Table_NFI[[#This Row],[Winter Clothes Adult]]+Table_NFI[[#This Row],[Winter Clothes Children]]+Table_NFI[[#This Row],[Winter Items Other]]+Table_NFI[[#This Row],[Winter Blanket]]&gt;0,1,0)</f>
        <v>1</v>
      </c>
      <c r="AQ550" s="532"/>
      <c r="AR550" s="532"/>
      <c r="AS550" s="532"/>
      <c r="AT550" s="532"/>
      <c r="AU550" s="532"/>
      <c r="AV550" s="532"/>
      <c r="AW550" s="532"/>
      <c r="AX550" s="203" t="str">
        <f>IFERROR(VLOOKUP(Table_NFI[[#This Row],[Location]],CL,2,0),"")</f>
        <v/>
      </c>
      <c r="AZ550" s="524"/>
      <c r="DS550" s="181"/>
      <c r="DT550" s="181"/>
    </row>
    <row r="551" spans="2:124" hidden="1" x14ac:dyDescent="0.25">
      <c r="B551" s="530">
        <v>43439</v>
      </c>
      <c r="C551" s="530" t="str">
        <f>MONTH(Table_NFI[[#This Row],[Distribution Date]]) &amp; "/" &amp; YEAR(Table_NFI[[#This Row],[Distribution Date]])</f>
        <v>12/2018</v>
      </c>
      <c r="D551" s="629" t="s">
        <v>1916</v>
      </c>
      <c r="E551" s="629" t="s">
        <v>1916</v>
      </c>
      <c r="F551" s="196" t="s">
        <v>378</v>
      </c>
      <c r="G551" s="196" t="s">
        <v>746</v>
      </c>
      <c r="H551" s="196" t="s">
        <v>1876</v>
      </c>
      <c r="I551" s="181"/>
      <c r="J551" s="531"/>
      <c r="K551" s="531"/>
      <c r="L551" s="531"/>
      <c r="M551" s="531"/>
      <c r="N551" s="531"/>
      <c r="O551" s="531"/>
      <c r="P551" s="531"/>
      <c r="Q551" s="531"/>
      <c r="R551" s="531"/>
      <c r="S551" s="531"/>
      <c r="T551" s="531">
        <v>366</v>
      </c>
      <c r="U551" s="805">
        <v>732</v>
      </c>
      <c r="V551" s="805">
        <v>1464</v>
      </c>
      <c r="W551" s="531">
        <v>366</v>
      </c>
      <c r="X551" s="531">
        <v>366</v>
      </c>
      <c r="Y551" s="531"/>
      <c r="Z551" s="531">
        <v>183</v>
      </c>
      <c r="AA551" s="531"/>
      <c r="AB551" s="531"/>
      <c r="AC551" s="532" t="e">
        <f>IF(NFI_Expiration=1,IF(#REF!&lt;VLOOKUP(L$5,NFI,5,0),1,0)*Table_NFI[[#This Row],[NFI Core Kit]],Table_NFI[NFI Core Kit])</f>
        <v>#REF!</v>
      </c>
      <c r="AD551" s="532" t="e">
        <f>IF(NFI_Expiration=1,IF(#REF!&lt;VLOOKUP(M$5,NFI,5,0),1,0)*Table_NFI[[#This Row],[Sanitary Kit]],Table_NFI[Sanitary Kit])</f>
        <v>#REF!</v>
      </c>
      <c r="AE551" s="532" t="e">
        <f>IF(NFI_Expiration=1,IF(#REF!&lt;VLOOKUP(N$5,NFI,5,0),1,0)*Table_NFI[[#This Row],[Mosquito net]],Table_NFI[Mosquito net])</f>
        <v>#REF!</v>
      </c>
      <c r="AF551" s="532" t="e">
        <f>IF(NFI_Expiration=1,IF(#REF!&lt;VLOOKUP(O$5,NFI,5,0),1,0)*Table_NFI[[#This Row],[Tarpaulin]],Table_NFI[[#This Row],[Tarpaulin]])</f>
        <v>#REF!</v>
      </c>
      <c r="AG551" s="532" t="e">
        <f>IF(NFI_Expiration=1,IF(#REF!&lt;VLOOKUP(P$5,NFI,5,0),1,0)*Table_NFI[[#This Row],[Blanket]],Table_NFI[[#This Row],[Blanket]])</f>
        <v>#REF!</v>
      </c>
      <c r="AH551" s="532" t="e">
        <f>IF(NFI_Expiration=1,IF(#REF!&lt;VLOOKUP(Q$5,NFI,5,0),1,0)*Table_NFI[[#This Row],[Kitchen Set]],Table_NFI[Kitchen Set])</f>
        <v>#REF!</v>
      </c>
      <c r="AI551" s="532" t="e">
        <f>IF(NFI_Expiration=1,IF(#REF!&lt;VLOOKUP(R$5,NFI,5,0),1,0)*Table_NFI[[#This Row],[Clothes Kit]],Table_NFI[Clothes Kit])</f>
        <v>#REF!</v>
      </c>
      <c r="AJ551" s="532" t="e">
        <f>IF(NFI_Expiration=1,IF(#REF!&lt;VLOOKUP(S$5,NFI,5,0),1,0)*Table_NFI[[#This Row],[Plastic Bucket]],Table_NFI[Plastic Bucket])</f>
        <v>#REF!</v>
      </c>
      <c r="AK551" s="532" t="e">
        <f>IF(NFI_Expiration=1,IF(#REF!&lt;VLOOKUP(T$5,NFI,5,0),1,0)*Table_NFI[[#This Row],[Plastic Mat]],Table_NFI[Plastic Mat])*IF(Table_NFI[[#This Row],[Distribution Date]]&gt;"2014-04-01",1,2.5)</f>
        <v>#REF!</v>
      </c>
      <c r="AL551" s="532" t="e">
        <f>IF(NFI_Expiration=1,IF(#REF!&lt;VLOOKUP(U$5,NFI,5,0),1,0)*Table_NFI[[#This Row],[Winter Clothes Adult]],Table_NFI[Winter Clothes Adult])</f>
        <v>#REF!</v>
      </c>
      <c r="AM551" s="532"/>
      <c r="AN551" s="532"/>
      <c r="AO551" s="532"/>
      <c r="AP551" s="532">
        <f>IF(Table_NFI[[#This Row],[Winter Clothes Adult]]+Table_NFI[[#This Row],[Winter Clothes Children]]+Table_NFI[[#This Row],[Winter Items Other]]+Table_NFI[[#This Row],[Winter Blanket]]&gt;0,1,0)</f>
        <v>1</v>
      </c>
      <c r="AQ551" s="532"/>
      <c r="AR551" s="532"/>
      <c r="AS551" s="532"/>
      <c r="AT551" s="532"/>
      <c r="AU551" s="532"/>
      <c r="AV551" s="532"/>
      <c r="AW551" s="532"/>
      <c r="AX551" s="203" t="str">
        <f>IFERROR(VLOOKUP(Table_NFI[[#This Row],[Location]],CL,2,0),"")</f>
        <v/>
      </c>
      <c r="AZ551" s="524"/>
      <c r="DS551" s="181"/>
      <c r="DT551" s="181"/>
    </row>
    <row r="552" spans="2:124" hidden="1" x14ac:dyDescent="0.25">
      <c r="B552" s="530">
        <v>43439</v>
      </c>
      <c r="C552" s="530" t="str">
        <f>MONTH(Table_NFI[[#This Row],[Distribution Date]]) &amp; "/" &amp; YEAR(Table_NFI[[#This Row],[Distribution Date]])</f>
        <v>12/2018</v>
      </c>
      <c r="D552" s="629" t="s">
        <v>1916</v>
      </c>
      <c r="E552" s="629" t="s">
        <v>1916</v>
      </c>
      <c r="F552" s="196" t="s">
        <v>378</v>
      </c>
      <c r="G552" s="196" t="s">
        <v>746</v>
      </c>
      <c r="H552" s="196" t="s">
        <v>1877</v>
      </c>
      <c r="I552" s="181"/>
      <c r="J552" s="531"/>
      <c r="K552" s="531"/>
      <c r="L552" s="531"/>
      <c r="M552" s="531"/>
      <c r="N552" s="531"/>
      <c r="O552" s="531"/>
      <c r="P552" s="531"/>
      <c r="Q552" s="531"/>
      <c r="R552" s="531"/>
      <c r="S552" s="531"/>
      <c r="T552" s="531">
        <v>90</v>
      </c>
      <c r="U552" s="805">
        <v>180</v>
      </c>
      <c r="V552" s="805">
        <v>360</v>
      </c>
      <c r="W552" s="531">
        <v>90</v>
      </c>
      <c r="X552" s="531">
        <v>90</v>
      </c>
      <c r="Y552" s="531"/>
      <c r="Z552" s="531">
        <v>45</v>
      </c>
      <c r="AA552" s="531"/>
      <c r="AB552" s="531"/>
      <c r="AC552" s="532" t="e">
        <f>IF(NFI_Expiration=1,IF(#REF!&lt;VLOOKUP(L$5,NFI,5,0),1,0)*Table_NFI[[#This Row],[NFI Core Kit]],Table_NFI[NFI Core Kit])</f>
        <v>#REF!</v>
      </c>
      <c r="AD552" s="532" t="e">
        <f>IF(NFI_Expiration=1,IF(#REF!&lt;VLOOKUP(M$5,NFI,5,0),1,0)*Table_NFI[[#This Row],[Sanitary Kit]],Table_NFI[Sanitary Kit])</f>
        <v>#REF!</v>
      </c>
      <c r="AE552" s="532" t="e">
        <f>IF(NFI_Expiration=1,IF(#REF!&lt;VLOOKUP(N$5,NFI,5,0),1,0)*Table_NFI[[#This Row],[Mosquito net]],Table_NFI[Mosquito net])</f>
        <v>#REF!</v>
      </c>
      <c r="AF552" s="532" t="e">
        <f>IF(NFI_Expiration=1,IF(#REF!&lt;VLOOKUP(O$5,NFI,5,0),1,0)*Table_NFI[[#This Row],[Tarpaulin]],Table_NFI[[#This Row],[Tarpaulin]])</f>
        <v>#REF!</v>
      </c>
      <c r="AG552" s="532" t="e">
        <f>IF(NFI_Expiration=1,IF(#REF!&lt;VLOOKUP(P$5,NFI,5,0),1,0)*Table_NFI[[#This Row],[Blanket]],Table_NFI[[#This Row],[Blanket]])</f>
        <v>#REF!</v>
      </c>
      <c r="AH552" s="532" t="e">
        <f>IF(NFI_Expiration=1,IF(#REF!&lt;VLOOKUP(Q$5,NFI,5,0),1,0)*Table_NFI[[#This Row],[Kitchen Set]],Table_NFI[Kitchen Set])</f>
        <v>#REF!</v>
      </c>
      <c r="AI552" s="532" t="e">
        <f>IF(NFI_Expiration=1,IF(#REF!&lt;VLOOKUP(R$5,NFI,5,0),1,0)*Table_NFI[[#This Row],[Clothes Kit]],Table_NFI[Clothes Kit])</f>
        <v>#REF!</v>
      </c>
      <c r="AJ552" s="532" t="e">
        <f>IF(NFI_Expiration=1,IF(#REF!&lt;VLOOKUP(S$5,NFI,5,0),1,0)*Table_NFI[[#This Row],[Plastic Bucket]],Table_NFI[Plastic Bucket])</f>
        <v>#REF!</v>
      </c>
      <c r="AK552" s="532" t="e">
        <f>IF(NFI_Expiration=1,IF(#REF!&lt;VLOOKUP(T$5,NFI,5,0),1,0)*Table_NFI[[#This Row],[Plastic Mat]],Table_NFI[Plastic Mat])*IF(Table_NFI[[#This Row],[Distribution Date]]&gt;"2014-04-01",1,2.5)</f>
        <v>#REF!</v>
      </c>
      <c r="AL552" s="532" t="e">
        <f>IF(NFI_Expiration=1,IF(#REF!&lt;VLOOKUP(U$5,NFI,5,0),1,0)*Table_NFI[[#This Row],[Winter Clothes Adult]],Table_NFI[Winter Clothes Adult])</f>
        <v>#REF!</v>
      </c>
      <c r="AM552" s="532"/>
      <c r="AN552" s="532"/>
      <c r="AO552" s="532"/>
      <c r="AP552" s="532">
        <f>IF(Table_NFI[[#This Row],[Winter Clothes Adult]]+Table_NFI[[#This Row],[Winter Clothes Children]]+Table_NFI[[#This Row],[Winter Items Other]]+Table_NFI[[#This Row],[Winter Blanket]]&gt;0,1,0)</f>
        <v>1</v>
      </c>
      <c r="AQ552" s="532"/>
      <c r="AR552" s="532"/>
      <c r="AS552" s="532"/>
      <c r="AT552" s="532"/>
      <c r="AU552" s="532"/>
      <c r="AV552" s="532"/>
      <c r="AW552" s="532"/>
      <c r="AX552" s="203" t="str">
        <f>IFERROR(VLOOKUP(Table_NFI[[#This Row],[Location]],CL,2,0),"")</f>
        <v/>
      </c>
      <c r="AZ552" s="524"/>
      <c r="DS552" s="181"/>
      <c r="DT552" s="181"/>
    </row>
    <row r="553" spans="2:124" hidden="1" x14ac:dyDescent="0.25">
      <c r="B553" s="530">
        <v>43440</v>
      </c>
      <c r="C553" s="530" t="str">
        <f>MONTH(Table_NFI[[#This Row],[Distribution Date]]) &amp; "/" &amp; YEAR(Table_NFI[[#This Row],[Distribution Date]])</f>
        <v>12/2018</v>
      </c>
      <c r="D553" s="629" t="s">
        <v>1916</v>
      </c>
      <c r="E553" s="629" t="s">
        <v>1916</v>
      </c>
      <c r="F553" s="196" t="s">
        <v>378</v>
      </c>
      <c r="G553" s="196" t="s">
        <v>746</v>
      </c>
      <c r="H553" s="196" t="s">
        <v>1878</v>
      </c>
      <c r="I553" s="181"/>
      <c r="J553" s="531"/>
      <c r="K553" s="531"/>
      <c r="L553" s="531"/>
      <c r="M553" s="531"/>
      <c r="N553" s="531"/>
      <c r="O553" s="531"/>
      <c r="P553" s="531"/>
      <c r="Q553" s="531"/>
      <c r="R553" s="531"/>
      <c r="S553" s="531"/>
      <c r="T553" s="531">
        <v>22</v>
      </c>
      <c r="U553" s="805">
        <v>44</v>
      </c>
      <c r="V553" s="805">
        <v>88</v>
      </c>
      <c r="W553" s="531">
        <v>22</v>
      </c>
      <c r="X553" s="531">
        <v>22</v>
      </c>
      <c r="Y553" s="531"/>
      <c r="Z553" s="531">
        <v>11</v>
      </c>
      <c r="AA553" s="531"/>
      <c r="AB553" s="531"/>
      <c r="AC553" s="532" t="e">
        <f>IF(NFI_Expiration=1,IF(#REF!&lt;VLOOKUP(L$5,NFI,5,0),1,0)*Table_NFI[[#This Row],[NFI Core Kit]],Table_NFI[NFI Core Kit])</f>
        <v>#REF!</v>
      </c>
      <c r="AD553" s="532" t="e">
        <f>IF(NFI_Expiration=1,IF(#REF!&lt;VLOOKUP(M$5,NFI,5,0),1,0)*Table_NFI[[#This Row],[Sanitary Kit]],Table_NFI[Sanitary Kit])</f>
        <v>#REF!</v>
      </c>
      <c r="AE553" s="532" t="e">
        <f>IF(NFI_Expiration=1,IF(#REF!&lt;VLOOKUP(N$5,NFI,5,0),1,0)*Table_NFI[[#This Row],[Mosquito net]],Table_NFI[Mosquito net])</f>
        <v>#REF!</v>
      </c>
      <c r="AF553" s="532" t="e">
        <f>IF(NFI_Expiration=1,IF(#REF!&lt;VLOOKUP(O$5,NFI,5,0),1,0)*Table_NFI[[#This Row],[Tarpaulin]],Table_NFI[[#This Row],[Tarpaulin]])</f>
        <v>#REF!</v>
      </c>
      <c r="AG553" s="532" t="e">
        <f>IF(NFI_Expiration=1,IF(#REF!&lt;VLOOKUP(P$5,NFI,5,0),1,0)*Table_NFI[[#This Row],[Blanket]],Table_NFI[[#This Row],[Blanket]])</f>
        <v>#REF!</v>
      </c>
      <c r="AH553" s="532" t="e">
        <f>IF(NFI_Expiration=1,IF(#REF!&lt;VLOOKUP(Q$5,NFI,5,0),1,0)*Table_NFI[[#This Row],[Kitchen Set]],Table_NFI[Kitchen Set])</f>
        <v>#REF!</v>
      </c>
      <c r="AI553" s="532" t="e">
        <f>IF(NFI_Expiration=1,IF(#REF!&lt;VLOOKUP(R$5,NFI,5,0),1,0)*Table_NFI[[#This Row],[Clothes Kit]],Table_NFI[Clothes Kit])</f>
        <v>#REF!</v>
      </c>
      <c r="AJ553" s="532" t="e">
        <f>IF(NFI_Expiration=1,IF(#REF!&lt;VLOOKUP(S$5,NFI,5,0),1,0)*Table_NFI[[#This Row],[Plastic Bucket]],Table_NFI[Plastic Bucket])</f>
        <v>#REF!</v>
      </c>
      <c r="AK553" s="532" t="e">
        <f>IF(NFI_Expiration=1,IF(#REF!&lt;VLOOKUP(T$5,NFI,5,0),1,0)*Table_NFI[[#This Row],[Plastic Mat]],Table_NFI[Plastic Mat])*IF(Table_NFI[[#This Row],[Distribution Date]]&gt;"2014-04-01",1,2.5)</f>
        <v>#REF!</v>
      </c>
      <c r="AL553" s="532" t="e">
        <f>IF(NFI_Expiration=1,IF(#REF!&lt;VLOOKUP(U$5,NFI,5,0),1,0)*Table_NFI[[#This Row],[Winter Clothes Adult]],Table_NFI[Winter Clothes Adult])</f>
        <v>#REF!</v>
      </c>
      <c r="AM553" s="532"/>
      <c r="AN553" s="532"/>
      <c r="AO553" s="532"/>
      <c r="AP553" s="532">
        <f>IF(Table_NFI[[#This Row],[Winter Clothes Adult]]+Table_NFI[[#This Row],[Winter Clothes Children]]+Table_NFI[[#This Row],[Winter Items Other]]+Table_NFI[[#This Row],[Winter Blanket]]&gt;0,1,0)</f>
        <v>1</v>
      </c>
      <c r="AQ553" s="532"/>
      <c r="AR553" s="532"/>
      <c r="AS553" s="532"/>
      <c r="AT553" s="532"/>
      <c r="AU553" s="532"/>
      <c r="AV553" s="532"/>
      <c r="AW553" s="532"/>
      <c r="AX553" s="203" t="str">
        <f>IFERROR(VLOOKUP(Table_NFI[[#This Row],[Location]],CL,2,0),"")</f>
        <v/>
      </c>
      <c r="AZ553" s="524"/>
      <c r="DS553" s="181"/>
      <c r="DT553" s="181"/>
    </row>
    <row r="554" spans="2:124" x14ac:dyDescent="0.3">
      <c r="B554" s="530">
        <v>43487</v>
      </c>
      <c r="C554" s="530" t="str">
        <f>MONTH(Table_NFI[[#This Row],[Distribution Date]]) &amp; "/" &amp; YEAR(Table_NFI[[#This Row],[Distribution Date]])</f>
        <v>1/2019</v>
      </c>
      <c r="D554" s="196" t="s">
        <v>1452</v>
      </c>
      <c r="E554" s="196" t="s">
        <v>1850</v>
      </c>
      <c r="F554" s="196" t="s">
        <v>378</v>
      </c>
      <c r="G554" s="35" t="s">
        <v>1797</v>
      </c>
      <c r="H554" s="195" t="s">
        <v>52</v>
      </c>
      <c r="I554" s="210"/>
      <c r="J554" s="531"/>
      <c r="K554" s="531"/>
      <c r="L554" s="531"/>
      <c r="M554" s="531"/>
      <c r="N554" s="531"/>
      <c r="O554" s="531">
        <v>31</v>
      </c>
      <c r="P554" s="531"/>
      <c r="Q554" s="531"/>
      <c r="R554" s="531"/>
      <c r="S554" s="531"/>
      <c r="T554" s="531">
        <v>34</v>
      </c>
      <c r="U554" s="531"/>
      <c r="V554" s="531"/>
      <c r="W554" s="531"/>
      <c r="X554" s="531"/>
      <c r="Y554" s="531"/>
      <c r="Z554" s="702"/>
      <c r="AA554" s="531"/>
      <c r="AB554" s="531"/>
      <c r="AC554" s="532" t="e">
        <f>IF(NFI_Expiration=1,IF(#REF!&lt;VLOOKUP(L$5,NFI,5,0),1,0)*Table_NFI[[#This Row],[NFI Core Kit]],Table_NFI[NFI Core Kit])</f>
        <v>#REF!</v>
      </c>
      <c r="AD554" s="532" t="e">
        <f>IF(NFI_Expiration=1,IF(#REF!&lt;VLOOKUP(M$5,NFI,5,0),1,0)*Table_NFI[[#This Row],[Sanitary Kit]],Table_NFI[Sanitary Kit])</f>
        <v>#REF!</v>
      </c>
      <c r="AE554" s="532" t="e">
        <f>IF(NFI_Expiration=1,IF(#REF!&lt;VLOOKUP(N$5,NFI,5,0),1,0)*Table_NFI[[#This Row],[Mosquito net]],Table_NFI[Mosquito net])</f>
        <v>#REF!</v>
      </c>
      <c r="AF554" s="532" t="e">
        <f>IF(NFI_Expiration=1,IF(#REF!&lt;VLOOKUP(O$5,NFI,5,0),1,0)*Table_NFI[[#This Row],[Tarpaulin]],Table_NFI[[#This Row],[Tarpaulin]])</f>
        <v>#REF!</v>
      </c>
      <c r="AG554" s="532" t="e">
        <f>IF(NFI_Expiration=1,IF(#REF!&lt;VLOOKUP(P$5,NFI,5,0),1,0)*Table_NFI[[#This Row],[Blanket]],Table_NFI[[#This Row],[Blanket]])</f>
        <v>#REF!</v>
      </c>
      <c r="AH554" s="532" t="e">
        <f>IF(NFI_Expiration=1,IF(#REF!&lt;VLOOKUP(Q$5,NFI,5,0),1,0)*Table_NFI[[#This Row],[Kitchen Set]],Table_NFI[Kitchen Set])</f>
        <v>#REF!</v>
      </c>
      <c r="AI554" s="532" t="e">
        <f>IF(NFI_Expiration=1,IF(#REF!&lt;VLOOKUP(R$5,NFI,5,0),1,0)*Table_NFI[[#This Row],[Clothes Kit]],Table_NFI[Clothes Kit])</f>
        <v>#REF!</v>
      </c>
      <c r="AJ554" s="532" t="e">
        <f>IF(NFI_Expiration=1,IF(#REF!&lt;VLOOKUP(S$5,NFI,5,0),1,0)*Table_NFI[[#This Row],[Plastic Bucket]],Table_NFI[Plastic Bucket])</f>
        <v>#REF!</v>
      </c>
      <c r="AK554" s="532" t="e">
        <f>IF(NFI_Expiration=1,IF(#REF!&lt;VLOOKUP(T$5,NFI,5,0),1,0)*Table_NFI[[#This Row],[Plastic Mat]],Table_NFI[Plastic Mat])*IF(Table_NFI[[#This Row],[Distribution Date]]&gt;"2014-04-01",1,2.5)</f>
        <v>#REF!</v>
      </c>
      <c r="AL554" s="532" t="e">
        <f>IF(NFI_Expiration=1,IF(#REF!&lt;VLOOKUP(U$5,NFI,5,0),1,0)*Table_NFI[[#This Row],[Winter Clothes Adult]],Table_NFI[Winter Clothes Adult])</f>
        <v>#REF!</v>
      </c>
      <c r="AM554" s="532"/>
      <c r="AN554" s="532"/>
      <c r="AO554" s="532"/>
      <c r="AP554" s="532">
        <f>IF(Table_NFI[[#This Row],[Winter Clothes Adult]]+Table_NFI[[#This Row],[Winter Clothes Children]]+Table_NFI[[#This Row],[Winter Items Other]]+Table_NFI[[#This Row],[Winter Blanket]]&gt;0,1,0)</f>
        <v>0</v>
      </c>
      <c r="AQ554" s="532"/>
      <c r="AR554" s="532"/>
      <c r="AS554" s="532"/>
      <c r="AT554" s="532"/>
      <c r="AU554" s="532"/>
      <c r="AV554" s="532"/>
      <c r="AW554" s="532"/>
      <c r="AX554" s="203" t="str">
        <f>IFERROR(VLOOKUP(Table_NFI[[#This Row],[Location]],CL,2,0),"")</f>
        <v>MMR001CMP169</v>
      </c>
      <c r="AY554" s="762"/>
      <c r="AZ554" s="524"/>
      <c r="DS554" s="181"/>
      <c r="DT554" s="181"/>
    </row>
    <row r="555" spans="2:124" x14ac:dyDescent="0.3">
      <c r="B555" s="530">
        <v>43488</v>
      </c>
      <c r="C555" s="530" t="str">
        <f>MONTH(Table_NFI[[#This Row],[Distribution Date]]) &amp; "/" &amp; YEAR(Table_NFI[[#This Row],[Distribution Date]])</f>
        <v>1/2019</v>
      </c>
      <c r="D555" s="196" t="s">
        <v>1452</v>
      </c>
      <c r="E555" s="196" t="s">
        <v>1850</v>
      </c>
      <c r="F555" s="196" t="s">
        <v>378</v>
      </c>
      <c r="G555" s="35" t="s">
        <v>1797</v>
      </c>
      <c r="H555" s="171" t="s">
        <v>1156</v>
      </c>
      <c r="I555" s="210"/>
      <c r="J555" s="531"/>
      <c r="K555" s="531"/>
      <c r="L555" s="531"/>
      <c r="M555" s="531"/>
      <c r="N555" s="531">
        <v>60</v>
      </c>
      <c r="O555" s="531">
        <v>28</v>
      </c>
      <c r="P555" s="531"/>
      <c r="Q555" s="531"/>
      <c r="R555" s="531"/>
      <c r="S555" s="531"/>
      <c r="T555" s="531">
        <v>60</v>
      </c>
      <c r="U555" s="531"/>
      <c r="V555" s="531">
        <v>26</v>
      </c>
      <c r="W555" s="531"/>
      <c r="X555" s="531"/>
      <c r="Y555" s="531"/>
      <c r="Z555" s="702"/>
      <c r="AA555" s="531"/>
      <c r="AB555" s="531"/>
      <c r="AC555" s="532" t="e">
        <f>IF(NFI_Expiration=1,IF(#REF!&lt;VLOOKUP(L$5,NFI,5,0),1,0)*Table_NFI[[#This Row],[NFI Core Kit]],Table_NFI[NFI Core Kit])</f>
        <v>#REF!</v>
      </c>
      <c r="AD555" s="532" t="e">
        <f>IF(NFI_Expiration=1,IF(#REF!&lt;VLOOKUP(M$5,NFI,5,0),1,0)*Table_NFI[[#This Row],[Sanitary Kit]],Table_NFI[Sanitary Kit])</f>
        <v>#REF!</v>
      </c>
      <c r="AE555" s="532" t="e">
        <f>IF(NFI_Expiration=1,IF(#REF!&lt;VLOOKUP(N$5,NFI,5,0),1,0)*Table_NFI[[#This Row],[Mosquito net]],Table_NFI[Mosquito net])</f>
        <v>#REF!</v>
      </c>
      <c r="AF555" s="532" t="e">
        <f>IF(NFI_Expiration=1,IF(#REF!&lt;VLOOKUP(O$5,NFI,5,0),1,0)*Table_NFI[[#This Row],[Tarpaulin]],Table_NFI[[#This Row],[Tarpaulin]])</f>
        <v>#REF!</v>
      </c>
      <c r="AG555" s="532" t="e">
        <f>IF(NFI_Expiration=1,IF(#REF!&lt;VLOOKUP(P$5,NFI,5,0),1,0)*Table_NFI[[#This Row],[Blanket]],Table_NFI[[#This Row],[Blanket]])</f>
        <v>#REF!</v>
      </c>
      <c r="AH555" s="532" t="e">
        <f>IF(NFI_Expiration=1,IF(#REF!&lt;VLOOKUP(Q$5,NFI,5,0),1,0)*Table_NFI[[#This Row],[Kitchen Set]],Table_NFI[Kitchen Set])</f>
        <v>#REF!</v>
      </c>
      <c r="AI555" s="532" t="e">
        <f>IF(NFI_Expiration=1,IF(#REF!&lt;VLOOKUP(R$5,NFI,5,0),1,0)*Table_NFI[[#This Row],[Clothes Kit]],Table_NFI[Clothes Kit])</f>
        <v>#REF!</v>
      </c>
      <c r="AJ555" s="532" t="e">
        <f>IF(NFI_Expiration=1,IF(#REF!&lt;VLOOKUP(S$5,NFI,5,0),1,0)*Table_NFI[[#This Row],[Plastic Bucket]],Table_NFI[Plastic Bucket])</f>
        <v>#REF!</v>
      </c>
      <c r="AK555" s="532" t="e">
        <f>IF(NFI_Expiration=1,IF(#REF!&lt;VLOOKUP(T$5,NFI,5,0),1,0)*Table_NFI[[#This Row],[Plastic Mat]],Table_NFI[Plastic Mat])*IF(Table_NFI[[#This Row],[Distribution Date]]&gt;"2014-04-01",1,2.5)</f>
        <v>#REF!</v>
      </c>
      <c r="AL555" s="532" t="e">
        <f>IF(NFI_Expiration=1,IF(#REF!&lt;VLOOKUP(U$5,NFI,5,0),1,0)*Table_NFI[[#This Row],[Winter Clothes Adult]],Table_NFI[Winter Clothes Adult])</f>
        <v>#REF!</v>
      </c>
      <c r="AM555" s="532"/>
      <c r="AN555" s="532"/>
      <c r="AO555" s="532"/>
      <c r="AP555" s="532">
        <f>IF(Table_NFI[[#This Row],[Winter Clothes Adult]]+Table_NFI[[#This Row],[Winter Clothes Children]]+Table_NFI[[#This Row],[Winter Items Other]]+Table_NFI[[#This Row],[Winter Blanket]]&gt;0,1,0)</f>
        <v>1</v>
      </c>
      <c r="AQ555" s="532"/>
      <c r="AR555" s="532"/>
      <c r="AS555" s="532"/>
      <c r="AT555" s="532"/>
      <c r="AU555" s="532"/>
      <c r="AV555" s="532"/>
      <c r="AW555" s="532"/>
      <c r="AX555" s="203" t="str">
        <f>IFERROR(VLOOKUP(Table_NFI[[#This Row],[Location]],CL,2,0),"")</f>
        <v>MMR001CMP244</v>
      </c>
      <c r="AY555" s="762"/>
      <c r="AZ555" s="524"/>
      <c r="DS555" s="181"/>
      <c r="DT555" s="181"/>
    </row>
    <row r="556" spans="2:124" x14ac:dyDescent="0.3">
      <c r="B556" s="530">
        <v>43489</v>
      </c>
      <c r="C556" s="530" t="str">
        <f>MONTH(Table_NFI[[#This Row],[Distribution Date]]) &amp; "/" &amp; YEAR(Table_NFI[[#This Row],[Distribution Date]])</f>
        <v>1/2019</v>
      </c>
      <c r="D556" s="196" t="s">
        <v>1256</v>
      </c>
      <c r="E556" s="196" t="s">
        <v>1256</v>
      </c>
      <c r="F556" s="196" t="s">
        <v>378</v>
      </c>
      <c r="G556" s="196" t="s">
        <v>237</v>
      </c>
      <c r="H556" s="196" t="s">
        <v>272</v>
      </c>
      <c r="I556" s="181"/>
      <c r="J556" s="531"/>
      <c r="K556" s="531"/>
      <c r="L556" s="531"/>
      <c r="M556" s="531"/>
      <c r="N556" s="531"/>
      <c r="O556" s="531"/>
      <c r="P556" s="531"/>
      <c r="Q556" s="531"/>
      <c r="R556" s="531"/>
      <c r="S556" s="531"/>
      <c r="T556" s="531">
        <v>18</v>
      </c>
      <c r="U556" s="531"/>
      <c r="V556" s="531"/>
      <c r="W556" s="531">
        <v>18</v>
      </c>
      <c r="X556" s="531">
        <v>18</v>
      </c>
      <c r="Y556" s="531"/>
      <c r="Z556" s="531"/>
      <c r="AA556" s="531"/>
      <c r="AB556" s="531"/>
      <c r="AC556" s="532" t="e">
        <f>IF(NFI_Expiration=1,IF(#REF!&lt;VLOOKUP(L$5,NFI,5,0),1,0)*Table_NFI[[#This Row],[NFI Core Kit]],Table_NFI[NFI Core Kit])</f>
        <v>#REF!</v>
      </c>
      <c r="AD556" s="532" t="e">
        <f>IF(NFI_Expiration=1,IF(#REF!&lt;VLOOKUP(M$5,NFI,5,0),1,0)*Table_NFI[[#This Row],[Sanitary Kit]],Table_NFI[Sanitary Kit])</f>
        <v>#REF!</v>
      </c>
      <c r="AE556" s="532" t="e">
        <f>IF(NFI_Expiration=1,IF(#REF!&lt;VLOOKUP(N$5,NFI,5,0),1,0)*Table_NFI[[#This Row],[Mosquito net]],Table_NFI[Mosquito net])</f>
        <v>#REF!</v>
      </c>
      <c r="AF556" s="532" t="e">
        <f>IF(NFI_Expiration=1,IF(#REF!&lt;VLOOKUP(O$5,NFI,5,0),1,0)*Table_NFI[[#This Row],[Tarpaulin]],Table_NFI[[#This Row],[Tarpaulin]])</f>
        <v>#REF!</v>
      </c>
      <c r="AG556" s="532" t="e">
        <f>IF(NFI_Expiration=1,IF(#REF!&lt;VLOOKUP(P$5,NFI,5,0),1,0)*Table_NFI[[#This Row],[Blanket]],Table_NFI[[#This Row],[Blanket]])</f>
        <v>#REF!</v>
      </c>
      <c r="AH556" s="532" t="e">
        <f>IF(NFI_Expiration=1,IF(#REF!&lt;VLOOKUP(Q$5,NFI,5,0),1,0)*Table_NFI[[#This Row],[Kitchen Set]],Table_NFI[Kitchen Set])</f>
        <v>#REF!</v>
      </c>
      <c r="AI556" s="532" t="e">
        <f>IF(NFI_Expiration=1,IF(#REF!&lt;VLOOKUP(R$5,NFI,5,0),1,0)*Table_NFI[[#This Row],[Clothes Kit]],Table_NFI[Clothes Kit])</f>
        <v>#REF!</v>
      </c>
      <c r="AJ556" s="532" t="e">
        <f>IF(NFI_Expiration=1,IF(#REF!&lt;VLOOKUP(S$5,NFI,5,0),1,0)*Table_NFI[[#This Row],[Plastic Bucket]],Table_NFI[Plastic Bucket])</f>
        <v>#REF!</v>
      </c>
      <c r="AK556" s="532" t="e">
        <f>IF(NFI_Expiration=1,IF(#REF!&lt;VLOOKUP(T$5,NFI,5,0),1,0)*Table_NFI[[#This Row],[Plastic Mat]],Table_NFI[Plastic Mat])*IF(Table_NFI[[#This Row],[Distribution Date]]&gt;"2014-04-01",1,2.5)</f>
        <v>#REF!</v>
      </c>
      <c r="AL556" s="532" t="e">
        <f>IF(NFI_Expiration=1,IF(#REF!&lt;VLOOKUP(U$5,NFI,5,0),1,0)*Table_NFI[[#This Row],[Winter Clothes Adult]],Table_NFI[Winter Clothes Adult])</f>
        <v>#REF!</v>
      </c>
      <c r="AM556" s="532"/>
      <c r="AN556" s="532"/>
      <c r="AO556" s="532"/>
      <c r="AP556" s="532">
        <f>IF(Table_NFI[[#This Row],[Winter Clothes Adult]]+Table_NFI[[#This Row],[Winter Clothes Children]]+Table_NFI[[#This Row],[Winter Items Other]]+Table_NFI[[#This Row],[Winter Blanket]]&gt;0,1,0)</f>
        <v>1</v>
      </c>
      <c r="AQ556" s="532"/>
      <c r="AR556" s="532"/>
      <c r="AS556" s="532"/>
      <c r="AT556" s="532"/>
      <c r="AU556" s="532"/>
      <c r="AV556" s="532"/>
      <c r="AW556" s="532"/>
      <c r="AX556" s="203" t="str">
        <f>IFERROR(VLOOKUP(Table_NFI[[#This Row],[Location]],CL,2,0),"")</f>
        <v>MMR001CMP162</v>
      </c>
      <c r="AZ556" s="524"/>
      <c r="DS556" s="181"/>
      <c r="DT556" s="181"/>
    </row>
    <row r="557" spans="2:124" x14ac:dyDescent="0.3">
      <c r="B557" s="530">
        <v>43489</v>
      </c>
      <c r="C557" s="530" t="str">
        <f>MONTH(Table_NFI[[#This Row],[Distribution Date]]) &amp; "/" &amp; YEAR(Table_NFI[[#This Row],[Distribution Date]])</f>
        <v>1/2019</v>
      </c>
      <c r="D557" s="196" t="s">
        <v>1452</v>
      </c>
      <c r="E557" s="196" t="s">
        <v>1452</v>
      </c>
      <c r="F557" s="196" t="s">
        <v>506</v>
      </c>
      <c r="G557" s="196" t="s">
        <v>146</v>
      </c>
      <c r="H557" s="196" t="s">
        <v>1230</v>
      </c>
      <c r="I557" s="181"/>
      <c r="J557" s="531"/>
      <c r="K557" s="531"/>
      <c r="L557" s="531">
        <v>35</v>
      </c>
      <c r="M557" s="531"/>
      <c r="N557" s="531"/>
      <c r="O557" s="531"/>
      <c r="P557" s="531"/>
      <c r="Q557" s="531"/>
      <c r="R557" s="531"/>
      <c r="S557" s="531"/>
      <c r="T557" s="531"/>
      <c r="U557" s="531"/>
      <c r="V557" s="531"/>
      <c r="W557" s="531"/>
      <c r="X557" s="531"/>
      <c r="Y557" s="531"/>
      <c r="Z557" s="531"/>
      <c r="AA557" s="531"/>
      <c r="AB557" s="531"/>
      <c r="AC557" s="532" t="e">
        <f>IF(NFI_Expiration=1,IF(#REF!&lt;VLOOKUP(L$5,NFI,5,0),1,0)*Table_NFI[[#This Row],[NFI Core Kit]],Table_NFI[NFI Core Kit])</f>
        <v>#REF!</v>
      </c>
      <c r="AD557" s="532" t="e">
        <f>IF(NFI_Expiration=1,IF(#REF!&lt;VLOOKUP(M$5,NFI,5,0),1,0)*Table_NFI[[#This Row],[Sanitary Kit]],Table_NFI[Sanitary Kit])</f>
        <v>#REF!</v>
      </c>
      <c r="AE557" s="532" t="e">
        <f>IF(NFI_Expiration=1,IF(#REF!&lt;VLOOKUP(N$5,NFI,5,0),1,0)*Table_NFI[[#This Row],[Mosquito net]],Table_NFI[Mosquito net])</f>
        <v>#REF!</v>
      </c>
      <c r="AF557" s="532" t="e">
        <f>IF(NFI_Expiration=1,IF(#REF!&lt;VLOOKUP(O$5,NFI,5,0),1,0)*Table_NFI[[#This Row],[Tarpaulin]],Table_NFI[[#This Row],[Tarpaulin]])</f>
        <v>#REF!</v>
      </c>
      <c r="AG557" s="532" t="e">
        <f>IF(NFI_Expiration=1,IF(#REF!&lt;VLOOKUP(P$5,NFI,5,0),1,0)*Table_NFI[[#This Row],[Blanket]],Table_NFI[[#This Row],[Blanket]])</f>
        <v>#REF!</v>
      </c>
      <c r="AH557" s="532" t="e">
        <f>IF(NFI_Expiration=1,IF(#REF!&lt;VLOOKUP(Q$5,NFI,5,0),1,0)*Table_NFI[[#This Row],[Kitchen Set]],Table_NFI[Kitchen Set])</f>
        <v>#REF!</v>
      </c>
      <c r="AI557" s="532" t="e">
        <f>IF(NFI_Expiration=1,IF(#REF!&lt;VLOOKUP(R$5,NFI,5,0),1,0)*Table_NFI[[#This Row],[Clothes Kit]],Table_NFI[Clothes Kit])</f>
        <v>#REF!</v>
      </c>
      <c r="AJ557" s="532" t="e">
        <f>IF(NFI_Expiration=1,IF(#REF!&lt;VLOOKUP(S$5,NFI,5,0),1,0)*Table_NFI[[#This Row],[Plastic Bucket]],Table_NFI[Plastic Bucket])</f>
        <v>#REF!</v>
      </c>
      <c r="AK557" s="532" t="e">
        <f>IF(NFI_Expiration=1,IF(#REF!&lt;VLOOKUP(T$5,NFI,5,0),1,0)*Table_NFI[[#This Row],[Plastic Mat]],Table_NFI[Plastic Mat])*IF(Table_NFI[[#This Row],[Distribution Date]]&gt;"2014-04-01",1,2.5)</f>
        <v>#REF!</v>
      </c>
      <c r="AL557" s="532" t="e">
        <f>IF(NFI_Expiration=1,IF(#REF!&lt;VLOOKUP(U$5,NFI,5,0),1,0)*Table_NFI[[#This Row],[Winter Clothes Adult]],Table_NFI[Winter Clothes Adult])</f>
        <v>#REF!</v>
      </c>
      <c r="AM557" s="532"/>
      <c r="AN557" s="532"/>
      <c r="AO557" s="532"/>
      <c r="AP557" s="532">
        <f>IF(Table_NFI[[#This Row],[Winter Clothes Adult]]+Table_NFI[[#This Row],[Winter Clothes Children]]+Table_NFI[[#This Row],[Winter Items Other]]+Table_NFI[[#This Row],[Winter Blanket]]&gt;0,1,0)</f>
        <v>0</v>
      </c>
      <c r="AQ557" s="532"/>
      <c r="AR557" s="532"/>
      <c r="AS557" s="532"/>
      <c r="AT557" s="532"/>
      <c r="AU557" s="532"/>
      <c r="AV557" s="532"/>
      <c r="AW557" s="532"/>
      <c r="AX557" s="203" t="str">
        <f>IFERROR(VLOOKUP(Table_NFI[[#This Row],[Location]],CL,2,0),"")</f>
        <v>MMR015CMP245</v>
      </c>
      <c r="AZ557" s="524"/>
      <c r="DS557" s="181"/>
      <c r="DT557" s="181"/>
    </row>
    <row r="558" spans="2:124" x14ac:dyDescent="0.3">
      <c r="B558" s="530">
        <v>43495</v>
      </c>
      <c r="C558" s="530" t="str">
        <f>MONTH(Table_NFI[[#This Row],[Distribution Date]]) &amp; "/" &amp; YEAR(Table_NFI[[#This Row],[Distribution Date]])</f>
        <v>1/2019</v>
      </c>
      <c r="D558" s="196" t="s">
        <v>1452</v>
      </c>
      <c r="E558" s="196" t="s">
        <v>1452</v>
      </c>
      <c r="F558" s="196" t="s">
        <v>506</v>
      </c>
      <c r="G558" s="196" t="s">
        <v>146</v>
      </c>
      <c r="H558" s="196" t="s">
        <v>1237</v>
      </c>
      <c r="I558" s="181"/>
      <c r="J558" s="531"/>
      <c r="K558" s="531"/>
      <c r="L558" s="531"/>
      <c r="M558" s="531"/>
      <c r="N558" s="531"/>
      <c r="O558" s="531"/>
      <c r="P558" s="531"/>
      <c r="Q558" s="531"/>
      <c r="R558" s="531"/>
      <c r="S558" s="531"/>
      <c r="T558" s="531"/>
      <c r="U558" s="531"/>
      <c r="V558" s="531">
        <v>37</v>
      </c>
      <c r="W558" s="531"/>
      <c r="X558" s="531"/>
      <c r="Y558" s="531"/>
      <c r="Z558" s="531"/>
      <c r="AA558" s="531"/>
      <c r="AB558" s="531"/>
      <c r="AC558" s="532" t="e">
        <f>IF(NFI_Expiration=1,IF(#REF!&lt;VLOOKUP(L$5,NFI,5,0),1,0)*Table_NFI[[#This Row],[NFI Core Kit]],Table_NFI[NFI Core Kit])</f>
        <v>#REF!</v>
      </c>
      <c r="AD558" s="532" t="e">
        <f>IF(NFI_Expiration=1,IF(#REF!&lt;VLOOKUP(M$5,NFI,5,0),1,0)*Table_NFI[[#This Row],[Sanitary Kit]],Table_NFI[Sanitary Kit])</f>
        <v>#REF!</v>
      </c>
      <c r="AE558" s="532" t="e">
        <f>IF(NFI_Expiration=1,IF(#REF!&lt;VLOOKUP(N$5,NFI,5,0),1,0)*Table_NFI[[#This Row],[Mosquito net]],Table_NFI[Mosquito net])</f>
        <v>#REF!</v>
      </c>
      <c r="AF558" s="532" t="e">
        <f>IF(NFI_Expiration=1,IF(#REF!&lt;VLOOKUP(O$5,NFI,5,0),1,0)*Table_NFI[[#This Row],[Tarpaulin]],Table_NFI[[#This Row],[Tarpaulin]])</f>
        <v>#REF!</v>
      </c>
      <c r="AG558" s="532" t="e">
        <f>IF(NFI_Expiration=1,IF(#REF!&lt;VLOOKUP(P$5,NFI,5,0),1,0)*Table_NFI[[#This Row],[Blanket]],Table_NFI[[#This Row],[Blanket]])</f>
        <v>#REF!</v>
      </c>
      <c r="AH558" s="532" t="e">
        <f>IF(NFI_Expiration=1,IF(#REF!&lt;VLOOKUP(Q$5,NFI,5,0),1,0)*Table_NFI[[#This Row],[Kitchen Set]],Table_NFI[Kitchen Set])</f>
        <v>#REF!</v>
      </c>
      <c r="AI558" s="532" t="e">
        <f>IF(NFI_Expiration=1,IF(#REF!&lt;VLOOKUP(R$5,NFI,5,0),1,0)*Table_NFI[[#This Row],[Clothes Kit]],Table_NFI[Clothes Kit])</f>
        <v>#REF!</v>
      </c>
      <c r="AJ558" s="532" t="e">
        <f>IF(NFI_Expiration=1,IF(#REF!&lt;VLOOKUP(S$5,NFI,5,0),1,0)*Table_NFI[[#This Row],[Plastic Bucket]],Table_NFI[Plastic Bucket])</f>
        <v>#REF!</v>
      </c>
      <c r="AK558" s="532" t="e">
        <f>IF(NFI_Expiration=1,IF(#REF!&lt;VLOOKUP(T$5,NFI,5,0),1,0)*Table_NFI[[#This Row],[Plastic Mat]],Table_NFI[Plastic Mat])*IF(Table_NFI[[#This Row],[Distribution Date]]&gt;"2014-04-01",1,2.5)</f>
        <v>#REF!</v>
      </c>
      <c r="AL558" s="532" t="e">
        <f>IF(NFI_Expiration=1,IF(#REF!&lt;VLOOKUP(U$5,NFI,5,0),1,0)*Table_NFI[[#This Row],[Winter Clothes Adult]],Table_NFI[Winter Clothes Adult])</f>
        <v>#REF!</v>
      </c>
      <c r="AM558" s="532"/>
      <c r="AN558" s="532"/>
      <c r="AO558" s="532"/>
      <c r="AP558" s="532">
        <f>IF(Table_NFI[[#This Row],[Winter Clothes Adult]]+Table_NFI[[#This Row],[Winter Clothes Children]]+Table_NFI[[#This Row],[Winter Items Other]]+Table_NFI[[#This Row],[Winter Blanket]]&gt;0,1,0)</f>
        <v>1</v>
      </c>
      <c r="AQ558" s="532"/>
      <c r="AR558" s="532"/>
      <c r="AS558" s="532"/>
      <c r="AT558" s="532"/>
      <c r="AU558" s="532"/>
      <c r="AV558" s="532"/>
      <c r="AW558" s="532"/>
      <c r="AX558" s="203" t="str">
        <f>IFERROR(VLOOKUP(Table_NFI[[#This Row],[Location]],CL,2,0),"")</f>
        <v>MMR015CMP246</v>
      </c>
      <c r="AZ558" s="524"/>
      <c r="DS558" s="181"/>
      <c r="DT558" s="181"/>
    </row>
    <row r="559" spans="2:124" x14ac:dyDescent="0.3">
      <c r="B559" s="530">
        <v>43496</v>
      </c>
      <c r="C559" s="530" t="str">
        <f>MONTH(Table_NFI[[#This Row],[Distribution Date]]) &amp; "/" &amp; YEAR(Table_NFI[[#This Row],[Distribution Date]])</f>
        <v>1/2019</v>
      </c>
      <c r="D559" s="196" t="s">
        <v>1256</v>
      </c>
      <c r="E559" s="196" t="s">
        <v>1256</v>
      </c>
      <c r="F559" s="196" t="s">
        <v>506</v>
      </c>
      <c r="G559" s="196" t="s">
        <v>146</v>
      </c>
      <c r="H559" s="196" t="s">
        <v>1237</v>
      </c>
      <c r="I559" s="181"/>
      <c r="J559" s="531"/>
      <c r="K559" s="531"/>
      <c r="L559" s="531"/>
      <c r="M559" s="531"/>
      <c r="N559" s="531"/>
      <c r="O559" s="531"/>
      <c r="P559" s="531"/>
      <c r="Q559" s="531"/>
      <c r="R559" s="531"/>
      <c r="S559" s="531"/>
      <c r="T559" s="531">
        <v>22</v>
      </c>
      <c r="U559" s="531"/>
      <c r="V559" s="531"/>
      <c r="W559" s="531">
        <v>22</v>
      </c>
      <c r="X559" s="531"/>
      <c r="Y559" s="531"/>
      <c r="Z559" s="531"/>
      <c r="AA559" s="531"/>
      <c r="AB559" s="531"/>
      <c r="AC559" s="532" t="e">
        <f>IF(NFI_Expiration=1,IF(#REF!&lt;VLOOKUP(L$5,NFI,5,0),1,0)*Table_NFI[[#This Row],[NFI Core Kit]],Table_NFI[NFI Core Kit])</f>
        <v>#REF!</v>
      </c>
      <c r="AD559" s="532" t="e">
        <f>IF(NFI_Expiration=1,IF(#REF!&lt;VLOOKUP(M$5,NFI,5,0),1,0)*Table_NFI[[#This Row],[Sanitary Kit]],Table_NFI[Sanitary Kit])</f>
        <v>#REF!</v>
      </c>
      <c r="AE559" s="532" t="e">
        <f>IF(NFI_Expiration=1,IF(#REF!&lt;VLOOKUP(N$5,NFI,5,0),1,0)*Table_NFI[[#This Row],[Mosquito net]],Table_NFI[Mosquito net])</f>
        <v>#REF!</v>
      </c>
      <c r="AF559" s="532" t="e">
        <f>IF(NFI_Expiration=1,IF(#REF!&lt;VLOOKUP(O$5,NFI,5,0),1,0)*Table_NFI[[#This Row],[Tarpaulin]],Table_NFI[[#This Row],[Tarpaulin]])</f>
        <v>#REF!</v>
      </c>
      <c r="AG559" s="532" t="e">
        <f>IF(NFI_Expiration=1,IF(#REF!&lt;VLOOKUP(P$5,NFI,5,0),1,0)*Table_NFI[[#This Row],[Blanket]],Table_NFI[[#This Row],[Blanket]])</f>
        <v>#REF!</v>
      </c>
      <c r="AH559" s="532" t="e">
        <f>IF(NFI_Expiration=1,IF(#REF!&lt;VLOOKUP(Q$5,NFI,5,0),1,0)*Table_NFI[[#This Row],[Kitchen Set]],Table_NFI[Kitchen Set])</f>
        <v>#REF!</v>
      </c>
      <c r="AI559" s="532" t="e">
        <f>IF(NFI_Expiration=1,IF(#REF!&lt;VLOOKUP(R$5,NFI,5,0),1,0)*Table_NFI[[#This Row],[Clothes Kit]],Table_NFI[Clothes Kit])</f>
        <v>#REF!</v>
      </c>
      <c r="AJ559" s="532" t="e">
        <f>IF(NFI_Expiration=1,IF(#REF!&lt;VLOOKUP(S$5,NFI,5,0),1,0)*Table_NFI[[#This Row],[Plastic Bucket]],Table_NFI[Plastic Bucket])</f>
        <v>#REF!</v>
      </c>
      <c r="AK559" s="532" t="e">
        <f>IF(NFI_Expiration=1,IF(#REF!&lt;VLOOKUP(T$5,NFI,5,0),1,0)*Table_NFI[[#This Row],[Plastic Mat]],Table_NFI[Plastic Mat])*IF(Table_NFI[[#This Row],[Distribution Date]]&gt;"2014-04-01",1,2.5)</f>
        <v>#REF!</v>
      </c>
      <c r="AL559" s="532" t="e">
        <f>IF(NFI_Expiration=1,IF(#REF!&lt;VLOOKUP(U$5,NFI,5,0),1,0)*Table_NFI[[#This Row],[Winter Clothes Adult]],Table_NFI[Winter Clothes Adult])</f>
        <v>#REF!</v>
      </c>
      <c r="AM559" s="532"/>
      <c r="AN559" s="532"/>
      <c r="AO559" s="532"/>
      <c r="AP559" s="532">
        <f>IF(Table_NFI[[#This Row],[Winter Clothes Adult]]+Table_NFI[[#This Row],[Winter Clothes Children]]+Table_NFI[[#This Row],[Winter Items Other]]+Table_NFI[[#This Row],[Winter Blanket]]&gt;0,1,0)</f>
        <v>1</v>
      </c>
      <c r="AQ559" s="532"/>
      <c r="AR559" s="532"/>
      <c r="AS559" s="532"/>
      <c r="AT559" s="532"/>
      <c r="AU559" s="532"/>
      <c r="AV559" s="532"/>
      <c r="AW559" s="532"/>
      <c r="AX559" s="203" t="str">
        <f>IFERROR(VLOOKUP(Table_NFI[[#This Row],[Location]],CL,2,0),"")</f>
        <v>MMR015CMP246</v>
      </c>
      <c r="AZ559" s="524"/>
      <c r="DS559" s="181"/>
      <c r="DT559" s="181"/>
    </row>
    <row r="560" spans="2:124" x14ac:dyDescent="0.3">
      <c r="B560" s="530">
        <v>43496</v>
      </c>
      <c r="C560" s="530" t="str">
        <f>MONTH(Table_NFI[[#This Row],[Distribution Date]]) &amp; "/" &amp; YEAR(Table_NFI[[#This Row],[Distribution Date]])</f>
        <v>1/2019</v>
      </c>
      <c r="D560" s="196" t="s">
        <v>420</v>
      </c>
      <c r="E560" s="196" t="s">
        <v>420</v>
      </c>
      <c r="F560" s="196" t="s">
        <v>378</v>
      </c>
      <c r="G560" s="195" t="s">
        <v>5</v>
      </c>
      <c r="H560" s="196" t="s">
        <v>24</v>
      </c>
      <c r="I560" s="181"/>
      <c r="J560" s="531"/>
      <c r="K560" s="531"/>
      <c r="L560" s="531"/>
      <c r="M560" s="531"/>
      <c r="N560" s="531"/>
      <c r="O560" s="531"/>
      <c r="P560" s="531"/>
      <c r="Q560" s="531"/>
      <c r="R560" s="531"/>
      <c r="S560" s="531"/>
      <c r="T560" s="531"/>
      <c r="U560" s="531"/>
      <c r="V560" s="531"/>
      <c r="W560" s="531"/>
      <c r="X560" s="531"/>
      <c r="Y560" s="531"/>
      <c r="Z560" s="531">
        <v>12</v>
      </c>
      <c r="AA560" s="531"/>
      <c r="AB560" s="531"/>
      <c r="AC560" s="532" t="e">
        <f>IF(NFI_Expiration=1,IF(#REF!&lt;VLOOKUP(L$5,NFI,5,0),1,0)*Table_NFI[[#This Row],[NFI Core Kit]],Table_NFI[NFI Core Kit])</f>
        <v>#REF!</v>
      </c>
      <c r="AD560" s="532" t="e">
        <f>IF(NFI_Expiration=1,IF(#REF!&lt;VLOOKUP(M$5,NFI,5,0),1,0)*Table_NFI[[#This Row],[Sanitary Kit]],Table_NFI[Sanitary Kit])</f>
        <v>#REF!</v>
      </c>
      <c r="AE560" s="532" t="e">
        <f>IF(NFI_Expiration=1,IF(#REF!&lt;VLOOKUP(N$5,NFI,5,0),1,0)*Table_NFI[[#This Row],[Mosquito net]],Table_NFI[Mosquito net])</f>
        <v>#REF!</v>
      </c>
      <c r="AF560" s="532" t="e">
        <f>IF(NFI_Expiration=1,IF(#REF!&lt;VLOOKUP(O$5,NFI,5,0),1,0)*Table_NFI[[#This Row],[Tarpaulin]],Table_NFI[[#This Row],[Tarpaulin]])</f>
        <v>#REF!</v>
      </c>
      <c r="AG560" s="532" t="e">
        <f>IF(NFI_Expiration=1,IF(#REF!&lt;VLOOKUP(P$5,NFI,5,0),1,0)*Table_NFI[[#This Row],[Blanket]],Table_NFI[[#This Row],[Blanket]])</f>
        <v>#REF!</v>
      </c>
      <c r="AH560" s="532" t="e">
        <f>IF(NFI_Expiration=1,IF(#REF!&lt;VLOOKUP(Q$5,NFI,5,0),1,0)*Table_NFI[[#This Row],[Kitchen Set]],Table_NFI[Kitchen Set])</f>
        <v>#REF!</v>
      </c>
      <c r="AI560" s="532" t="e">
        <f>IF(NFI_Expiration=1,IF(#REF!&lt;VLOOKUP(R$5,NFI,5,0),1,0)*Table_NFI[[#This Row],[Clothes Kit]],Table_NFI[Clothes Kit])</f>
        <v>#REF!</v>
      </c>
      <c r="AJ560" s="532" t="e">
        <f>IF(NFI_Expiration=1,IF(#REF!&lt;VLOOKUP(S$5,NFI,5,0),1,0)*Table_NFI[[#This Row],[Plastic Bucket]],Table_NFI[Plastic Bucket])</f>
        <v>#REF!</v>
      </c>
      <c r="AK560" s="532" t="e">
        <f>IF(NFI_Expiration=1,IF(#REF!&lt;VLOOKUP(T$5,NFI,5,0),1,0)*Table_NFI[[#This Row],[Plastic Mat]],Table_NFI[Plastic Mat])*IF(Table_NFI[[#This Row],[Distribution Date]]&gt;"2014-04-01",1,2.5)</f>
        <v>#REF!</v>
      </c>
      <c r="AL560" s="532" t="e">
        <f>IF(NFI_Expiration=1,IF(#REF!&lt;VLOOKUP(U$5,NFI,5,0),1,0)*Table_NFI[[#This Row],[Winter Clothes Adult]],Table_NFI[Winter Clothes Adult])</f>
        <v>#REF!</v>
      </c>
      <c r="AM560" s="532"/>
      <c r="AN560" s="532"/>
      <c r="AO560" s="532"/>
      <c r="AP560" s="532">
        <f>IF(Table_NFI[[#This Row],[Winter Clothes Adult]]+Table_NFI[[#This Row],[Winter Clothes Children]]+Table_NFI[[#This Row],[Winter Items Other]]+Table_NFI[[#This Row],[Winter Blanket]]&gt;0,1,0)</f>
        <v>0</v>
      </c>
      <c r="AQ560" s="532"/>
      <c r="AR560" s="532"/>
      <c r="AS560" s="532"/>
      <c r="AT560" s="532"/>
      <c r="AU560" s="532"/>
      <c r="AV560" s="532"/>
      <c r="AW560" s="532"/>
      <c r="AX560" s="203" t="str">
        <f>IFERROR(VLOOKUP(Table_NFI[[#This Row],[Location]],CL,2,0),"")</f>
        <v>MMR001CMP055</v>
      </c>
      <c r="AY560" s="181" t="s">
        <v>1954</v>
      </c>
      <c r="AZ560" s="524"/>
      <c r="DS560" s="181"/>
      <c r="DT560" s="181"/>
    </row>
    <row r="561" spans="2:124" x14ac:dyDescent="0.3">
      <c r="B561" s="530">
        <v>43496</v>
      </c>
      <c r="C561" s="530" t="str">
        <f>MONTH(Table_NFI[[#This Row],[Distribution Date]]) &amp; "/" &amp; YEAR(Table_NFI[[#This Row],[Distribution Date]])</f>
        <v>1/2019</v>
      </c>
      <c r="D561" s="196" t="s">
        <v>420</v>
      </c>
      <c r="E561" s="196" t="s">
        <v>420</v>
      </c>
      <c r="F561" s="196" t="s">
        <v>378</v>
      </c>
      <c r="G561" s="195" t="s">
        <v>5</v>
      </c>
      <c r="H561" s="196" t="s">
        <v>26</v>
      </c>
      <c r="I561" s="181"/>
      <c r="J561" s="531"/>
      <c r="K561" s="531"/>
      <c r="L561" s="531"/>
      <c r="M561" s="531"/>
      <c r="N561" s="531"/>
      <c r="O561" s="531">
        <v>5</v>
      </c>
      <c r="P561" s="531"/>
      <c r="Q561" s="531"/>
      <c r="R561" s="531"/>
      <c r="S561" s="531"/>
      <c r="T561" s="531"/>
      <c r="U561" s="531"/>
      <c r="V561" s="531"/>
      <c r="W561" s="531"/>
      <c r="X561" s="531"/>
      <c r="Y561" s="531"/>
      <c r="Z561" s="531">
        <v>8</v>
      </c>
      <c r="AA561" s="531"/>
      <c r="AB561" s="531"/>
      <c r="AC561" s="532" t="e">
        <f>IF(NFI_Expiration=1,IF(#REF!&lt;VLOOKUP(L$5,NFI,5,0),1,0)*Table_NFI[[#This Row],[NFI Core Kit]],Table_NFI[NFI Core Kit])</f>
        <v>#REF!</v>
      </c>
      <c r="AD561" s="532" t="e">
        <f>IF(NFI_Expiration=1,IF(#REF!&lt;VLOOKUP(M$5,NFI,5,0),1,0)*Table_NFI[[#This Row],[Sanitary Kit]],Table_NFI[Sanitary Kit])</f>
        <v>#REF!</v>
      </c>
      <c r="AE561" s="532" t="e">
        <f>IF(NFI_Expiration=1,IF(#REF!&lt;VLOOKUP(N$5,NFI,5,0),1,0)*Table_NFI[[#This Row],[Mosquito net]],Table_NFI[Mosquito net])</f>
        <v>#REF!</v>
      </c>
      <c r="AF561" s="532" t="e">
        <f>IF(NFI_Expiration=1,IF(#REF!&lt;VLOOKUP(O$5,NFI,5,0),1,0)*Table_NFI[[#This Row],[Tarpaulin]],Table_NFI[[#This Row],[Tarpaulin]])</f>
        <v>#REF!</v>
      </c>
      <c r="AG561" s="532" t="e">
        <f>IF(NFI_Expiration=1,IF(#REF!&lt;VLOOKUP(P$5,NFI,5,0),1,0)*Table_NFI[[#This Row],[Blanket]],Table_NFI[[#This Row],[Blanket]])</f>
        <v>#REF!</v>
      </c>
      <c r="AH561" s="532" t="e">
        <f>IF(NFI_Expiration=1,IF(#REF!&lt;VLOOKUP(Q$5,NFI,5,0),1,0)*Table_NFI[[#This Row],[Kitchen Set]],Table_NFI[Kitchen Set])</f>
        <v>#REF!</v>
      </c>
      <c r="AI561" s="532" t="e">
        <f>IF(NFI_Expiration=1,IF(#REF!&lt;VLOOKUP(R$5,NFI,5,0),1,0)*Table_NFI[[#This Row],[Clothes Kit]],Table_NFI[Clothes Kit])</f>
        <v>#REF!</v>
      </c>
      <c r="AJ561" s="532" t="e">
        <f>IF(NFI_Expiration=1,IF(#REF!&lt;VLOOKUP(S$5,NFI,5,0),1,0)*Table_NFI[[#This Row],[Plastic Bucket]],Table_NFI[Plastic Bucket])</f>
        <v>#REF!</v>
      </c>
      <c r="AK561" s="532" t="e">
        <f>IF(NFI_Expiration=1,IF(#REF!&lt;VLOOKUP(T$5,NFI,5,0),1,0)*Table_NFI[[#This Row],[Plastic Mat]],Table_NFI[Plastic Mat])*IF(Table_NFI[[#This Row],[Distribution Date]]&gt;"2014-04-01",1,2.5)</f>
        <v>#REF!</v>
      </c>
      <c r="AL561" s="532" t="e">
        <f>IF(NFI_Expiration=1,IF(#REF!&lt;VLOOKUP(U$5,NFI,5,0),1,0)*Table_NFI[[#This Row],[Winter Clothes Adult]],Table_NFI[Winter Clothes Adult])</f>
        <v>#REF!</v>
      </c>
      <c r="AM561" s="532"/>
      <c r="AN561" s="532"/>
      <c r="AO561" s="532"/>
      <c r="AP561" s="532">
        <f>IF(Table_NFI[[#This Row],[Winter Clothes Adult]]+Table_NFI[[#This Row],[Winter Clothes Children]]+Table_NFI[[#This Row],[Winter Items Other]]+Table_NFI[[#This Row],[Winter Blanket]]&gt;0,1,0)</f>
        <v>0</v>
      </c>
      <c r="AQ561" s="532"/>
      <c r="AR561" s="532"/>
      <c r="AS561" s="532"/>
      <c r="AT561" s="532"/>
      <c r="AU561" s="532"/>
      <c r="AV561" s="532"/>
      <c r="AW561" s="532"/>
      <c r="AX561" s="203" t="str">
        <f>IFERROR(VLOOKUP(Table_NFI[[#This Row],[Location]],CL,2,0),"")</f>
        <v>MMR001CMP053</v>
      </c>
      <c r="AY561" s="181" t="s">
        <v>1955</v>
      </c>
      <c r="AZ561" s="524"/>
      <c r="DS561" s="181"/>
      <c r="DT561" s="181"/>
    </row>
    <row r="562" spans="2:124" x14ac:dyDescent="0.3">
      <c r="B562" s="530">
        <v>43501</v>
      </c>
      <c r="C562" s="530" t="str">
        <f>MONTH(Table_NFI[[#This Row],[Distribution Date]]) &amp; "/" &amp; YEAR(Table_NFI[[#This Row],[Distribution Date]])</f>
        <v>2/2019</v>
      </c>
      <c r="D562" s="196" t="s">
        <v>1256</v>
      </c>
      <c r="E562" s="196" t="s">
        <v>1256</v>
      </c>
      <c r="F562" s="196" t="s">
        <v>506</v>
      </c>
      <c r="G562" s="196" t="s">
        <v>1198</v>
      </c>
      <c r="H562" s="196" t="s">
        <v>1195</v>
      </c>
      <c r="I562" s="181"/>
      <c r="J562" s="531"/>
      <c r="K562" s="531"/>
      <c r="L562" s="531"/>
      <c r="M562" s="531"/>
      <c r="N562" s="531"/>
      <c r="O562" s="531">
        <v>35</v>
      </c>
      <c r="P562" s="531"/>
      <c r="Q562" s="531"/>
      <c r="R562" s="531"/>
      <c r="S562" s="531"/>
      <c r="T562" s="531">
        <v>35</v>
      </c>
      <c r="U562" s="531"/>
      <c r="V562" s="531"/>
      <c r="W562" s="531">
        <v>37</v>
      </c>
      <c r="X562" s="531">
        <v>39</v>
      </c>
      <c r="Y562" s="531"/>
      <c r="Z562" s="531"/>
      <c r="AA562" s="531"/>
      <c r="AB562" s="531"/>
      <c r="AC562" s="532" t="e">
        <f>IF(NFI_Expiration=1,IF(#REF!&lt;VLOOKUP(L$5,NFI,5,0),1,0)*Table_NFI[[#This Row],[NFI Core Kit]],Table_NFI[NFI Core Kit])</f>
        <v>#REF!</v>
      </c>
      <c r="AD562" s="532" t="e">
        <f>IF(NFI_Expiration=1,IF(#REF!&lt;VLOOKUP(M$5,NFI,5,0),1,0)*Table_NFI[[#This Row],[Sanitary Kit]],Table_NFI[Sanitary Kit])</f>
        <v>#REF!</v>
      </c>
      <c r="AE562" s="532" t="e">
        <f>IF(NFI_Expiration=1,IF(#REF!&lt;VLOOKUP(N$5,NFI,5,0),1,0)*Table_NFI[[#This Row],[Mosquito net]],Table_NFI[Mosquito net])</f>
        <v>#REF!</v>
      </c>
      <c r="AF562" s="532" t="e">
        <f>IF(NFI_Expiration=1,IF(#REF!&lt;VLOOKUP(O$5,NFI,5,0),1,0)*Table_NFI[[#This Row],[Tarpaulin]],Table_NFI[[#This Row],[Tarpaulin]])</f>
        <v>#REF!</v>
      </c>
      <c r="AG562" s="532" t="e">
        <f>IF(NFI_Expiration=1,IF(#REF!&lt;VLOOKUP(P$5,NFI,5,0),1,0)*Table_NFI[[#This Row],[Blanket]],Table_NFI[[#This Row],[Blanket]])</f>
        <v>#REF!</v>
      </c>
      <c r="AH562" s="532" t="e">
        <f>IF(NFI_Expiration=1,IF(#REF!&lt;VLOOKUP(Q$5,NFI,5,0),1,0)*Table_NFI[[#This Row],[Kitchen Set]],Table_NFI[Kitchen Set])</f>
        <v>#REF!</v>
      </c>
      <c r="AI562" s="532" t="e">
        <f>IF(NFI_Expiration=1,IF(#REF!&lt;VLOOKUP(R$5,NFI,5,0),1,0)*Table_NFI[[#This Row],[Clothes Kit]],Table_NFI[Clothes Kit])</f>
        <v>#REF!</v>
      </c>
      <c r="AJ562" s="532" t="e">
        <f>IF(NFI_Expiration=1,IF(#REF!&lt;VLOOKUP(S$5,NFI,5,0),1,0)*Table_NFI[[#This Row],[Plastic Bucket]],Table_NFI[Plastic Bucket])</f>
        <v>#REF!</v>
      </c>
      <c r="AK562" s="532" t="e">
        <f>IF(NFI_Expiration=1,IF(#REF!&lt;VLOOKUP(T$5,NFI,5,0),1,0)*Table_NFI[[#This Row],[Plastic Mat]],Table_NFI[Plastic Mat])*IF(Table_NFI[[#This Row],[Distribution Date]]&gt;"2014-04-01",1,2.5)</f>
        <v>#REF!</v>
      </c>
      <c r="AL562" s="532" t="e">
        <f>IF(NFI_Expiration=1,IF(#REF!&lt;VLOOKUP(U$5,NFI,5,0),1,0)*Table_NFI[[#This Row],[Winter Clothes Adult]],Table_NFI[Winter Clothes Adult])</f>
        <v>#REF!</v>
      </c>
      <c r="AM562" s="532"/>
      <c r="AN562" s="532"/>
      <c r="AO562" s="532"/>
      <c r="AP562" s="532">
        <f>IF(Table_NFI[[#This Row],[Winter Clothes Adult]]+Table_NFI[[#This Row],[Winter Clothes Children]]+Table_NFI[[#This Row],[Winter Items Other]]+Table_NFI[[#This Row],[Winter Blanket]]&gt;0,1,0)</f>
        <v>1</v>
      </c>
      <c r="AQ562" s="532"/>
      <c r="AR562" s="532"/>
      <c r="AS562" s="532"/>
      <c r="AT562" s="532"/>
      <c r="AU562" s="532"/>
      <c r="AV562" s="532"/>
      <c r="AW562" s="532"/>
      <c r="AX562" s="203" t="str">
        <f>IFERROR(VLOOKUP(Table_NFI[[#This Row],[Location]],CL,2,0),"")</f>
        <v>MMR015CMP244</v>
      </c>
      <c r="AZ562" s="524"/>
      <c r="DS562" s="181"/>
      <c r="DT562" s="181"/>
    </row>
    <row r="563" spans="2:124" x14ac:dyDescent="0.3">
      <c r="B563" s="530">
        <v>43501</v>
      </c>
      <c r="C563" s="530" t="str">
        <f>MONTH(Table_NFI[[#This Row],[Distribution Date]]) &amp; "/" &amp; YEAR(Table_NFI[[#This Row],[Distribution Date]])</f>
        <v>2/2019</v>
      </c>
      <c r="D563" s="196" t="s">
        <v>1256</v>
      </c>
      <c r="E563" s="196"/>
      <c r="F563" s="196" t="s">
        <v>506</v>
      </c>
      <c r="G563" s="196" t="s">
        <v>1198</v>
      </c>
      <c r="H563" s="196" t="s">
        <v>1781</v>
      </c>
      <c r="I563" s="181"/>
      <c r="J563" s="531"/>
      <c r="K563" s="531"/>
      <c r="L563" s="531"/>
      <c r="M563" s="531"/>
      <c r="N563" s="531"/>
      <c r="O563" s="531">
        <v>35</v>
      </c>
      <c r="P563" s="531">
        <v>39</v>
      </c>
      <c r="Q563" s="531"/>
      <c r="R563" s="531"/>
      <c r="S563" s="531"/>
      <c r="T563" s="531">
        <v>35</v>
      </c>
      <c r="U563" s="531"/>
      <c r="V563" s="531"/>
      <c r="W563" s="531">
        <v>37</v>
      </c>
      <c r="X563" s="531"/>
      <c r="Y563" s="531"/>
      <c r="Z563" s="531"/>
      <c r="AA563" s="531"/>
      <c r="AB563" s="531"/>
      <c r="AC563" s="532" t="e">
        <f>IF(NFI_Expiration=1,IF(#REF!&lt;VLOOKUP(L$5,NFI,5,0),1,0)*Table_NFI[[#This Row],[NFI Core Kit]],Table_NFI[NFI Core Kit])</f>
        <v>#REF!</v>
      </c>
      <c r="AD563" s="532" t="e">
        <f>IF(NFI_Expiration=1,IF(#REF!&lt;VLOOKUP(M$5,NFI,5,0),1,0)*Table_NFI[[#This Row],[Sanitary Kit]],Table_NFI[Sanitary Kit])</f>
        <v>#REF!</v>
      </c>
      <c r="AE563" s="532" t="e">
        <f>IF(NFI_Expiration=1,IF(#REF!&lt;VLOOKUP(N$5,NFI,5,0),1,0)*Table_NFI[[#This Row],[Mosquito net]],Table_NFI[Mosquito net])</f>
        <v>#REF!</v>
      </c>
      <c r="AF563" s="532" t="e">
        <f>IF(NFI_Expiration=1,IF(#REF!&lt;VLOOKUP(O$5,NFI,5,0),1,0)*Table_NFI[[#This Row],[Tarpaulin]],Table_NFI[[#This Row],[Tarpaulin]])</f>
        <v>#REF!</v>
      </c>
      <c r="AG563" s="532" t="e">
        <f>IF(NFI_Expiration=1,IF(#REF!&lt;VLOOKUP(P$5,NFI,5,0),1,0)*Table_NFI[[#This Row],[Blanket]],Table_NFI[[#This Row],[Blanket]])</f>
        <v>#REF!</v>
      </c>
      <c r="AH563" s="532" t="e">
        <f>IF(NFI_Expiration=1,IF(#REF!&lt;VLOOKUP(Q$5,NFI,5,0),1,0)*Table_NFI[[#This Row],[Kitchen Set]],Table_NFI[Kitchen Set])</f>
        <v>#REF!</v>
      </c>
      <c r="AI563" s="532" t="e">
        <f>IF(NFI_Expiration=1,IF(#REF!&lt;VLOOKUP(R$5,NFI,5,0),1,0)*Table_NFI[[#This Row],[Clothes Kit]],Table_NFI[Clothes Kit])</f>
        <v>#REF!</v>
      </c>
      <c r="AJ563" s="532" t="e">
        <f>IF(NFI_Expiration=1,IF(#REF!&lt;VLOOKUP(S$5,NFI,5,0),1,0)*Table_NFI[[#This Row],[Plastic Bucket]],Table_NFI[Plastic Bucket])</f>
        <v>#REF!</v>
      </c>
      <c r="AK563" s="532" t="e">
        <f>IF(NFI_Expiration=1,IF(#REF!&lt;VLOOKUP(T$5,NFI,5,0),1,0)*Table_NFI[[#This Row],[Plastic Mat]],Table_NFI[Plastic Mat])*IF(Table_NFI[[#This Row],[Distribution Date]]&gt;"2014-04-01",1,2.5)</f>
        <v>#REF!</v>
      </c>
      <c r="AL563" s="532" t="e">
        <f>IF(NFI_Expiration=1,IF(#REF!&lt;VLOOKUP(U$5,NFI,5,0),1,0)*Table_NFI[[#This Row],[Winter Clothes Adult]],Table_NFI[Winter Clothes Adult])</f>
        <v>#REF!</v>
      </c>
      <c r="AM563" s="532"/>
      <c r="AN563" s="532"/>
      <c r="AO563" s="532"/>
      <c r="AP563" s="532">
        <f>IF(Table_NFI[[#This Row],[Winter Clothes Adult]]+Table_NFI[[#This Row],[Winter Clothes Children]]+Table_NFI[[#This Row],[Winter Items Other]]+Table_NFI[[#This Row],[Winter Blanket]]&gt;0,1,0)</f>
        <v>1</v>
      </c>
      <c r="AQ563" s="532"/>
      <c r="AR563" s="532"/>
      <c r="AS563" s="532"/>
      <c r="AT563" s="532"/>
      <c r="AU563" s="532"/>
      <c r="AV563" s="532"/>
      <c r="AW563" s="532"/>
      <c r="AX563" s="203" t="str">
        <f>IFERROR(VLOOKUP(Table_NFI[[#This Row],[Location]],CL,2,0),"")</f>
        <v/>
      </c>
      <c r="AZ563" s="524"/>
      <c r="DS563" s="181"/>
      <c r="DT563" s="181"/>
    </row>
    <row r="564" spans="2:124" x14ac:dyDescent="0.3">
      <c r="B564" s="530">
        <v>43503</v>
      </c>
      <c r="C564" s="530" t="str">
        <f>MONTH(Table_NFI[[#This Row],[Distribution Date]]) &amp; "/" &amp; YEAR(Table_NFI[[#This Row],[Distribution Date]])</f>
        <v>2/2019</v>
      </c>
      <c r="D564" s="196" t="s">
        <v>1256</v>
      </c>
      <c r="E564" s="196"/>
      <c r="F564" s="196" t="s">
        <v>378</v>
      </c>
      <c r="G564" s="196" t="s">
        <v>309</v>
      </c>
      <c r="H564" s="302" t="s">
        <v>345</v>
      </c>
      <c r="I564" s="181"/>
      <c r="J564" s="531"/>
      <c r="K564" s="531"/>
      <c r="L564" s="531"/>
      <c r="M564" s="531"/>
      <c r="N564" s="531"/>
      <c r="O564" s="531"/>
      <c r="P564" s="531">
        <v>183</v>
      </c>
      <c r="Q564" s="531"/>
      <c r="R564" s="531"/>
      <c r="S564" s="531"/>
      <c r="T564" s="531">
        <v>183</v>
      </c>
      <c r="U564" s="531"/>
      <c r="V564" s="531"/>
      <c r="W564" s="531">
        <v>208</v>
      </c>
      <c r="X564" s="531"/>
      <c r="Y564" s="531"/>
      <c r="Z564" s="531"/>
      <c r="AA564" s="531"/>
      <c r="AB564" s="531"/>
      <c r="AC564" s="532" t="e">
        <f>IF(NFI_Expiration=1,IF(#REF!&lt;VLOOKUP(L$5,NFI,5,0),1,0)*Table_NFI[[#This Row],[NFI Core Kit]],Table_NFI[NFI Core Kit])</f>
        <v>#REF!</v>
      </c>
      <c r="AD564" s="532" t="e">
        <f>IF(NFI_Expiration=1,IF(#REF!&lt;VLOOKUP(M$5,NFI,5,0),1,0)*Table_NFI[[#This Row],[Sanitary Kit]],Table_NFI[Sanitary Kit])</f>
        <v>#REF!</v>
      </c>
      <c r="AE564" s="532" t="e">
        <f>IF(NFI_Expiration=1,IF(#REF!&lt;VLOOKUP(N$5,NFI,5,0),1,0)*Table_NFI[[#This Row],[Mosquito net]],Table_NFI[Mosquito net])</f>
        <v>#REF!</v>
      </c>
      <c r="AF564" s="532" t="e">
        <f>IF(NFI_Expiration=1,IF(#REF!&lt;VLOOKUP(O$5,NFI,5,0),1,0)*Table_NFI[[#This Row],[Tarpaulin]],Table_NFI[[#This Row],[Tarpaulin]])</f>
        <v>#REF!</v>
      </c>
      <c r="AG564" s="532" t="e">
        <f>IF(NFI_Expiration=1,IF(#REF!&lt;VLOOKUP(P$5,NFI,5,0),1,0)*Table_NFI[[#This Row],[Blanket]],Table_NFI[[#This Row],[Blanket]])</f>
        <v>#REF!</v>
      </c>
      <c r="AH564" s="532" t="e">
        <f>IF(NFI_Expiration=1,IF(#REF!&lt;VLOOKUP(Q$5,NFI,5,0),1,0)*Table_NFI[[#This Row],[Kitchen Set]],Table_NFI[Kitchen Set])</f>
        <v>#REF!</v>
      </c>
      <c r="AI564" s="532" t="e">
        <f>IF(NFI_Expiration=1,IF(#REF!&lt;VLOOKUP(R$5,NFI,5,0),1,0)*Table_NFI[[#This Row],[Clothes Kit]],Table_NFI[Clothes Kit])</f>
        <v>#REF!</v>
      </c>
      <c r="AJ564" s="532" t="e">
        <f>IF(NFI_Expiration=1,IF(#REF!&lt;VLOOKUP(S$5,NFI,5,0),1,0)*Table_NFI[[#This Row],[Plastic Bucket]],Table_NFI[Plastic Bucket])</f>
        <v>#REF!</v>
      </c>
      <c r="AK564" s="532" t="e">
        <f>IF(NFI_Expiration=1,IF(#REF!&lt;VLOOKUP(T$5,NFI,5,0),1,0)*Table_NFI[[#This Row],[Plastic Mat]],Table_NFI[Plastic Mat])*IF(Table_NFI[[#This Row],[Distribution Date]]&gt;"2014-04-01",1,2.5)</f>
        <v>#REF!</v>
      </c>
      <c r="AL564" s="532" t="e">
        <f>IF(NFI_Expiration=1,IF(#REF!&lt;VLOOKUP(U$5,NFI,5,0),1,0)*Table_NFI[[#This Row],[Winter Clothes Adult]],Table_NFI[Winter Clothes Adult])</f>
        <v>#REF!</v>
      </c>
      <c r="AM564" s="532"/>
      <c r="AN564" s="532"/>
      <c r="AO564" s="532"/>
      <c r="AP564" s="532">
        <f>IF(Table_NFI[[#This Row],[Winter Clothes Adult]]+Table_NFI[[#This Row],[Winter Clothes Children]]+Table_NFI[[#This Row],[Winter Items Other]]+Table_NFI[[#This Row],[Winter Blanket]]&gt;0,1,0)</f>
        <v>1</v>
      </c>
      <c r="AQ564" s="532"/>
      <c r="AR564" s="532"/>
      <c r="AS564" s="532"/>
      <c r="AT564" s="532"/>
      <c r="AU564" s="532"/>
      <c r="AV564" s="532"/>
      <c r="AW564" s="532"/>
      <c r="AX564" s="203" t="str">
        <f>IFERROR(VLOOKUP(Table_NFI[[#This Row],[Location]],CL,2,0),"")</f>
        <v>MMR001CMP041</v>
      </c>
      <c r="AZ564" s="524"/>
      <c r="DS564" s="181"/>
      <c r="DT564" s="181"/>
    </row>
    <row r="565" spans="2:124" x14ac:dyDescent="0.3">
      <c r="B565" s="530">
        <v>43511</v>
      </c>
      <c r="C565" s="530" t="str">
        <f>MONTH(Table_NFI[[#This Row],[Distribution Date]]) &amp; "/" &amp; YEAR(Table_NFI[[#This Row],[Distribution Date]])</f>
        <v>2/2019</v>
      </c>
      <c r="D565" s="196" t="s">
        <v>1541</v>
      </c>
      <c r="E565" s="196"/>
      <c r="F565" s="196" t="s">
        <v>506</v>
      </c>
      <c r="G565" s="196" t="s">
        <v>494</v>
      </c>
      <c r="H565" s="196" t="s">
        <v>1894</v>
      </c>
      <c r="I565" s="181"/>
      <c r="J565" s="531">
        <v>132</v>
      </c>
      <c r="K565" s="531"/>
      <c r="L565" s="531"/>
      <c r="M565" s="531"/>
      <c r="N565" s="531"/>
      <c r="O565" s="531"/>
      <c r="P565" s="531"/>
      <c r="Q565" s="531"/>
      <c r="R565" s="531"/>
      <c r="S565" s="531"/>
      <c r="T565" s="531"/>
      <c r="U565" s="531"/>
      <c r="V565" s="531"/>
      <c r="W565" s="531"/>
      <c r="X565" s="531"/>
      <c r="Y565" s="531"/>
      <c r="Z565" s="531"/>
      <c r="AA565" s="531"/>
      <c r="AB565" s="531"/>
      <c r="AC565" s="532" t="e">
        <f>IF(NFI_Expiration=1,IF(#REF!&lt;VLOOKUP(L$5,NFI,5,0),1,0)*Table_NFI[[#This Row],[NFI Core Kit]],Table_NFI[NFI Core Kit])</f>
        <v>#REF!</v>
      </c>
      <c r="AD565" s="532" t="e">
        <f>IF(NFI_Expiration=1,IF(#REF!&lt;VLOOKUP(M$5,NFI,5,0),1,0)*Table_NFI[[#This Row],[Sanitary Kit]],Table_NFI[Sanitary Kit])</f>
        <v>#REF!</v>
      </c>
      <c r="AE565" s="532" t="e">
        <f>IF(NFI_Expiration=1,IF(#REF!&lt;VLOOKUP(N$5,NFI,5,0),1,0)*Table_NFI[[#This Row],[Mosquito net]],Table_NFI[Mosquito net])</f>
        <v>#REF!</v>
      </c>
      <c r="AF565" s="532" t="e">
        <f>IF(NFI_Expiration=1,IF(#REF!&lt;VLOOKUP(O$5,NFI,5,0),1,0)*Table_NFI[[#This Row],[Tarpaulin]],Table_NFI[[#This Row],[Tarpaulin]])</f>
        <v>#REF!</v>
      </c>
      <c r="AG565" s="532" t="e">
        <f>IF(NFI_Expiration=1,IF(#REF!&lt;VLOOKUP(P$5,NFI,5,0),1,0)*Table_NFI[[#This Row],[Blanket]],Table_NFI[[#This Row],[Blanket]])</f>
        <v>#REF!</v>
      </c>
      <c r="AH565" s="532" t="e">
        <f>IF(NFI_Expiration=1,IF(#REF!&lt;VLOOKUP(Q$5,NFI,5,0),1,0)*Table_NFI[[#This Row],[Kitchen Set]],Table_NFI[Kitchen Set])</f>
        <v>#REF!</v>
      </c>
      <c r="AI565" s="532" t="e">
        <f>IF(NFI_Expiration=1,IF(#REF!&lt;VLOOKUP(R$5,NFI,5,0),1,0)*Table_NFI[[#This Row],[Clothes Kit]],Table_NFI[Clothes Kit])</f>
        <v>#REF!</v>
      </c>
      <c r="AJ565" s="532" t="e">
        <f>IF(NFI_Expiration=1,IF(#REF!&lt;VLOOKUP(S$5,NFI,5,0),1,0)*Table_NFI[[#This Row],[Plastic Bucket]],Table_NFI[Plastic Bucket])</f>
        <v>#REF!</v>
      </c>
      <c r="AK565" s="532" t="e">
        <f>IF(NFI_Expiration=1,IF(#REF!&lt;VLOOKUP(T$5,NFI,5,0),1,0)*Table_NFI[[#This Row],[Plastic Mat]],Table_NFI[Plastic Mat])*IF(Table_NFI[[#This Row],[Distribution Date]]&gt;"2014-04-01",1,2.5)</f>
        <v>#REF!</v>
      </c>
      <c r="AL565" s="532" t="e">
        <f>IF(NFI_Expiration=1,IF(#REF!&lt;VLOOKUP(U$5,NFI,5,0),1,0)*Table_NFI[[#This Row],[Winter Clothes Adult]],Table_NFI[Winter Clothes Adult])</f>
        <v>#REF!</v>
      </c>
      <c r="AM565" s="532"/>
      <c r="AN565" s="532"/>
      <c r="AO565" s="532"/>
      <c r="AP565" s="532">
        <f>IF(Table_NFI[[#This Row],[Winter Clothes Adult]]+Table_NFI[[#This Row],[Winter Clothes Children]]+Table_NFI[[#This Row],[Winter Items Other]]+Table_NFI[[#This Row],[Winter Blanket]]&gt;0,1,0)</f>
        <v>0</v>
      </c>
      <c r="AQ565" s="532"/>
      <c r="AR565" s="532"/>
      <c r="AS565" s="532"/>
      <c r="AT565" s="532"/>
      <c r="AU565" s="532"/>
      <c r="AV565" s="532"/>
      <c r="AW565" s="532"/>
      <c r="AX565" s="203" t="str">
        <f>IFERROR(VLOOKUP(Table_NFI[[#This Row],[Location]],CL,2,0),"")</f>
        <v/>
      </c>
      <c r="AZ565" s="524"/>
      <c r="DS565" s="181"/>
      <c r="DT565" s="181"/>
    </row>
    <row r="566" spans="2:124" x14ac:dyDescent="0.3">
      <c r="B566" s="530">
        <v>43511</v>
      </c>
      <c r="C566" s="530" t="str">
        <f>MONTH(Table_NFI[[#This Row],[Distribution Date]]) &amp; "/" &amp; YEAR(Table_NFI[[#This Row],[Distribution Date]])</f>
        <v>2/2019</v>
      </c>
      <c r="D566" s="196" t="s">
        <v>1541</v>
      </c>
      <c r="E566" s="196"/>
      <c r="F566" s="196" t="s">
        <v>506</v>
      </c>
      <c r="G566" s="196" t="s">
        <v>494</v>
      </c>
      <c r="H566" s="196" t="s">
        <v>1895</v>
      </c>
      <c r="I566" s="181"/>
      <c r="J566" s="531">
        <v>95</v>
      </c>
      <c r="K566" s="531"/>
      <c r="L566" s="531"/>
      <c r="M566" s="531"/>
      <c r="N566" s="531"/>
      <c r="O566" s="531"/>
      <c r="P566" s="531"/>
      <c r="Q566" s="531"/>
      <c r="R566" s="531"/>
      <c r="S566" s="531"/>
      <c r="T566" s="531"/>
      <c r="U566" s="531"/>
      <c r="V566" s="531"/>
      <c r="W566" s="531"/>
      <c r="X566" s="531"/>
      <c r="Y566" s="531"/>
      <c r="Z566" s="531"/>
      <c r="AA566" s="531"/>
      <c r="AB566" s="531"/>
      <c r="AC566" s="532" t="e">
        <f>IF(NFI_Expiration=1,IF(#REF!&lt;VLOOKUP(L$5,NFI,5,0),1,0)*Table_NFI[[#This Row],[NFI Core Kit]],Table_NFI[NFI Core Kit])</f>
        <v>#REF!</v>
      </c>
      <c r="AD566" s="532" t="e">
        <f>IF(NFI_Expiration=1,IF(#REF!&lt;VLOOKUP(M$5,NFI,5,0),1,0)*Table_NFI[[#This Row],[Sanitary Kit]],Table_NFI[Sanitary Kit])</f>
        <v>#REF!</v>
      </c>
      <c r="AE566" s="532" t="e">
        <f>IF(NFI_Expiration=1,IF(#REF!&lt;VLOOKUP(N$5,NFI,5,0),1,0)*Table_NFI[[#This Row],[Mosquito net]],Table_NFI[Mosquito net])</f>
        <v>#REF!</v>
      </c>
      <c r="AF566" s="532" t="e">
        <f>IF(NFI_Expiration=1,IF(#REF!&lt;VLOOKUP(O$5,NFI,5,0),1,0)*Table_NFI[[#This Row],[Tarpaulin]],Table_NFI[[#This Row],[Tarpaulin]])</f>
        <v>#REF!</v>
      </c>
      <c r="AG566" s="532" t="e">
        <f>IF(NFI_Expiration=1,IF(#REF!&lt;VLOOKUP(P$5,NFI,5,0),1,0)*Table_NFI[[#This Row],[Blanket]],Table_NFI[[#This Row],[Blanket]])</f>
        <v>#REF!</v>
      </c>
      <c r="AH566" s="532" t="e">
        <f>IF(NFI_Expiration=1,IF(#REF!&lt;VLOOKUP(Q$5,NFI,5,0),1,0)*Table_NFI[[#This Row],[Kitchen Set]],Table_NFI[Kitchen Set])</f>
        <v>#REF!</v>
      </c>
      <c r="AI566" s="532" t="e">
        <f>IF(NFI_Expiration=1,IF(#REF!&lt;VLOOKUP(R$5,NFI,5,0),1,0)*Table_NFI[[#This Row],[Clothes Kit]],Table_NFI[Clothes Kit])</f>
        <v>#REF!</v>
      </c>
      <c r="AJ566" s="532" t="e">
        <f>IF(NFI_Expiration=1,IF(#REF!&lt;VLOOKUP(S$5,NFI,5,0),1,0)*Table_NFI[[#This Row],[Plastic Bucket]],Table_NFI[Plastic Bucket])</f>
        <v>#REF!</v>
      </c>
      <c r="AK566" s="532" t="e">
        <f>IF(NFI_Expiration=1,IF(#REF!&lt;VLOOKUP(T$5,NFI,5,0),1,0)*Table_NFI[[#This Row],[Plastic Mat]],Table_NFI[Plastic Mat])*IF(Table_NFI[[#This Row],[Distribution Date]]&gt;"2014-04-01",1,2.5)</f>
        <v>#REF!</v>
      </c>
      <c r="AL566" s="532" t="e">
        <f>IF(NFI_Expiration=1,IF(#REF!&lt;VLOOKUP(U$5,NFI,5,0),1,0)*Table_NFI[[#This Row],[Winter Clothes Adult]],Table_NFI[Winter Clothes Adult])</f>
        <v>#REF!</v>
      </c>
      <c r="AM566" s="532"/>
      <c r="AN566" s="532"/>
      <c r="AO566" s="532"/>
      <c r="AP566" s="532">
        <f>IF(Table_NFI[[#This Row],[Winter Clothes Adult]]+Table_NFI[[#This Row],[Winter Clothes Children]]+Table_NFI[[#This Row],[Winter Items Other]]+Table_NFI[[#This Row],[Winter Blanket]]&gt;0,1,0)</f>
        <v>0</v>
      </c>
      <c r="AQ566" s="532"/>
      <c r="AR566" s="532"/>
      <c r="AS566" s="532"/>
      <c r="AT566" s="532"/>
      <c r="AU566" s="532"/>
      <c r="AV566" s="532"/>
      <c r="AW566" s="532"/>
      <c r="AX566" s="203" t="str">
        <f>IFERROR(VLOOKUP(Table_NFI[[#This Row],[Location]],CL,2,0),"")</f>
        <v/>
      </c>
      <c r="AZ566" s="524"/>
      <c r="DS566" s="181"/>
      <c r="DT566" s="181"/>
    </row>
    <row r="567" spans="2:124" x14ac:dyDescent="0.3">
      <c r="B567" s="530">
        <v>43511</v>
      </c>
      <c r="C567" s="530" t="str">
        <f>MONTH(Table_NFI[[#This Row],[Distribution Date]]) &amp; "/" &amp; YEAR(Table_NFI[[#This Row],[Distribution Date]])</f>
        <v>2/2019</v>
      </c>
      <c r="D567" s="196" t="s">
        <v>1541</v>
      </c>
      <c r="E567" s="196"/>
      <c r="F567" s="196" t="s">
        <v>506</v>
      </c>
      <c r="G567" s="196" t="s">
        <v>494</v>
      </c>
      <c r="H567" s="196" t="s">
        <v>1896</v>
      </c>
      <c r="I567" s="181"/>
      <c r="J567" s="531">
        <v>79</v>
      </c>
      <c r="K567" s="531"/>
      <c r="L567" s="531"/>
      <c r="M567" s="531"/>
      <c r="N567" s="531"/>
      <c r="O567" s="531"/>
      <c r="P567" s="531"/>
      <c r="Q567" s="531"/>
      <c r="R567" s="531"/>
      <c r="S567" s="531"/>
      <c r="T567" s="531"/>
      <c r="U567" s="531"/>
      <c r="V567" s="531"/>
      <c r="W567" s="531"/>
      <c r="X567" s="531"/>
      <c r="Y567" s="531"/>
      <c r="Z567" s="531"/>
      <c r="AA567" s="531"/>
      <c r="AB567" s="531"/>
      <c r="AC567" s="532" t="e">
        <f>IF(NFI_Expiration=1,IF(#REF!&lt;VLOOKUP(L$5,NFI,5,0),1,0)*Table_NFI[[#This Row],[NFI Core Kit]],Table_NFI[NFI Core Kit])</f>
        <v>#REF!</v>
      </c>
      <c r="AD567" s="532" t="e">
        <f>IF(NFI_Expiration=1,IF(#REF!&lt;VLOOKUP(M$5,NFI,5,0),1,0)*Table_NFI[[#This Row],[Sanitary Kit]],Table_NFI[Sanitary Kit])</f>
        <v>#REF!</v>
      </c>
      <c r="AE567" s="532" t="e">
        <f>IF(NFI_Expiration=1,IF(#REF!&lt;VLOOKUP(N$5,NFI,5,0),1,0)*Table_NFI[[#This Row],[Mosquito net]],Table_NFI[Mosquito net])</f>
        <v>#REF!</v>
      </c>
      <c r="AF567" s="532" t="e">
        <f>IF(NFI_Expiration=1,IF(#REF!&lt;VLOOKUP(O$5,NFI,5,0),1,0)*Table_NFI[[#This Row],[Tarpaulin]],Table_NFI[[#This Row],[Tarpaulin]])</f>
        <v>#REF!</v>
      </c>
      <c r="AG567" s="532" t="e">
        <f>IF(NFI_Expiration=1,IF(#REF!&lt;VLOOKUP(P$5,NFI,5,0),1,0)*Table_NFI[[#This Row],[Blanket]],Table_NFI[[#This Row],[Blanket]])</f>
        <v>#REF!</v>
      </c>
      <c r="AH567" s="532" t="e">
        <f>IF(NFI_Expiration=1,IF(#REF!&lt;VLOOKUP(Q$5,NFI,5,0),1,0)*Table_NFI[[#This Row],[Kitchen Set]],Table_NFI[Kitchen Set])</f>
        <v>#REF!</v>
      </c>
      <c r="AI567" s="532" t="e">
        <f>IF(NFI_Expiration=1,IF(#REF!&lt;VLOOKUP(R$5,NFI,5,0),1,0)*Table_NFI[[#This Row],[Clothes Kit]],Table_NFI[Clothes Kit])</f>
        <v>#REF!</v>
      </c>
      <c r="AJ567" s="532" t="e">
        <f>IF(NFI_Expiration=1,IF(#REF!&lt;VLOOKUP(S$5,NFI,5,0),1,0)*Table_NFI[[#This Row],[Plastic Bucket]],Table_NFI[Plastic Bucket])</f>
        <v>#REF!</v>
      </c>
      <c r="AK567" s="532" t="e">
        <f>IF(NFI_Expiration=1,IF(#REF!&lt;VLOOKUP(T$5,NFI,5,0),1,0)*Table_NFI[[#This Row],[Plastic Mat]],Table_NFI[Plastic Mat])*IF(Table_NFI[[#This Row],[Distribution Date]]&gt;"2014-04-01",1,2.5)</f>
        <v>#REF!</v>
      </c>
      <c r="AL567" s="532" t="e">
        <f>IF(NFI_Expiration=1,IF(#REF!&lt;VLOOKUP(U$5,NFI,5,0),1,0)*Table_NFI[[#This Row],[Winter Clothes Adult]],Table_NFI[Winter Clothes Adult])</f>
        <v>#REF!</v>
      </c>
      <c r="AM567" s="532"/>
      <c r="AN567" s="532"/>
      <c r="AO567" s="532"/>
      <c r="AP567" s="532">
        <f>IF(Table_NFI[[#This Row],[Winter Clothes Adult]]+Table_NFI[[#This Row],[Winter Clothes Children]]+Table_NFI[[#This Row],[Winter Items Other]]+Table_NFI[[#This Row],[Winter Blanket]]&gt;0,1,0)</f>
        <v>0</v>
      </c>
      <c r="AQ567" s="532"/>
      <c r="AR567" s="532"/>
      <c r="AS567" s="532"/>
      <c r="AT567" s="532"/>
      <c r="AU567" s="532"/>
      <c r="AV567" s="532"/>
      <c r="AW567" s="532"/>
      <c r="AX567" s="203" t="str">
        <f>IFERROR(VLOOKUP(Table_NFI[[#This Row],[Location]],CL,2,0),"")</f>
        <v/>
      </c>
      <c r="AZ567" s="524"/>
      <c r="DS567" s="181"/>
      <c r="DT567" s="181"/>
    </row>
    <row r="568" spans="2:124" x14ac:dyDescent="0.3">
      <c r="B568" s="530">
        <v>43515</v>
      </c>
      <c r="C568" s="530" t="str">
        <f>MONTH(Table_NFI[[#This Row],[Distribution Date]]) &amp; "/" &amp; YEAR(Table_NFI[[#This Row],[Distribution Date]])</f>
        <v>2/2019</v>
      </c>
      <c r="D568" s="196" t="s">
        <v>1256</v>
      </c>
      <c r="E568" s="196"/>
      <c r="F568" s="196" t="s">
        <v>378</v>
      </c>
      <c r="G568" s="196" t="s">
        <v>309</v>
      </c>
      <c r="H568" s="302" t="s">
        <v>1255</v>
      </c>
      <c r="I568" s="181"/>
      <c r="J568" s="531"/>
      <c r="K568" s="531"/>
      <c r="L568" s="531"/>
      <c r="M568" s="531"/>
      <c r="N568" s="531"/>
      <c r="O568" s="531"/>
      <c r="P568" s="531">
        <v>83</v>
      </c>
      <c r="Q568" s="531"/>
      <c r="R568" s="531"/>
      <c r="S568" s="531"/>
      <c r="T568" s="531">
        <v>83</v>
      </c>
      <c r="U568" s="531"/>
      <c r="V568" s="531"/>
      <c r="W568" s="531">
        <v>83</v>
      </c>
      <c r="X568" s="531"/>
      <c r="Y568" s="531"/>
      <c r="Z568" s="531"/>
      <c r="AA568" s="531"/>
      <c r="AB568" s="531"/>
      <c r="AC568" s="532" t="e">
        <f>IF(NFI_Expiration=1,IF(#REF!&lt;VLOOKUP(L$5,NFI,5,0),1,0)*Table_NFI[[#This Row],[NFI Core Kit]],Table_NFI[NFI Core Kit])</f>
        <v>#REF!</v>
      </c>
      <c r="AD568" s="532" t="e">
        <f>IF(NFI_Expiration=1,IF(#REF!&lt;VLOOKUP(M$5,NFI,5,0),1,0)*Table_NFI[[#This Row],[Sanitary Kit]],Table_NFI[Sanitary Kit])</f>
        <v>#REF!</v>
      </c>
      <c r="AE568" s="532" t="e">
        <f>IF(NFI_Expiration=1,IF(#REF!&lt;VLOOKUP(N$5,NFI,5,0),1,0)*Table_NFI[[#This Row],[Mosquito net]],Table_NFI[Mosquito net])</f>
        <v>#REF!</v>
      </c>
      <c r="AF568" s="532" t="e">
        <f>IF(NFI_Expiration=1,IF(#REF!&lt;VLOOKUP(O$5,NFI,5,0),1,0)*Table_NFI[[#This Row],[Tarpaulin]],Table_NFI[[#This Row],[Tarpaulin]])</f>
        <v>#REF!</v>
      </c>
      <c r="AG568" s="532" t="e">
        <f>IF(NFI_Expiration=1,IF(#REF!&lt;VLOOKUP(P$5,NFI,5,0),1,0)*Table_NFI[[#This Row],[Blanket]],Table_NFI[[#This Row],[Blanket]])</f>
        <v>#REF!</v>
      </c>
      <c r="AH568" s="532" t="e">
        <f>IF(NFI_Expiration=1,IF(#REF!&lt;VLOOKUP(Q$5,NFI,5,0),1,0)*Table_NFI[[#This Row],[Kitchen Set]],Table_NFI[Kitchen Set])</f>
        <v>#REF!</v>
      </c>
      <c r="AI568" s="532" t="e">
        <f>IF(NFI_Expiration=1,IF(#REF!&lt;VLOOKUP(R$5,NFI,5,0),1,0)*Table_NFI[[#This Row],[Clothes Kit]],Table_NFI[Clothes Kit])</f>
        <v>#REF!</v>
      </c>
      <c r="AJ568" s="532" t="e">
        <f>IF(NFI_Expiration=1,IF(#REF!&lt;VLOOKUP(S$5,NFI,5,0),1,0)*Table_NFI[[#This Row],[Plastic Bucket]],Table_NFI[Plastic Bucket])</f>
        <v>#REF!</v>
      </c>
      <c r="AK568" s="532" t="e">
        <f>IF(NFI_Expiration=1,IF(#REF!&lt;VLOOKUP(T$5,NFI,5,0),1,0)*Table_NFI[[#This Row],[Plastic Mat]],Table_NFI[Plastic Mat])*IF(Table_NFI[[#This Row],[Distribution Date]]&gt;"2014-04-01",1,2.5)</f>
        <v>#REF!</v>
      </c>
      <c r="AL568" s="532" t="e">
        <f>IF(NFI_Expiration=1,IF(#REF!&lt;VLOOKUP(U$5,NFI,5,0),1,0)*Table_NFI[[#This Row],[Winter Clothes Adult]],Table_NFI[Winter Clothes Adult])</f>
        <v>#REF!</v>
      </c>
      <c r="AM568" s="532"/>
      <c r="AN568" s="532"/>
      <c r="AO568" s="532"/>
      <c r="AP568" s="532">
        <f>IF(Table_NFI[[#This Row],[Winter Clothes Adult]]+Table_NFI[[#This Row],[Winter Clothes Children]]+Table_NFI[[#This Row],[Winter Items Other]]+Table_NFI[[#This Row],[Winter Blanket]]&gt;0,1,0)</f>
        <v>1</v>
      </c>
      <c r="AQ568" s="532"/>
      <c r="AR568" s="532"/>
      <c r="AS568" s="532"/>
      <c r="AT568" s="532"/>
      <c r="AU568" s="532"/>
      <c r="AV568" s="532"/>
      <c r="AW568" s="532"/>
      <c r="AX568" s="203" t="str">
        <f>IFERROR(VLOOKUP(Table_NFI[[#This Row],[Location]],CL,2,0),"")</f>
        <v>MMR001CMP258</v>
      </c>
      <c r="AZ568" s="524"/>
      <c r="DS568" s="181"/>
      <c r="DT568" s="181"/>
    </row>
    <row r="569" spans="2:124" x14ac:dyDescent="0.3">
      <c r="B569" s="530">
        <v>43517</v>
      </c>
      <c r="C569" s="530" t="str">
        <f>MONTH(Table_NFI[[#This Row],[Distribution Date]]) &amp; "/" &amp; YEAR(Table_NFI[[#This Row],[Distribution Date]])</f>
        <v>2/2019</v>
      </c>
      <c r="D569" s="196" t="s">
        <v>420</v>
      </c>
      <c r="E569" s="196" t="s">
        <v>1940</v>
      </c>
      <c r="F569" s="196" t="s">
        <v>378</v>
      </c>
      <c r="G569" s="195" t="s">
        <v>185</v>
      </c>
      <c r="H569" s="196" t="s">
        <v>186</v>
      </c>
      <c r="I569" s="181"/>
      <c r="J569" s="531"/>
      <c r="K569" s="531"/>
      <c r="L569" s="531"/>
      <c r="M569" s="531"/>
      <c r="N569" s="531"/>
      <c r="O569" s="531"/>
      <c r="P569" s="531"/>
      <c r="Q569" s="531"/>
      <c r="R569" s="531"/>
      <c r="S569" s="531"/>
      <c r="T569" s="531"/>
      <c r="U569" s="531">
        <v>131</v>
      </c>
      <c r="V569" s="531">
        <v>113</v>
      </c>
      <c r="W569" s="531"/>
      <c r="X569" s="531"/>
      <c r="Y569" s="531"/>
      <c r="Z569" s="531"/>
      <c r="AA569" s="531"/>
      <c r="AB569" s="531"/>
      <c r="AC569" s="532" t="e">
        <f>IF(NFI_Expiration=1,IF(#REF!&lt;VLOOKUP(L$5,NFI,5,0),1,0)*Table_NFI[[#This Row],[NFI Core Kit]],Table_NFI[NFI Core Kit])</f>
        <v>#REF!</v>
      </c>
      <c r="AD569" s="532" t="e">
        <f>IF(NFI_Expiration=1,IF(#REF!&lt;VLOOKUP(M$5,NFI,5,0),1,0)*Table_NFI[[#This Row],[Sanitary Kit]],Table_NFI[Sanitary Kit])</f>
        <v>#REF!</v>
      </c>
      <c r="AE569" s="532" t="e">
        <f>IF(NFI_Expiration=1,IF(#REF!&lt;VLOOKUP(N$5,NFI,5,0),1,0)*Table_NFI[[#This Row],[Mosquito net]],Table_NFI[Mosquito net])</f>
        <v>#REF!</v>
      </c>
      <c r="AF569" s="532" t="e">
        <f>IF(NFI_Expiration=1,IF(#REF!&lt;VLOOKUP(O$5,NFI,5,0),1,0)*Table_NFI[[#This Row],[Tarpaulin]],Table_NFI[[#This Row],[Tarpaulin]])</f>
        <v>#REF!</v>
      </c>
      <c r="AG569" s="532" t="e">
        <f>IF(NFI_Expiration=1,IF(#REF!&lt;VLOOKUP(P$5,NFI,5,0),1,0)*Table_NFI[[#This Row],[Blanket]],Table_NFI[[#This Row],[Blanket]])</f>
        <v>#REF!</v>
      </c>
      <c r="AH569" s="532" t="e">
        <f>IF(NFI_Expiration=1,IF(#REF!&lt;VLOOKUP(Q$5,NFI,5,0),1,0)*Table_NFI[[#This Row],[Kitchen Set]],Table_NFI[Kitchen Set])</f>
        <v>#REF!</v>
      </c>
      <c r="AI569" s="532" t="e">
        <f>IF(NFI_Expiration=1,IF(#REF!&lt;VLOOKUP(R$5,NFI,5,0),1,0)*Table_NFI[[#This Row],[Clothes Kit]],Table_NFI[Clothes Kit])</f>
        <v>#REF!</v>
      </c>
      <c r="AJ569" s="532" t="e">
        <f>IF(NFI_Expiration=1,IF(#REF!&lt;VLOOKUP(S$5,NFI,5,0),1,0)*Table_NFI[[#This Row],[Plastic Bucket]],Table_NFI[Plastic Bucket])</f>
        <v>#REF!</v>
      </c>
      <c r="AK569" s="532" t="e">
        <f>IF(NFI_Expiration=1,IF(#REF!&lt;VLOOKUP(T$5,NFI,5,0),1,0)*Table_NFI[[#This Row],[Plastic Mat]],Table_NFI[Plastic Mat])*IF(Table_NFI[[#This Row],[Distribution Date]]&gt;"2014-04-01",1,2.5)</f>
        <v>#REF!</v>
      </c>
      <c r="AL569" s="532" t="e">
        <f>IF(NFI_Expiration=1,IF(#REF!&lt;VLOOKUP(U$5,NFI,5,0),1,0)*Table_NFI[[#This Row],[Winter Clothes Adult]],Table_NFI[Winter Clothes Adult])</f>
        <v>#REF!</v>
      </c>
      <c r="AM569" s="532"/>
      <c r="AN569" s="532"/>
      <c r="AO569" s="532"/>
      <c r="AP569" s="532">
        <f>IF(Table_NFI[[#This Row],[Winter Clothes Adult]]+Table_NFI[[#This Row],[Winter Clothes Children]]+Table_NFI[[#This Row],[Winter Items Other]]+Table_NFI[[#This Row],[Winter Blanket]]&gt;0,1,0)</f>
        <v>1</v>
      </c>
      <c r="AQ569" s="532"/>
      <c r="AR569" s="532"/>
      <c r="AS569" s="532"/>
      <c r="AT569" s="532"/>
      <c r="AU569" s="532"/>
      <c r="AV569" s="532"/>
      <c r="AW569" s="532"/>
      <c r="AX569" s="203" t="str">
        <f>IFERROR(VLOOKUP(Table_NFI[[#This Row],[Location]],CL,2,0),"")</f>
        <v>MMR001CMP071</v>
      </c>
      <c r="AZ569" s="524"/>
      <c r="DS569" s="181"/>
      <c r="DT569" s="181"/>
    </row>
    <row r="570" spans="2:124" x14ac:dyDescent="0.3">
      <c r="B570" s="530">
        <v>43517</v>
      </c>
      <c r="C570" s="530" t="str">
        <f>MONTH(Table_NFI[[#This Row],[Distribution Date]]) &amp; "/" &amp; YEAR(Table_NFI[[#This Row],[Distribution Date]])</f>
        <v>2/2019</v>
      </c>
      <c r="D570" s="196" t="s">
        <v>420</v>
      </c>
      <c r="E570" s="196" t="s">
        <v>1940</v>
      </c>
      <c r="F570" s="196" t="s">
        <v>378</v>
      </c>
      <c r="G570" s="195" t="s">
        <v>185</v>
      </c>
      <c r="H570" s="196" t="s">
        <v>229</v>
      </c>
      <c r="I570" s="181"/>
      <c r="J570" s="531"/>
      <c r="K570" s="531"/>
      <c r="L570" s="531"/>
      <c r="M570" s="531"/>
      <c r="N570" s="531"/>
      <c r="O570" s="531"/>
      <c r="P570" s="531"/>
      <c r="Q570" s="531"/>
      <c r="R570" s="531"/>
      <c r="S570" s="531"/>
      <c r="T570" s="531"/>
      <c r="U570" s="531">
        <v>156</v>
      </c>
      <c r="V570" s="531">
        <v>137</v>
      </c>
      <c r="W570" s="531"/>
      <c r="X570" s="531"/>
      <c r="Y570" s="531"/>
      <c r="Z570" s="531"/>
      <c r="AA570" s="531"/>
      <c r="AB570" s="531"/>
      <c r="AC570" s="532" t="e">
        <f>IF(NFI_Expiration=1,IF(#REF!&lt;VLOOKUP(L$5,NFI,5,0),1,0)*Table_NFI[[#This Row],[NFI Core Kit]],Table_NFI[NFI Core Kit])</f>
        <v>#REF!</v>
      </c>
      <c r="AD570" s="532" t="e">
        <f>IF(NFI_Expiration=1,IF(#REF!&lt;VLOOKUP(M$5,NFI,5,0),1,0)*Table_NFI[[#This Row],[Sanitary Kit]],Table_NFI[Sanitary Kit])</f>
        <v>#REF!</v>
      </c>
      <c r="AE570" s="532" t="e">
        <f>IF(NFI_Expiration=1,IF(#REF!&lt;VLOOKUP(N$5,NFI,5,0),1,0)*Table_NFI[[#This Row],[Mosquito net]],Table_NFI[Mosquito net])</f>
        <v>#REF!</v>
      </c>
      <c r="AF570" s="532" t="e">
        <f>IF(NFI_Expiration=1,IF(#REF!&lt;VLOOKUP(O$5,NFI,5,0),1,0)*Table_NFI[[#This Row],[Tarpaulin]],Table_NFI[[#This Row],[Tarpaulin]])</f>
        <v>#REF!</v>
      </c>
      <c r="AG570" s="532" t="e">
        <f>IF(NFI_Expiration=1,IF(#REF!&lt;VLOOKUP(P$5,NFI,5,0),1,0)*Table_NFI[[#This Row],[Blanket]],Table_NFI[[#This Row],[Blanket]])</f>
        <v>#REF!</v>
      </c>
      <c r="AH570" s="532" t="e">
        <f>IF(NFI_Expiration=1,IF(#REF!&lt;VLOOKUP(Q$5,NFI,5,0),1,0)*Table_NFI[[#This Row],[Kitchen Set]],Table_NFI[Kitchen Set])</f>
        <v>#REF!</v>
      </c>
      <c r="AI570" s="532" t="e">
        <f>IF(NFI_Expiration=1,IF(#REF!&lt;VLOOKUP(R$5,NFI,5,0),1,0)*Table_NFI[[#This Row],[Clothes Kit]],Table_NFI[Clothes Kit])</f>
        <v>#REF!</v>
      </c>
      <c r="AJ570" s="532" t="e">
        <f>IF(NFI_Expiration=1,IF(#REF!&lt;VLOOKUP(S$5,NFI,5,0),1,0)*Table_NFI[[#This Row],[Plastic Bucket]],Table_NFI[Plastic Bucket])</f>
        <v>#REF!</v>
      </c>
      <c r="AK570" s="532" t="e">
        <f>IF(NFI_Expiration=1,IF(#REF!&lt;VLOOKUP(T$5,NFI,5,0),1,0)*Table_NFI[[#This Row],[Plastic Mat]],Table_NFI[Plastic Mat])*IF(Table_NFI[[#This Row],[Distribution Date]]&gt;"2014-04-01",1,2.5)</f>
        <v>#REF!</v>
      </c>
      <c r="AL570" s="532" t="e">
        <f>IF(NFI_Expiration=1,IF(#REF!&lt;VLOOKUP(U$5,NFI,5,0),1,0)*Table_NFI[[#This Row],[Winter Clothes Adult]],Table_NFI[Winter Clothes Adult])</f>
        <v>#REF!</v>
      </c>
      <c r="AM570" s="532"/>
      <c r="AN570" s="532"/>
      <c r="AO570" s="532"/>
      <c r="AP570" s="532">
        <f>IF(Table_NFI[[#This Row],[Winter Clothes Adult]]+Table_NFI[[#This Row],[Winter Clothes Children]]+Table_NFI[[#This Row],[Winter Items Other]]+Table_NFI[[#This Row],[Winter Blanket]]&gt;0,1,0)</f>
        <v>1</v>
      </c>
      <c r="AQ570" s="532"/>
      <c r="AR570" s="532"/>
      <c r="AS570" s="532"/>
      <c r="AT570" s="532"/>
      <c r="AU570" s="532"/>
      <c r="AV570" s="532"/>
      <c r="AW570" s="532"/>
      <c r="AX570" s="203" t="str">
        <f>IFERROR(VLOOKUP(Table_NFI[[#This Row],[Location]],CL,2,0),"")</f>
        <v>MMR001CMP072</v>
      </c>
      <c r="AZ570" s="524"/>
      <c r="DS570" s="181"/>
      <c r="DT570" s="181"/>
    </row>
    <row r="571" spans="2:124" x14ac:dyDescent="0.3">
      <c r="B571" s="530">
        <v>43517</v>
      </c>
      <c r="C571" s="530" t="str">
        <f>MONTH(Table_NFI[[#This Row],[Distribution Date]]) &amp; "/" &amp; YEAR(Table_NFI[[#This Row],[Distribution Date]])</f>
        <v>2/2019</v>
      </c>
      <c r="D571" s="196" t="s">
        <v>420</v>
      </c>
      <c r="E571" s="196" t="s">
        <v>1940</v>
      </c>
      <c r="F571" s="196" t="s">
        <v>378</v>
      </c>
      <c r="G571" s="195" t="s">
        <v>185</v>
      </c>
      <c r="H571" s="196" t="s">
        <v>190</v>
      </c>
      <c r="I571" s="181"/>
      <c r="J571" s="531"/>
      <c r="K571" s="531"/>
      <c r="L571" s="531"/>
      <c r="M571" s="531"/>
      <c r="N571" s="531"/>
      <c r="O571" s="531"/>
      <c r="P571" s="531"/>
      <c r="Q571" s="531"/>
      <c r="R571" s="531"/>
      <c r="S571" s="531"/>
      <c r="T571" s="531"/>
      <c r="U571" s="531">
        <v>532</v>
      </c>
      <c r="V571" s="531">
        <v>580</v>
      </c>
      <c r="W571" s="531"/>
      <c r="X571" s="531"/>
      <c r="Y571" s="531"/>
      <c r="Z571" s="531"/>
      <c r="AA571" s="531"/>
      <c r="AB571" s="531"/>
      <c r="AC571" s="532" t="e">
        <f>IF(NFI_Expiration=1,IF(#REF!&lt;VLOOKUP(L$5,NFI,5,0),1,0)*Table_NFI[[#This Row],[NFI Core Kit]],Table_NFI[NFI Core Kit])</f>
        <v>#REF!</v>
      </c>
      <c r="AD571" s="532" t="e">
        <f>IF(NFI_Expiration=1,IF(#REF!&lt;VLOOKUP(M$5,NFI,5,0),1,0)*Table_NFI[[#This Row],[Sanitary Kit]],Table_NFI[Sanitary Kit])</f>
        <v>#REF!</v>
      </c>
      <c r="AE571" s="532" t="e">
        <f>IF(NFI_Expiration=1,IF(#REF!&lt;VLOOKUP(N$5,NFI,5,0),1,0)*Table_NFI[[#This Row],[Mosquito net]],Table_NFI[Mosquito net])</f>
        <v>#REF!</v>
      </c>
      <c r="AF571" s="532" t="e">
        <f>IF(NFI_Expiration=1,IF(#REF!&lt;VLOOKUP(O$5,NFI,5,0),1,0)*Table_NFI[[#This Row],[Tarpaulin]],Table_NFI[[#This Row],[Tarpaulin]])</f>
        <v>#REF!</v>
      </c>
      <c r="AG571" s="532" t="e">
        <f>IF(NFI_Expiration=1,IF(#REF!&lt;VLOOKUP(P$5,NFI,5,0),1,0)*Table_NFI[[#This Row],[Blanket]],Table_NFI[[#This Row],[Blanket]])</f>
        <v>#REF!</v>
      </c>
      <c r="AH571" s="532" t="e">
        <f>IF(NFI_Expiration=1,IF(#REF!&lt;VLOOKUP(Q$5,NFI,5,0),1,0)*Table_NFI[[#This Row],[Kitchen Set]],Table_NFI[Kitchen Set])</f>
        <v>#REF!</v>
      </c>
      <c r="AI571" s="532" t="e">
        <f>IF(NFI_Expiration=1,IF(#REF!&lt;VLOOKUP(R$5,NFI,5,0),1,0)*Table_NFI[[#This Row],[Clothes Kit]],Table_NFI[Clothes Kit])</f>
        <v>#REF!</v>
      </c>
      <c r="AJ571" s="532" t="e">
        <f>IF(NFI_Expiration=1,IF(#REF!&lt;VLOOKUP(S$5,NFI,5,0),1,0)*Table_NFI[[#This Row],[Plastic Bucket]],Table_NFI[Plastic Bucket])</f>
        <v>#REF!</v>
      </c>
      <c r="AK571" s="532" t="e">
        <f>IF(NFI_Expiration=1,IF(#REF!&lt;VLOOKUP(T$5,NFI,5,0),1,0)*Table_NFI[[#This Row],[Plastic Mat]],Table_NFI[Plastic Mat])*IF(Table_NFI[[#This Row],[Distribution Date]]&gt;"2014-04-01",1,2.5)</f>
        <v>#REF!</v>
      </c>
      <c r="AL571" s="532" t="e">
        <f>IF(NFI_Expiration=1,IF(#REF!&lt;VLOOKUP(U$5,NFI,5,0),1,0)*Table_NFI[[#This Row],[Winter Clothes Adult]],Table_NFI[Winter Clothes Adult])</f>
        <v>#REF!</v>
      </c>
      <c r="AM571" s="532"/>
      <c r="AN571" s="532"/>
      <c r="AO571" s="532"/>
      <c r="AP571" s="532">
        <f>IF(Table_NFI[[#This Row],[Winter Clothes Adult]]+Table_NFI[[#This Row],[Winter Clothes Children]]+Table_NFI[[#This Row],[Winter Items Other]]+Table_NFI[[#This Row],[Winter Blanket]]&gt;0,1,0)</f>
        <v>1</v>
      </c>
      <c r="AQ571" s="532"/>
      <c r="AR571" s="532"/>
      <c r="AS571" s="532"/>
      <c r="AT571" s="532"/>
      <c r="AU571" s="532"/>
      <c r="AV571" s="532"/>
      <c r="AW571" s="532"/>
      <c r="AX571" s="203" t="str">
        <f>IFERROR(VLOOKUP(Table_NFI[[#This Row],[Location]],CL,2,0),"")</f>
        <v>MMR001CMP070</v>
      </c>
      <c r="AZ571" s="524"/>
      <c r="DS571" s="181"/>
      <c r="DT571" s="181"/>
    </row>
    <row r="572" spans="2:124" x14ac:dyDescent="0.3">
      <c r="B572" s="530">
        <v>43517</v>
      </c>
      <c r="C572" s="530" t="str">
        <f>MONTH(Table_NFI[[#This Row],[Distribution Date]]) &amp; "/" &amp; YEAR(Table_NFI[[#This Row],[Distribution Date]])</f>
        <v>2/2019</v>
      </c>
      <c r="D572" s="196" t="s">
        <v>420</v>
      </c>
      <c r="E572" s="196" t="s">
        <v>1940</v>
      </c>
      <c r="F572" s="196" t="s">
        <v>378</v>
      </c>
      <c r="G572" s="195" t="s">
        <v>185</v>
      </c>
      <c r="H572" s="196" t="s">
        <v>225</v>
      </c>
      <c r="I572" s="181"/>
      <c r="J572" s="531"/>
      <c r="K572" s="531"/>
      <c r="L572" s="531"/>
      <c r="M572" s="531"/>
      <c r="N572" s="531"/>
      <c r="O572" s="531"/>
      <c r="P572" s="531"/>
      <c r="Q572" s="531"/>
      <c r="R572" s="531"/>
      <c r="S572" s="531"/>
      <c r="T572" s="531"/>
      <c r="U572" s="531">
        <v>57</v>
      </c>
      <c r="V572" s="531">
        <v>212</v>
      </c>
      <c r="W572" s="531"/>
      <c r="X572" s="531"/>
      <c r="Y572" s="531"/>
      <c r="Z572" s="531"/>
      <c r="AA572" s="531"/>
      <c r="AB572" s="531"/>
      <c r="AC572" s="532" t="e">
        <f>IF(NFI_Expiration=1,IF(#REF!&lt;VLOOKUP(L$5,NFI,5,0),1,0)*Table_NFI[[#This Row],[NFI Core Kit]],Table_NFI[NFI Core Kit])</f>
        <v>#REF!</v>
      </c>
      <c r="AD572" s="532" t="e">
        <f>IF(NFI_Expiration=1,IF(#REF!&lt;VLOOKUP(M$5,NFI,5,0),1,0)*Table_NFI[[#This Row],[Sanitary Kit]],Table_NFI[Sanitary Kit])</f>
        <v>#REF!</v>
      </c>
      <c r="AE572" s="532" t="e">
        <f>IF(NFI_Expiration=1,IF(#REF!&lt;VLOOKUP(N$5,NFI,5,0),1,0)*Table_NFI[[#This Row],[Mosquito net]],Table_NFI[Mosquito net])</f>
        <v>#REF!</v>
      </c>
      <c r="AF572" s="532" t="e">
        <f>IF(NFI_Expiration=1,IF(#REF!&lt;VLOOKUP(O$5,NFI,5,0),1,0)*Table_NFI[[#This Row],[Tarpaulin]],Table_NFI[[#This Row],[Tarpaulin]])</f>
        <v>#REF!</v>
      </c>
      <c r="AG572" s="532" t="e">
        <f>IF(NFI_Expiration=1,IF(#REF!&lt;VLOOKUP(P$5,NFI,5,0),1,0)*Table_NFI[[#This Row],[Blanket]],Table_NFI[[#This Row],[Blanket]])</f>
        <v>#REF!</v>
      </c>
      <c r="AH572" s="532" t="e">
        <f>IF(NFI_Expiration=1,IF(#REF!&lt;VLOOKUP(Q$5,NFI,5,0),1,0)*Table_NFI[[#This Row],[Kitchen Set]],Table_NFI[Kitchen Set])</f>
        <v>#REF!</v>
      </c>
      <c r="AI572" s="532" t="e">
        <f>IF(NFI_Expiration=1,IF(#REF!&lt;VLOOKUP(R$5,NFI,5,0),1,0)*Table_NFI[[#This Row],[Clothes Kit]],Table_NFI[Clothes Kit])</f>
        <v>#REF!</v>
      </c>
      <c r="AJ572" s="532" t="e">
        <f>IF(NFI_Expiration=1,IF(#REF!&lt;VLOOKUP(S$5,NFI,5,0),1,0)*Table_NFI[[#This Row],[Plastic Bucket]],Table_NFI[Plastic Bucket])</f>
        <v>#REF!</v>
      </c>
      <c r="AK572" s="532" t="e">
        <f>IF(NFI_Expiration=1,IF(#REF!&lt;VLOOKUP(T$5,NFI,5,0),1,0)*Table_NFI[[#This Row],[Plastic Mat]],Table_NFI[Plastic Mat])*IF(Table_NFI[[#This Row],[Distribution Date]]&gt;"2014-04-01",1,2.5)</f>
        <v>#REF!</v>
      </c>
      <c r="AL572" s="532" t="e">
        <f>IF(NFI_Expiration=1,IF(#REF!&lt;VLOOKUP(U$5,NFI,5,0),1,0)*Table_NFI[[#This Row],[Winter Clothes Adult]],Table_NFI[Winter Clothes Adult])</f>
        <v>#REF!</v>
      </c>
      <c r="AM572" s="532"/>
      <c r="AN572" s="532"/>
      <c r="AO572" s="532"/>
      <c r="AP572" s="532">
        <f>IF(Table_NFI[[#This Row],[Winter Clothes Adult]]+Table_NFI[[#This Row],[Winter Clothes Children]]+Table_NFI[[#This Row],[Winter Items Other]]+Table_NFI[[#This Row],[Winter Blanket]]&gt;0,1,0)</f>
        <v>1</v>
      </c>
      <c r="AQ572" s="532"/>
      <c r="AR572" s="532"/>
      <c r="AS572" s="532"/>
      <c r="AT572" s="532"/>
      <c r="AU572" s="532"/>
      <c r="AV572" s="532"/>
      <c r="AW572" s="532"/>
      <c r="AX572" s="203" t="str">
        <f>IFERROR(VLOOKUP(Table_NFI[[#This Row],[Location]],CL,2,0),"")</f>
        <v>MMR001CMP073</v>
      </c>
      <c r="AZ572" s="524"/>
      <c r="DS572" s="181"/>
      <c r="DT572" s="181"/>
    </row>
    <row r="573" spans="2:124" x14ac:dyDescent="0.3">
      <c r="B573" s="530">
        <v>43517</v>
      </c>
      <c r="C573" s="530" t="str">
        <f>MONTH(Table_NFI[[#This Row],[Distribution Date]]) &amp; "/" &amp; YEAR(Table_NFI[[#This Row],[Distribution Date]])</f>
        <v>2/2019</v>
      </c>
      <c r="D573" s="196" t="s">
        <v>420</v>
      </c>
      <c r="E573" s="196" t="s">
        <v>1940</v>
      </c>
      <c r="F573" s="196" t="s">
        <v>378</v>
      </c>
      <c r="G573" s="195" t="s">
        <v>185</v>
      </c>
      <c r="H573" s="196" t="s">
        <v>223</v>
      </c>
      <c r="I573" s="181"/>
      <c r="J573" s="531"/>
      <c r="K573" s="531"/>
      <c r="L573" s="531"/>
      <c r="M573" s="531"/>
      <c r="N573" s="531"/>
      <c r="O573" s="531"/>
      <c r="P573" s="531"/>
      <c r="Q573" s="531"/>
      <c r="R573" s="531"/>
      <c r="S573" s="531"/>
      <c r="T573" s="531"/>
      <c r="U573" s="531">
        <v>239</v>
      </c>
      <c r="V573" s="531">
        <v>276</v>
      </c>
      <c r="W573" s="531"/>
      <c r="X573" s="531"/>
      <c r="Y573" s="531"/>
      <c r="Z573" s="531"/>
      <c r="AA573" s="531"/>
      <c r="AB573" s="531"/>
      <c r="AC573" s="532" t="e">
        <f>IF(NFI_Expiration=1,IF(#REF!&lt;VLOOKUP(L$5,NFI,5,0),1,0)*Table_NFI[[#This Row],[NFI Core Kit]],Table_NFI[NFI Core Kit])</f>
        <v>#REF!</v>
      </c>
      <c r="AD573" s="532" t="e">
        <f>IF(NFI_Expiration=1,IF(#REF!&lt;VLOOKUP(M$5,NFI,5,0),1,0)*Table_NFI[[#This Row],[Sanitary Kit]],Table_NFI[Sanitary Kit])</f>
        <v>#REF!</v>
      </c>
      <c r="AE573" s="532" t="e">
        <f>IF(NFI_Expiration=1,IF(#REF!&lt;VLOOKUP(N$5,NFI,5,0),1,0)*Table_NFI[[#This Row],[Mosquito net]],Table_NFI[Mosquito net])</f>
        <v>#REF!</v>
      </c>
      <c r="AF573" s="532" t="e">
        <f>IF(NFI_Expiration=1,IF(#REF!&lt;VLOOKUP(O$5,NFI,5,0),1,0)*Table_NFI[[#This Row],[Tarpaulin]],Table_NFI[[#This Row],[Tarpaulin]])</f>
        <v>#REF!</v>
      </c>
      <c r="AG573" s="532" t="e">
        <f>IF(NFI_Expiration=1,IF(#REF!&lt;VLOOKUP(P$5,NFI,5,0),1,0)*Table_NFI[[#This Row],[Blanket]],Table_NFI[[#This Row],[Blanket]])</f>
        <v>#REF!</v>
      </c>
      <c r="AH573" s="532" t="e">
        <f>IF(NFI_Expiration=1,IF(#REF!&lt;VLOOKUP(Q$5,NFI,5,0),1,0)*Table_NFI[[#This Row],[Kitchen Set]],Table_NFI[Kitchen Set])</f>
        <v>#REF!</v>
      </c>
      <c r="AI573" s="532" t="e">
        <f>IF(NFI_Expiration=1,IF(#REF!&lt;VLOOKUP(R$5,NFI,5,0),1,0)*Table_NFI[[#This Row],[Clothes Kit]],Table_NFI[Clothes Kit])</f>
        <v>#REF!</v>
      </c>
      <c r="AJ573" s="532" t="e">
        <f>IF(NFI_Expiration=1,IF(#REF!&lt;VLOOKUP(S$5,NFI,5,0),1,0)*Table_NFI[[#This Row],[Plastic Bucket]],Table_NFI[Plastic Bucket])</f>
        <v>#REF!</v>
      </c>
      <c r="AK573" s="532" t="e">
        <f>IF(NFI_Expiration=1,IF(#REF!&lt;VLOOKUP(T$5,NFI,5,0),1,0)*Table_NFI[[#This Row],[Plastic Mat]],Table_NFI[Plastic Mat])*IF(Table_NFI[[#This Row],[Distribution Date]]&gt;"2014-04-01",1,2.5)</f>
        <v>#REF!</v>
      </c>
      <c r="AL573" s="532" t="e">
        <f>IF(NFI_Expiration=1,IF(#REF!&lt;VLOOKUP(U$5,NFI,5,0),1,0)*Table_NFI[[#This Row],[Winter Clothes Adult]],Table_NFI[Winter Clothes Adult])</f>
        <v>#REF!</v>
      </c>
      <c r="AM573" s="532"/>
      <c r="AN573" s="532"/>
      <c r="AO573" s="532"/>
      <c r="AP573" s="532">
        <f>IF(Table_NFI[[#This Row],[Winter Clothes Adult]]+Table_NFI[[#This Row],[Winter Clothes Children]]+Table_NFI[[#This Row],[Winter Items Other]]+Table_NFI[[#This Row],[Winter Blanket]]&gt;0,1,0)</f>
        <v>1</v>
      </c>
      <c r="AQ573" s="532"/>
      <c r="AR573" s="532"/>
      <c r="AS573" s="532"/>
      <c r="AT573" s="532"/>
      <c r="AU573" s="532"/>
      <c r="AV573" s="532"/>
      <c r="AW573" s="532"/>
      <c r="AX573" s="203" t="str">
        <f>IFERROR(VLOOKUP(Table_NFI[[#This Row],[Location]],CL,2,0),"")</f>
        <v>MMR001CMP069</v>
      </c>
      <c r="AZ573" s="524"/>
      <c r="DS573" s="181"/>
      <c r="DT573" s="181"/>
    </row>
    <row r="574" spans="2:124" x14ac:dyDescent="0.3">
      <c r="B574" s="530">
        <v>43522</v>
      </c>
      <c r="C574" s="530" t="str">
        <f>MONTH(Table_NFI[[#This Row],[Distribution Date]]) &amp; "/" &amp; YEAR(Table_NFI[[#This Row],[Distribution Date]])</f>
        <v>2/2019</v>
      </c>
      <c r="D574" s="196" t="s">
        <v>420</v>
      </c>
      <c r="E574" s="196" t="s">
        <v>1256</v>
      </c>
      <c r="F574" s="196" t="s">
        <v>378</v>
      </c>
      <c r="G574" s="195" t="s">
        <v>151</v>
      </c>
      <c r="H574" s="196" t="s">
        <v>1942</v>
      </c>
      <c r="I574" s="181"/>
      <c r="J574" s="531"/>
      <c r="K574" s="531"/>
      <c r="L574" s="531"/>
      <c r="M574" s="531"/>
      <c r="N574" s="531"/>
      <c r="O574" s="531"/>
      <c r="P574" s="531"/>
      <c r="Q574" s="531"/>
      <c r="R574" s="531"/>
      <c r="S574" s="531"/>
      <c r="T574" s="531"/>
      <c r="U574" s="531"/>
      <c r="V574" s="531"/>
      <c r="W574" s="531"/>
      <c r="X574" s="531"/>
      <c r="Y574" s="531"/>
      <c r="Z574" s="531">
        <v>15</v>
      </c>
      <c r="AA574" s="531"/>
      <c r="AB574" s="531"/>
      <c r="AC574" s="532" t="e">
        <f>IF(NFI_Expiration=1,IF(#REF!&lt;VLOOKUP(L$5,NFI,5,0),1,0)*Table_NFI[[#This Row],[NFI Core Kit]],Table_NFI[NFI Core Kit])</f>
        <v>#REF!</v>
      </c>
      <c r="AD574" s="532" t="e">
        <f>IF(NFI_Expiration=1,IF(#REF!&lt;VLOOKUP(M$5,NFI,5,0),1,0)*Table_NFI[[#This Row],[Sanitary Kit]],Table_NFI[Sanitary Kit])</f>
        <v>#REF!</v>
      </c>
      <c r="AE574" s="532" t="e">
        <f>IF(NFI_Expiration=1,IF(#REF!&lt;VLOOKUP(N$5,NFI,5,0),1,0)*Table_NFI[[#This Row],[Mosquito net]],Table_NFI[Mosquito net])</f>
        <v>#REF!</v>
      </c>
      <c r="AF574" s="532" t="e">
        <f>IF(NFI_Expiration=1,IF(#REF!&lt;VLOOKUP(O$5,NFI,5,0),1,0)*Table_NFI[[#This Row],[Tarpaulin]],Table_NFI[[#This Row],[Tarpaulin]])</f>
        <v>#REF!</v>
      </c>
      <c r="AG574" s="532" t="e">
        <f>IF(NFI_Expiration=1,IF(#REF!&lt;VLOOKUP(P$5,NFI,5,0),1,0)*Table_NFI[[#This Row],[Blanket]],Table_NFI[[#This Row],[Blanket]])</f>
        <v>#REF!</v>
      </c>
      <c r="AH574" s="532" t="e">
        <f>IF(NFI_Expiration=1,IF(#REF!&lt;VLOOKUP(Q$5,NFI,5,0),1,0)*Table_NFI[[#This Row],[Kitchen Set]],Table_NFI[Kitchen Set])</f>
        <v>#REF!</v>
      </c>
      <c r="AI574" s="532" t="e">
        <f>IF(NFI_Expiration=1,IF(#REF!&lt;VLOOKUP(R$5,NFI,5,0),1,0)*Table_NFI[[#This Row],[Clothes Kit]],Table_NFI[Clothes Kit])</f>
        <v>#REF!</v>
      </c>
      <c r="AJ574" s="532" t="e">
        <f>IF(NFI_Expiration=1,IF(#REF!&lt;VLOOKUP(S$5,NFI,5,0),1,0)*Table_NFI[[#This Row],[Plastic Bucket]],Table_NFI[Plastic Bucket])</f>
        <v>#REF!</v>
      </c>
      <c r="AK574" s="532" t="e">
        <f>IF(NFI_Expiration=1,IF(#REF!&lt;VLOOKUP(T$5,NFI,5,0),1,0)*Table_NFI[[#This Row],[Plastic Mat]],Table_NFI[Plastic Mat])*IF(Table_NFI[[#This Row],[Distribution Date]]&gt;"2014-04-01",1,2.5)</f>
        <v>#REF!</v>
      </c>
      <c r="AL574" s="532" t="e">
        <f>IF(NFI_Expiration=1,IF(#REF!&lt;VLOOKUP(U$5,NFI,5,0),1,0)*Table_NFI[[#This Row],[Winter Clothes Adult]],Table_NFI[Winter Clothes Adult])</f>
        <v>#REF!</v>
      </c>
      <c r="AM574" s="532"/>
      <c r="AN574" s="532"/>
      <c r="AO574" s="532"/>
      <c r="AP574" s="532">
        <f>IF(Table_NFI[[#This Row],[Winter Clothes Adult]]+Table_NFI[[#This Row],[Winter Clothes Children]]+Table_NFI[[#This Row],[Winter Items Other]]+Table_NFI[[#This Row],[Winter Blanket]]&gt;0,1,0)</f>
        <v>0</v>
      </c>
      <c r="AQ574" s="532"/>
      <c r="AR574" s="532"/>
      <c r="AS574" s="532"/>
      <c r="AT574" s="532"/>
      <c r="AU574" s="532"/>
      <c r="AV574" s="532"/>
      <c r="AW574" s="532"/>
      <c r="AX574" s="203" t="str">
        <f>IFERROR(VLOOKUP(Table_NFI[[#This Row],[Location]],CL,2,0),"")</f>
        <v/>
      </c>
      <c r="AY574" s="181" t="s">
        <v>1898</v>
      </c>
      <c r="AZ574" s="524"/>
      <c r="DS574" s="181"/>
      <c r="DT574" s="181"/>
    </row>
    <row r="575" spans="2:124" x14ac:dyDescent="0.3">
      <c r="B575" s="530">
        <v>43522</v>
      </c>
      <c r="C575" s="530" t="str">
        <f>MONTH(Table_NFI[[#This Row],[Distribution Date]]) &amp; "/" &amp; YEAR(Table_NFI[[#This Row],[Distribution Date]])</f>
        <v>2/2019</v>
      </c>
      <c r="D575" s="196" t="s">
        <v>420</v>
      </c>
      <c r="E575" s="196" t="s">
        <v>1256</v>
      </c>
      <c r="F575" s="196" t="s">
        <v>378</v>
      </c>
      <c r="G575" s="195" t="s">
        <v>151</v>
      </c>
      <c r="H575" s="196" t="s">
        <v>1943</v>
      </c>
      <c r="I575" s="181"/>
      <c r="J575" s="531"/>
      <c r="K575" s="531"/>
      <c r="L575" s="531"/>
      <c r="M575" s="531"/>
      <c r="N575" s="531"/>
      <c r="O575" s="531"/>
      <c r="P575" s="531"/>
      <c r="Q575" s="531"/>
      <c r="R575" s="531"/>
      <c r="S575" s="531"/>
      <c r="T575" s="531"/>
      <c r="U575" s="531"/>
      <c r="V575" s="531"/>
      <c r="W575" s="531"/>
      <c r="X575" s="531"/>
      <c r="Y575" s="531"/>
      <c r="Z575" s="531">
        <v>8</v>
      </c>
      <c r="AA575" s="531"/>
      <c r="AB575" s="531"/>
      <c r="AC575" s="532" t="e">
        <f>IF(NFI_Expiration=1,IF(#REF!&lt;VLOOKUP(L$5,NFI,5,0),1,0)*Table_NFI[[#This Row],[NFI Core Kit]],Table_NFI[NFI Core Kit])</f>
        <v>#REF!</v>
      </c>
      <c r="AD575" s="532" t="e">
        <f>IF(NFI_Expiration=1,IF(#REF!&lt;VLOOKUP(M$5,NFI,5,0),1,0)*Table_NFI[[#This Row],[Sanitary Kit]],Table_NFI[Sanitary Kit])</f>
        <v>#REF!</v>
      </c>
      <c r="AE575" s="532" t="e">
        <f>IF(NFI_Expiration=1,IF(#REF!&lt;VLOOKUP(N$5,NFI,5,0),1,0)*Table_NFI[[#This Row],[Mosquito net]],Table_NFI[Mosquito net])</f>
        <v>#REF!</v>
      </c>
      <c r="AF575" s="532" t="e">
        <f>IF(NFI_Expiration=1,IF(#REF!&lt;VLOOKUP(O$5,NFI,5,0),1,0)*Table_NFI[[#This Row],[Tarpaulin]],Table_NFI[[#This Row],[Tarpaulin]])</f>
        <v>#REF!</v>
      </c>
      <c r="AG575" s="532" t="e">
        <f>IF(NFI_Expiration=1,IF(#REF!&lt;VLOOKUP(P$5,NFI,5,0),1,0)*Table_NFI[[#This Row],[Blanket]],Table_NFI[[#This Row],[Blanket]])</f>
        <v>#REF!</v>
      </c>
      <c r="AH575" s="532" t="e">
        <f>IF(NFI_Expiration=1,IF(#REF!&lt;VLOOKUP(Q$5,NFI,5,0),1,0)*Table_NFI[[#This Row],[Kitchen Set]],Table_NFI[Kitchen Set])</f>
        <v>#REF!</v>
      </c>
      <c r="AI575" s="532" t="e">
        <f>IF(NFI_Expiration=1,IF(#REF!&lt;VLOOKUP(R$5,NFI,5,0),1,0)*Table_NFI[[#This Row],[Clothes Kit]],Table_NFI[Clothes Kit])</f>
        <v>#REF!</v>
      </c>
      <c r="AJ575" s="532" t="e">
        <f>IF(NFI_Expiration=1,IF(#REF!&lt;VLOOKUP(S$5,NFI,5,0),1,0)*Table_NFI[[#This Row],[Plastic Bucket]],Table_NFI[Plastic Bucket])</f>
        <v>#REF!</v>
      </c>
      <c r="AK575" s="532" t="e">
        <f>IF(NFI_Expiration=1,IF(#REF!&lt;VLOOKUP(T$5,NFI,5,0),1,0)*Table_NFI[[#This Row],[Plastic Mat]],Table_NFI[Plastic Mat])*IF(Table_NFI[[#This Row],[Distribution Date]]&gt;"2014-04-01",1,2.5)</f>
        <v>#REF!</v>
      </c>
      <c r="AL575" s="532" t="e">
        <f>IF(NFI_Expiration=1,IF(#REF!&lt;VLOOKUP(U$5,NFI,5,0),1,0)*Table_NFI[[#This Row],[Winter Clothes Adult]],Table_NFI[Winter Clothes Adult])</f>
        <v>#REF!</v>
      </c>
      <c r="AM575" s="532"/>
      <c r="AN575" s="532"/>
      <c r="AO575" s="532"/>
      <c r="AP575" s="532">
        <f>IF(Table_NFI[[#This Row],[Winter Clothes Adult]]+Table_NFI[[#This Row],[Winter Clothes Children]]+Table_NFI[[#This Row],[Winter Items Other]]+Table_NFI[[#This Row],[Winter Blanket]]&gt;0,1,0)</f>
        <v>0</v>
      </c>
      <c r="AQ575" s="532"/>
      <c r="AR575" s="532"/>
      <c r="AS575" s="532"/>
      <c r="AT575" s="532"/>
      <c r="AU575" s="532"/>
      <c r="AV575" s="532"/>
      <c r="AW575" s="532"/>
      <c r="AX575" s="203" t="str">
        <f>IFERROR(VLOOKUP(Table_NFI[[#This Row],[Location]],CL,2,0),"")</f>
        <v/>
      </c>
      <c r="AY575" s="181" t="s">
        <v>1898</v>
      </c>
      <c r="AZ575" s="524"/>
      <c r="DS575" s="181"/>
      <c r="DT575" s="181"/>
    </row>
    <row r="576" spans="2:124" x14ac:dyDescent="0.3">
      <c r="B576" s="530">
        <v>43522</v>
      </c>
      <c r="C576" s="530" t="str">
        <f>MONTH(Table_NFI[[#This Row],[Distribution Date]]) &amp; "/" &amp; YEAR(Table_NFI[[#This Row],[Distribution Date]])</f>
        <v>2/2019</v>
      </c>
      <c r="D576" s="196" t="s">
        <v>420</v>
      </c>
      <c r="E576" s="196" t="s">
        <v>1256</v>
      </c>
      <c r="F576" s="196" t="s">
        <v>378</v>
      </c>
      <c r="G576" s="195" t="s">
        <v>151</v>
      </c>
      <c r="H576" s="196" t="s">
        <v>1944</v>
      </c>
      <c r="I576" s="181"/>
      <c r="J576" s="531"/>
      <c r="K576" s="531"/>
      <c r="L576" s="531"/>
      <c r="M576" s="531"/>
      <c r="N576" s="531"/>
      <c r="O576" s="531"/>
      <c r="P576" s="531"/>
      <c r="Q576" s="531"/>
      <c r="R576" s="531"/>
      <c r="S576" s="531"/>
      <c r="T576" s="531"/>
      <c r="U576" s="531"/>
      <c r="V576" s="531"/>
      <c r="W576" s="531"/>
      <c r="X576" s="531"/>
      <c r="Y576" s="531"/>
      <c r="Z576" s="531">
        <v>9</v>
      </c>
      <c r="AA576" s="531"/>
      <c r="AB576" s="531"/>
      <c r="AC576" s="532" t="e">
        <f>IF(NFI_Expiration=1,IF(#REF!&lt;VLOOKUP(L$5,NFI,5,0),1,0)*Table_NFI[[#This Row],[NFI Core Kit]],Table_NFI[NFI Core Kit])</f>
        <v>#REF!</v>
      </c>
      <c r="AD576" s="532" t="e">
        <f>IF(NFI_Expiration=1,IF(#REF!&lt;VLOOKUP(M$5,NFI,5,0),1,0)*Table_NFI[[#This Row],[Sanitary Kit]],Table_NFI[Sanitary Kit])</f>
        <v>#REF!</v>
      </c>
      <c r="AE576" s="532" t="e">
        <f>IF(NFI_Expiration=1,IF(#REF!&lt;VLOOKUP(N$5,NFI,5,0),1,0)*Table_NFI[[#This Row],[Mosquito net]],Table_NFI[Mosquito net])</f>
        <v>#REF!</v>
      </c>
      <c r="AF576" s="532" t="e">
        <f>IF(NFI_Expiration=1,IF(#REF!&lt;VLOOKUP(O$5,NFI,5,0),1,0)*Table_NFI[[#This Row],[Tarpaulin]],Table_NFI[[#This Row],[Tarpaulin]])</f>
        <v>#REF!</v>
      </c>
      <c r="AG576" s="532" t="e">
        <f>IF(NFI_Expiration=1,IF(#REF!&lt;VLOOKUP(P$5,NFI,5,0),1,0)*Table_NFI[[#This Row],[Blanket]],Table_NFI[[#This Row],[Blanket]])</f>
        <v>#REF!</v>
      </c>
      <c r="AH576" s="532" t="e">
        <f>IF(NFI_Expiration=1,IF(#REF!&lt;VLOOKUP(Q$5,NFI,5,0),1,0)*Table_NFI[[#This Row],[Kitchen Set]],Table_NFI[Kitchen Set])</f>
        <v>#REF!</v>
      </c>
      <c r="AI576" s="532" t="e">
        <f>IF(NFI_Expiration=1,IF(#REF!&lt;VLOOKUP(R$5,NFI,5,0),1,0)*Table_NFI[[#This Row],[Clothes Kit]],Table_NFI[Clothes Kit])</f>
        <v>#REF!</v>
      </c>
      <c r="AJ576" s="532" t="e">
        <f>IF(NFI_Expiration=1,IF(#REF!&lt;VLOOKUP(S$5,NFI,5,0),1,0)*Table_NFI[[#This Row],[Plastic Bucket]],Table_NFI[Plastic Bucket])</f>
        <v>#REF!</v>
      </c>
      <c r="AK576" s="532" t="e">
        <f>IF(NFI_Expiration=1,IF(#REF!&lt;VLOOKUP(T$5,NFI,5,0),1,0)*Table_NFI[[#This Row],[Plastic Mat]],Table_NFI[Plastic Mat])*IF(Table_NFI[[#This Row],[Distribution Date]]&gt;"2014-04-01",1,2.5)</f>
        <v>#REF!</v>
      </c>
      <c r="AL576" s="532" t="e">
        <f>IF(NFI_Expiration=1,IF(#REF!&lt;VLOOKUP(U$5,NFI,5,0),1,0)*Table_NFI[[#This Row],[Winter Clothes Adult]],Table_NFI[Winter Clothes Adult])</f>
        <v>#REF!</v>
      </c>
      <c r="AM576" s="532"/>
      <c r="AN576" s="532"/>
      <c r="AO576" s="532"/>
      <c r="AP576" s="532">
        <f>IF(Table_NFI[[#This Row],[Winter Clothes Adult]]+Table_NFI[[#This Row],[Winter Clothes Children]]+Table_NFI[[#This Row],[Winter Items Other]]+Table_NFI[[#This Row],[Winter Blanket]]&gt;0,1,0)</f>
        <v>0</v>
      </c>
      <c r="AQ576" s="532"/>
      <c r="AR576" s="532"/>
      <c r="AS576" s="532"/>
      <c r="AT576" s="532"/>
      <c r="AU576" s="532"/>
      <c r="AV576" s="532"/>
      <c r="AW576" s="532"/>
      <c r="AX576" s="203" t="str">
        <f>IFERROR(VLOOKUP(Table_NFI[[#This Row],[Location]],CL,2,0),"")</f>
        <v/>
      </c>
      <c r="AZ576" s="524"/>
      <c r="DS576" s="181"/>
      <c r="DT576" s="181"/>
    </row>
    <row r="577" spans="2:124" x14ac:dyDescent="0.3">
      <c r="B577" s="530">
        <v>43522</v>
      </c>
      <c r="C577" s="530" t="str">
        <f>MONTH(Table_NFI[[#This Row],[Distribution Date]]) &amp; "/" &amp; YEAR(Table_NFI[[#This Row],[Distribution Date]])</f>
        <v>2/2019</v>
      </c>
      <c r="D577" s="196" t="s">
        <v>420</v>
      </c>
      <c r="E577" s="196" t="s">
        <v>1256</v>
      </c>
      <c r="F577" s="196" t="s">
        <v>378</v>
      </c>
      <c r="G577" s="195" t="s">
        <v>151</v>
      </c>
      <c r="H577" s="196" t="s">
        <v>1881</v>
      </c>
      <c r="I577" s="181"/>
      <c r="J577" s="531"/>
      <c r="K577" s="531"/>
      <c r="L577" s="531"/>
      <c r="M577" s="531"/>
      <c r="N577" s="531"/>
      <c r="O577" s="531"/>
      <c r="P577" s="531"/>
      <c r="Q577" s="531"/>
      <c r="R577" s="531"/>
      <c r="S577" s="531"/>
      <c r="T577" s="531"/>
      <c r="U577" s="531"/>
      <c r="V577" s="531"/>
      <c r="W577" s="531"/>
      <c r="X577" s="531"/>
      <c r="Y577" s="531"/>
      <c r="Z577" s="531">
        <v>4</v>
      </c>
      <c r="AA577" s="531"/>
      <c r="AB577" s="531"/>
      <c r="AC577" s="532" t="e">
        <f>IF(NFI_Expiration=1,IF(#REF!&lt;VLOOKUP(L$5,NFI,5,0),1,0)*Table_NFI[[#This Row],[NFI Core Kit]],Table_NFI[NFI Core Kit])</f>
        <v>#REF!</v>
      </c>
      <c r="AD577" s="532" t="e">
        <f>IF(NFI_Expiration=1,IF(#REF!&lt;VLOOKUP(M$5,NFI,5,0),1,0)*Table_NFI[[#This Row],[Sanitary Kit]],Table_NFI[Sanitary Kit])</f>
        <v>#REF!</v>
      </c>
      <c r="AE577" s="532" t="e">
        <f>IF(NFI_Expiration=1,IF(#REF!&lt;VLOOKUP(N$5,NFI,5,0),1,0)*Table_NFI[[#This Row],[Mosquito net]],Table_NFI[Mosquito net])</f>
        <v>#REF!</v>
      </c>
      <c r="AF577" s="532" t="e">
        <f>IF(NFI_Expiration=1,IF(#REF!&lt;VLOOKUP(O$5,NFI,5,0),1,0)*Table_NFI[[#This Row],[Tarpaulin]],Table_NFI[[#This Row],[Tarpaulin]])</f>
        <v>#REF!</v>
      </c>
      <c r="AG577" s="532" t="e">
        <f>IF(NFI_Expiration=1,IF(#REF!&lt;VLOOKUP(P$5,NFI,5,0),1,0)*Table_NFI[[#This Row],[Blanket]],Table_NFI[[#This Row],[Blanket]])</f>
        <v>#REF!</v>
      </c>
      <c r="AH577" s="532" t="e">
        <f>IF(NFI_Expiration=1,IF(#REF!&lt;VLOOKUP(Q$5,NFI,5,0),1,0)*Table_NFI[[#This Row],[Kitchen Set]],Table_NFI[Kitchen Set])</f>
        <v>#REF!</v>
      </c>
      <c r="AI577" s="532" t="e">
        <f>IF(NFI_Expiration=1,IF(#REF!&lt;VLOOKUP(R$5,NFI,5,0),1,0)*Table_NFI[[#This Row],[Clothes Kit]],Table_NFI[Clothes Kit])</f>
        <v>#REF!</v>
      </c>
      <c r="AJ577" s="532" t="e">
        <f>IF(NFI_Expiration=1,IF(#REF!&lt;VLOOKUP(S$5,NFI,5,0),1,0)*Table_NFI[[#This Row],[Plastic Bucket]],Table_NFI[Plastic Bucket])</f>
        <v>#REF!</v>
      </c>
      <c r="AK577" s="532" t="e">
        <f>IF(NFI_Expiration=1,IF(#REF!&lt;VLOOKUP(T$5,NFI,5,0),1,0)*Table_NFI[[#This Row],[Plastic Mat]],Table_NFI[Plastic Mat])*IF(Table_NFI[[#This Row],[Distribution Date]]&gt;"2014-04-01",1,2.5)</f>
        <v>#REF!</v>
      </c>
      <c r="AL577" s="532" t="e">
        <f>IF(NFI_Expiration=1,IF(#REF!&lt;VLOOKUP(U$5,NFI,5,0),1,0)*Table_NFI[[#This Row],[Winter Clothes Adult]],Table_NFI[Winter Clothes Adult])</f>
        <v>#REF!</v>
      </c>
      <c r="AM577" s="532"/>
      <c r="AN577" s="532"/>
      <c r="AO577" s="532"/>
      <c r="AP577" s="532">
        <f>IF(Table_NFI[[#This Row],[Winter Clothes Adult]]+Table_NFI[[#This Row],[Winter Clothes Children]]+Table_NFI[[#This Row],[Winter Items Other]]+Table_NFI[[#This Row],[Winter Blanket]]&gt;0,1,0)</f>
        <v>0</v>
      </c>
      <c r="AQ577" s="532"/>
      <c r="AR577" s="532"/>
      <c r="AS577" s="532"/>
      <c r="AT577" s="532"/>
      <c r="AU577" s="532"/>
      <c r="AV577" s="532"/>
      <c r="AW577" s="532"/>
      <c r="AX577" s="203" t="str">
        <f>IFERROR(VLOOKUP(Table_NFI[[#This Row],[Location]],CL,2,0),"")</f>
        <v>MMR001CMP196</v>
      </c>
      <c r="AY577" s="181" t="s">
        <v>1898</v>
      </c>
      <c r="AZ577" s="524"/>
      <c r="DS577" s="181"/>
      <c r="DT577" s="181"/>
    </row>
    <row r="578" spans="2:124" x14ac:dyDescent="0.3">
      <c r="B578" s="530">
        <v>43524</v>
      </c>
      <c r="C578" s="530" t="str">
        <f>MONTH(Table_NFI[[#This Row],[Distribution Date]]) &amp; "/" &amp; YEAR(Table_NFI[[#This Row],[Distribution Date]])</f>
        <v>2/2019</v>
      </c>
      <c r="D578" s="196" t="s">
        <v>1256</v>
      </c>
      <c r="E578" s="196"/>
      <c r="F578" s="196" t="s">
        <v>506</v>
      </c>
      <c r="G578" s="196" t="s">
        <v>1198</v>
      </c>
      <c r="H578" s="196" t="s">
        <v>1906</v>
      </c>
      <c r="I578" s="181"/>
      <c r="J578" s="531"/>
      <c r="K578" s="531"/>
      <c r="L578" s="531"/>
      <c r="M578" s="531"/>
      <c r="N578" s="531"/>
      <c r="O578" s="531">
        <v>2</v>
      </c>
      <c r="P578" s="531">
        <v>16</v>
      </c>
      <c r="Q578" s="531"/>
      <c r="R578" s="531"/>
      <c r="S578" s="531"/>
      <c r="T578" s="531">
        <v>1</v>
      </c>
      <c r="U578" s="531"/>
      <c r="V578" s="531"/>
      <c r="W578" s="531">
        <v>1</v>
      </c>
      <c r="X578" s="531"/>
      <c r="Y578" s="531"/>
      <c r="Z578" s="531"/>
      <c r="AA578" s="531"/>
      <c r="AB578" s="531"/>
      <c r="AC578" s="532" t="e">
        <f>IF(NFI_Expiration=1,IF(#REF!&lt;VLOOKUP(L$5,NFI,5,0),1,0)*Table_NFI[[#This Row],[NFI Core Kit]],Table_NFI[NFI Core Kit])</f>
        <v>#REF!</v>
      </c>
      <c r="AD578" s="532" t="e">
        <f>IF(NFI_Expiration=1,IF(#REF!&lt;VLOOKUP(M$5,NFI,5,0),1,0)*Table_NFI[[#This Row],[Sanitary Kit]],Table_NFI[Sanitary Kit])</f>
        <v>#REF!</v>
      </c>
      <c r="AE578" s="532" t="e">
        <f>IF(NFI_Expiration=1,IF(#REF!&lt;VLOOKUP(N$5,NFI,5,0),1,0)*Table_NFI[[#This Row],[Mosquito net]],Table_NFI[Mosquito net])</f>
        <v>#REF!</v>
      </c>
      <c r="AF578" s="532" t="e">
        <f>IF(NFI_Expiration=1,IF(#REF!&lt;VLOOKUP(O$5,NFI,5,0),1,0)*Table_NFI[[#This Row],[Tarpaulin]],Table_NFI[[#This Row],[Tarpaulin]])</f>
        <v>#REF!</v>
      </c>
      <c r="AG578" s="532" t="e">
        <f>IF(NFI_Expiration=1,IF(#REF!&lt;VLOOKUP(P$5,NFI,5,0),1,0)*Table_NFI[[#This Row],[Blanket]],Table_NFI[[#This Row],[Blanket]])</f>
        <v>#REF!</v>
      </c>
      <c r="AH578" s="532" t="e">
        <f>IF(NFI_Expiration=1,IF(#REF!&lt;VLOOKUP(Q$5,NFI,5,0),1,0)*Table_NFI[[#This Row],[Kitchen Set]],Table_NFI[Kitchen Set])</f>
        <v>#REF!</v>
      </c>
      <c r="AI578" s="532" t="e">
        <f>IF(NFI_Expiration=1,IF(#REF!&lt;VLOOKUP(R$5,NFI,5,0),1,0)*Table_NFI[[#This Row],[Clothes Kit]],Table_NFI[Clothes Kit])</f>
        <v>#REF!</v>
      </c>
      <c r="AJ578" s="532" t="e">
        <f>IF(NFI_Expiration=1,IF(#REF!&lt;VLOOKUP(S$5,NFI,5,0),1,0)*Table_NFI[[#This Row],[Plastic Bucket]],Table_NFI[Plastic Bucket])</f>
        <v>#REF!</v>
      </c>
      <c r="AK578" s="532" t="e">
        <f>IF(NFI_Expiration=1,IF(#REF!&lt;VLOOKUP(T$5,NFI,5,0),1,0)*Table_NFI[[#This Row],[Plastic Mat]],Table_NFI[Plastic Mat])*IF(Table_NFI[[#This Row],[Distribution Date]]&gt;"2014-04-01",1,2.5)</f>
        <v>#REF!</v>
      </c>
      <c r="AL578" s="532" t="e">
        <f>IF(NFI_Expiration=1,IF(#REF!&lt;VLOOKUP(U$5,NFI,5,0),1,0)*Table_NFI[[#This Row],[Winter Clothes Adult]],Table_NFI[Winter Clothes Adult])</f>
        <v>#REF!</v>
      </c>
      <c r="AM578" s="532"/>
      <c r="AN578" s="532"/>
      <c r="AO578" s="532"/>
      <c r="AP578" s="532">
        <f>IF(Table_NFI[[#This Row],[Winter Clothes Adult]]+Table_NFI[[#This Row],[Winter Clothes Children]]+Table_NFI[[#This Row],[Winter Items Other]]+Table_NFI[[#This Row],[Winter Blanket]]&gt;0,1,0)</f>
        <v>1</v>
      </c>
      <c r="AQ578" s="532"/>
      <c r="AR578" s="532"/>
      <c r="AS578" s="532"/>
      <c r="AT578" s="532"/>
      <c r="AU578" s="532"/>
      <c r="AV578" s="532"/>
      <c r="AW578" s="532"/>
      <c r="AX578" s="203" t="str">
        <f>IFERROR(VLOOKUP(Table_NFI[[#This Row],[Location]],CL,2,0),"")</f>
        <v/>
      </c>
      <c r="AZ578" s="524"/>
      <c r="DS578" s="181"/>
      <c r="DT578" s="181"/>
    </row>
    <row r="579" spans="2:124" x14ac:dyDescent="0.3">
      <c r="B579" s="530">
        <v>43528</v>
      </c>
      <c r="C579" s="530" t="str">
        <f>MONTH(Table_NFI[[#This Row],[Distribution Date]]) &amp; "/" &amp; YEAR(Table_NFI[[#This Row],[Distribution Date]])</f>
        <v>3/2019</v>
      </c>
      <c r="D579" s="196" t="s">
        <v>1452</v>
      </c>
      <c r="E579" s="196"/>
      <c r="F579" s="196" t="s">
        <v>506</v>
      </c>
      <c r="G579" s="196" t="s">
        <v>1919</v>
      </c>
      <c r="H579" s="196" t="s">
        <v>167</v>
      </c>
      <c r="I579" s="181"/>
      <c r="J579" s="531"/>
      <c r="K579" s="531"/>
      <c r="L579" s="531"/>
      <c r="M579" s="531"/>
      <c r="N579" s="531"/>
      <c r="O579" s="531"/>
      <c r="P579" s="531"/>
      <c r="Q579" s="531"/>
      <c r="R579" s="531"/>
      <c r="S579" s="531"/>
      <c r="T579" s="531"/>
      <c r="U579" s="531"/>
      <c r="V579" s="531"/>
      <c r="W579" s="531"/>
      <c r="X579" s="531"/>
      <c r="Y579" s="531"/>
      <c r="Z579" s="531"/>
      <c r="AA579" s="531"/>
      <c r="AB579" s="531"/>
      <c r="AC579" s="532" t="e">
        <f>IF(NFI_Expiration=1,IF(#REF!&lt;VLOOKUP(L$5,NFI,5,0),1,0)*Table_NFI[[#This Row],[NFI Core Kit]],Table_NFI[NFI Core Kit])</f>
        <v>#REF!</v>
      </c>
      <c r="AD579" s="532" t="e">
        <f>IF(NFI_Expiration=1,IF(#REF!&lt;VLOOKUP(M$5,NFI,5,0),1,0)*Table_NFI[[#This Row],[Sanitary Kit]],Table_NFI[Sanitary Kit])</f>
        <v>#REF!</v>
      </c>
      <c r="AE579" s="532" t="e">
        <f>IF(NFI_Expiration=1,IF(#REF!&lt;VLOOKUP(N$5,NFI,5,0),1,0)*Table_NFI[[#This Row],[Mosquito net]],Table_NFI[Mosquito net])</f>
        <v>#REF!</v>
      </c>
      <c r="AF579" s="532" t="e">
        <f>IF(NFI_Expiration=1,IF(#REF!&lt;VLOOKUP(O$5,NFI,5,0),1,0)*Table_NFI[[#This Row],[Tarpaulin]],Table_NFI[[#This Row],[Tarpaulin]])</f>
        <v>#REF!</v>
      </c>
      <c r="AG579" s="532" t="e">
        <f>IF(NFI_Expiration=1,IF(#REF!&lt;VLOOKUP(P$5,NFI,5,0),1,0)*Table_NFI[[#This Row],[Blanket]],Table_NFI[[#This Row],[Blanket]])</f>
        <v>#REF!</v>
      </c>
      <c r="AH579" s="532" t="e">
        <f>IF(NFI_Expiration=1,IF(#REF!&lt;VLOOKUP(Q$5,NFI,5,0),1,0)*Table_NFI[[#This Row],[Kitchen Set]],Table_NFI[Kitchen Set])</f>
        <v>#REF!</v>
      </c>
      <c r="AI579" s="532" t="e">
        <f>IF(NFI_Expiration=1,IF(#REF!&lt;VLOOKUP(R$5,NFI,5,0),1,0)*Table_NFI[[#This Row],[Clothes Kit]],Table_NFI[Clothes Kit])</f>
        <v>#REF!</v>
      </c>
      <c r="AJ579" s="532" t="e">
        <f>IF(NFI_Expiration=1,IF(#REF!&lt;VLOOKUP(S$5,NFI,5,0),1,0)*Table_NFI[[#This Row],[Plastic Bucket]],Table_NFI[Plastic Bucket])</f>
        <v>#REF!</v>
      </c>
      <c r="AK579" s="532" t="e">
        <f>IF(NFI_Expiration=1,IF(#REF!&lt;VLOOKUP(T$5,NFI,5,0),1,0)*Table_NFI[[#This Row],[Plastic Mat]],Table_NFI[Plastic Mat])*IF(Table_NFI[[#This Row],[Distribution Date]]&gt;"2014-04-01",1,2.5)</f>
        <v>#REF!</v>
      </c>
      <c r="AL579" s="532" t="e">
        <f>IF(NFI_Expiration=1,IF(#REF!&lt;VLOOKUP(U$5,NFI,5,0),1,0)*Table_NFI[[#This Row],[Winter Clothes Adult]],Table_NFI[Winter Clothes Adult])</f>
        <v>#REF!</v>
      </c>
      <c r="AM579" s="532"/>
      <c r="AN579" s="532"/>
      <c r="AO579" s="532"/>
      <c r="AP579" s="532">
        <f>IF(Table_NFI[[#This Row],[Winter Clothes Adult]]+Table_NFI[[#This Row],[Winter Clothes Children]]+Table_NFI[[#This Row],[Winter Items Other]]+Table_NFI[[#This Row],[Winter Blanket]]&gt;0,1,0)</f>
        <v>0</v>
      </c>
      <c r="AQ579" s="532"/>
      <c r="AR579" s="532"/>
      <c r="AS579" s="532"/>
      <c r="AT579" s="532"/>
      <c r="AU579" s="532"/>
      <c r="AV579" s="532"/>
      <c r="AW579" s="532"/>
      <c r="AX579" s="203" t="str">
        <f>IFERROR(VLOOKUP(Table_NFI[[#This Row],[Location]],CL,2,0),"")</f>
        <v>MMR015CMP009</v>
      </c>
      <c r="AY579" s="181" t="s">
        <v>1920</v>
      </c>
      <c r="DS579" s="181"/>
    </row>
    <row r="580" spans="2:124" x14ac:dyDescent="0.3">
      <c r="B580" s="530">
        <v>43529</v>
      </c>
      <c r="C580" s="530" t="str">
        <f>MONTH(Table_NFI[[#This Row],[Distribution Date]]) &amp; "/" &amp; YEAR(Table_NFI[[#This Row],[Distribution Date]])</f>
        <v>3/2019</v>
      </c>
      <c r="D580" s="196" t="s">
        <v>1256</v>
      </c>
      <c r="E580" s="196"/>
      <c r="F580" s="196" t="s">
        <v>378</v>
      </c>
      <c r="G580" s="196" t="s">
        <v>27</v>
      </c>
      <c r="H580" s="196" t="s">
        <v>363</v>
      </c>
      <c r="I580" s="181"/>
      <c r="J580" s="531">
        <v>60</v>
      </c>
      <c r="K580" s="531"/>
      <c r="L580" s="531"/>
      <c r="M580" s="531">
        <v>60</v>
      </c>
      <c r="N580" s="531"/>
      <c r="O580" s="531"/>
      <c r="P580" s="531">
        <v>174</v>
      </c>
      <c r="Q580" s="531">
        <v>30</v>
      </c>
      <c r="R580" s="531"/>
      <c r="S580" s="531">
        <v>60</v>
      </c>
      <c r="T580" s="531">
        <v>174</v>
      </c>
      <c r="U580" s="531"/>
      <c r="V580" s="531"/>
      <c r="W580" s="531">
        <v>174</v>
      </c>
      <c r="X580" s="531">
        <v>47</v>
      </c>
      <c r="Y580" s="531">
        <v>30</v>
      </c>
      <c r="Z580" s="531"/>
      <c r="AA580" s="531"/>
      <c r="AB580" s="531"/>
      <c r="AC580" s="532" t="e">
        <f>IF(NFI_Expiration=1,IF(#REF!&lt;VLOOKUP(L$5,NFI,5,0),1,0)*Table_NFI[[#This Row],[NFI Core Kit]],Table_NFI[NFI Core Kit])</f>
        <v>#REF!</v>
      </c>
      <c r="AD580" s="532" t="e">
        <f>IF(NFI_Expiration=1,IF(#REF!&lt;VLOOKUP(M$5,NFI,5,0),1,0)*Table_NFI[[#This Row],[Sanitary Kit]],Table_NFI[Sanitary Kit])</f>
        <v>#REF!</v>
      </c>
      <c r="AE580" s="532" t="e">
        <f>IF(NFI_Expiration=1,IF(#REF!&lt;VLOOKUP(N$5,NFI,5,0),1,0)*Table_NFI[[#This Row],[Mosquito net]],Table_NFI[Mosquito net])</f>
        <v>#REF!</v>
      </c>
      <c r="AF580" s="532" t="e">
        <f>IF(NFI_Expiration=1,IF(#REF!&lt;VLOOKUP(O$5,NFI,5,0),1,0)*Table_NFI[[#This Row],[Tarpaulin]],Table_NFI[[#This Row],[Tarpaulin]])</f>
        <v>#REF!</v>
      </c>
      <c r="AG580" s="532" t="e">
        <f>IF(NFI_Expiration=1,IF(#REF!&lt;VLOOKUP(P$5,NFI,5,0),1,0)*Table_NFI[[#This Row],[Blanket]],Table_NFI[[#This Row],[Blanket]])</f>
        <v>#REF!</v>
      </c>
      <c r="AH580" s="532" t="e">
        <f>IF(NFI_Expiration=1,IF(#REF!&lt;VLOOKUP(Q$5,NFI,5,0),1,0)*Table_NFI[[#This Row],[Kitchen Set]],Table_NFI[Kitchen Set])</f>
        <v>#REF!</v>
      </c>
      <c r="AI580" s="532" t="e">
        <f>IF(NFI_Expiration=1,IF(#REF!&lt;VLOOKUP(R$5,NFI,5,0),1,0)*Table_NFI[[#This Row],[Clothes Kit]],Table_NFI[Clothes Kit])</f>
        <v>#REF!</v>
      </c>
      <c r="AJ580" s="532" t="e">
        <f>IF(NFI_Expiration=1,IF(#REF!&lt;VLOOKUP(S$5,NFI,5,0),1,0)*Table_NFI[[#This Row],[Plastic Bucket]],Table_NFI[Plastic Bucket])</f>
        <v>#REF!</v>
      </c>
      <c r="AK580" s="532" t="e">
        <f>IF(NFI_Expiration=1,IF(#REF!&lt;VLOOKUP(T$5,NFI,5,0),1,0)*Table_NFI[[#This Row],[Plastic Mat]],Table_NFI[Plastic Mat])*IF(Table_NFI[[#This Row],[Distribution Date]]&gt;"2014-04-01",1,2.5)</f>
        <v>#REF!</v>
      </c>
      <c r="AL580" s="532" t="e">
        <f>IF(NFI_Expiration=1,IF(#REF!&lt;VLOOKUP(U$5,NFI,5,0),1,0)*Table_NFI[[#This Row],[Winter Clothes Adult]],Table_NFI[Winter Clothes Adult])</f>
        <v>#REF!</v>
      </c>
      <c r="AM580" s="532"/>
      <c r="AN580" s="532"/>
      <c r="AO580" s="532"/>
      <c r="AP580" s="532">
        <f>IF(Table_NFI[[#This Row],[Winter Clothes Adult]]+Table_NFI[[#This Row],[Winter Clothes Children]]+Table_NFI[[#This Row],[Winter Items Other]]+Table_NFI[[#This Row],[Winter Blanket]]&gt;0,1,0)</f>
        <v>1</v>
      </c>
      <c r="AQ580" s="532"/>
      <c r="AR580" s="532"/>
      <c r="AS580" s="532"/>
      <c r="AT580" s="532"/>
      <c r="AU580" s="532"/>
      <c r="AV580" s="532"/>
      <c r="AW580" s="532"/>
      <c r="AX580" s="203" t="str">
        <f>IFERROR(VLOOKUP(Table_NFI[[#This Row],[Location]],CL,2,0),"")</f>
        <v>MMR001CMP195</v>
      </c>
      <c r="DS580" s="181"/>
    </row>
    <row r="581" spans="2:124" x14ac:dyDescent="0.3">
      <c r="B581" s="530">
        <v>43529</v>
      </c>
      <c r="C581" s="530" t="str">
        <f>MONTH(Table_NFI[[#This Row],[Distribution Date]]) &amp; "/" &amp; YEAR(Table_NFI[[#This Row],[Distribution Date]])</f>
        <v>3/2019</v>
      </c>
      <c r="D581" s="196" t="s">
        <v>1256</v>
      </c>
      <c r="E581" s="196"/>
      <c r="F581" s="196" t="s">
        <v>378</v>
      </c>
      <c r="G581" s="196" t="s">
        <v>27</v>
      </c>
      <c r="H581" s="196" t="s">
        <v>28</v>
      </c>
      <c r="I581" s="181"/>
      <c r="J581" s="531">
        <v>60</v>
      </c>
      <c r="K581" s="531"/>
      <c r="L581" s="531"/>
      <c r="M581" s="531">
        <v>60</v>
      </c>
      <c r="N581" s="531"/>
      <c r="O581" s="531"/>
      <c r="P581" s="531">
        <v>73</v>
      </c>
      <c r="Q581" s="531">
        <v>30</v>
      </c>
      <c r="R581" s="531"/>
      <c r="S581" s="531">
        <v>60</v>
      </c>
      <c r="T581" s="531">
        <v>70</v>
      </c>
      <c r="U581" s="531"/>
      <c r="V581" s="531"/>
      <c r="W581" s="531">
        <v>135</v>
      </c>
      <c r="X581" s="531">
        <v>145</v>
      </c>
      <c r="Y581" s="531">
        <v>30</v>
      </c>
      <c r="Z581" s="531"/>
      <c r="AA581" s="531"/>
      <c r="AB581" s="531"/>
      <c r="AC581" s="532" t="e">
        <f>IF(NFI_Expiration=1,IF(#REF!&lt;VLOOKUP(L$5,NFI,5,0),1,0)*Table_NFI[[#This Row],[NFI Core Kit]],Table_NFI[NFI Core Kit])</f>
        <v>#REF!</v>
      </c>
      <c r="AD581" s="532" t="e">
        <f>IF(NFI_Expiration=1,IF(#REF!&lt;VLOOKUP(M$5,NFI,5,0),1,0)*Table_NFI[[#This Row],[Sanitary Kit]],Table_NFI[Sanitary Kit])</f>
        <v>#REF!</v>
      </c>
      <c r="AE581" s="532" t="e">
        <f>IF(NFI_Expiration=1,IF(#REF!&lt;VLOOKUP(N$5,NFI,5,0),1,0)*Table_NFI[[#This Row],[Mosquito net]],Table_NFI[Mosquito net])</f>
        <v>#REF!</v>
      </c>
      <c r="AF581" s="532" t="e">
        <f>IF(NFI_Expiration=1,IF(#REF!&lt;VLOOKUP(O$5,NFI,5,0),1,0)*Table_NFI[[#This Row],[Tarpaulin]],Table_NFI[[#This Row],[Tarpaulin]])</f>
        <v>#REF!</v>
      </c>
      <c r="AG581" s="532" t="e">
        <f>IF(NFI_Expiration=1,IF(#REF!&lt;VLOOKUP(P$5,NFI,5,0),1,0)*Table_NFI[[#This Row],[Blanket]],Table_NFI[[#This Row],[Blanket]])</f>
        <v>#REF!</v>
      </c>
      <c r="AH581" s="532" t="e">
        <f>IF(NFI_Expiration=1,IF(#REF!&lt;VLOOKUP(Q$5,NFI,5,0),1,0)*Table_NFI[[#This Row],[Kitchen Set]],Table_NFI[Kitchen Set])</f>
        <v>#REF!</v>
      </c>
      <c r="AI581" s="532" t="e">
        <f>IF(NFI_Expiration=1,IF(#REF!&lt;VLOOKUP(R$5,NFI,5,0),1,0)*Table_NFI[[#This Row],[Clothes Kit]],Table_NFI[Clothes Kit])</f>
        <v>#REF!</v>
      </c>
      <c r="AJ581" s="532" t="e">
        <f>IF(NFI_Expiration=1,IF(#REF!&lt;VLOOKUP(S$5,NFI,5,0),1,0)*Table_NFI[[#This Row],[Plastic Bucket]],Table_NFI[Plastic Bucket])</f>
        <v>#REF!</v>
      </c>
      <c r="AK581" s="532" t="e">
        <f>IF(NFI_Expiration=1,IF(#REF!&lt;VLOOKUP(T$5,NFI,5,0),1,0)*Table_NFI[[#This Row],[Plastic Mat]],Table_NFI[Plastic Mat])*IF(Table_NFI[[#This Row],[Distribution Date]]&gt;"2014-04-01",1,2.5)</f>
        <v>#REF!</v>
      </c>
      <c r="AL581" s="532" t="e">
        <f>IF(NFI_Expiration=1,IF(#REF!&lt;VLOOKUP(U$5,NFI,5,0),1,0)*Table_NFI[[#This Row],[Winter Clothes Adult]],Table_NFI[Winter Clothes Adult])</f>
        <v>#REF!</v>
      </c>
      <c r="AM581" s="532"/>
      <c r="AN581" s="532"/>
      <c r="AO581" s="532"/>
      <c r="AP581" s="532">
        <f>IF(Table_NFI[[#This Row],[Winter Clothes Adult]]+Table_NFI[[#This Row],[Winter Clothes Children]]+Table_NFI[[#This Row],[Winter Items Other]]+Table_NFI[[#This Row],[Winter Blanket]]&gt;0,1,0)</f>
        <v>1</v>
      </c>
      <c r="AQ581" s="532"/>
      <c r="AR581" s="532"/>
      <c r="AS581" s="532"/>
      <c r="AT581" s="532"/>
      <c r="AU581" s="532"/>
      <c r="AV581" s="532"/>
      <c r="AW581" s="532"/>
      <c r="AX581" s="203" t="str">
        <f>IFERROR(VLOOKUP(Table_NFI[[#This Row],[Location]],CL,2,0),"")</f>
        <v>MMR001CMP042</v>
      </c>
      <c r="DS581" s="181"/>
    </row>
    <row r="582" spans="2:124" x14ac:dyDescent="0.25">
      <c r="B582" s="530">
        <v>43529</v>
      </c>
      <c r="C582" s="530" t="str">
        <f>MONTH(Table_NFI[[#This Row],[Distribution Date]]) &amp; "/" &amp; YEAR(Table_NFI[[#This Row],[Distribution Date]])</f>
        <v>3/2019</v>
      </c>
      <c r="D582" s="629" t="s">
        <v>1916</v>
      </c>
      <c r="E582" s="196"/>
      <c r="F582" s="196" t="s">
        <v>506</v>
      </c>
      <c r="G582" s="196" t="s">
        <v>1198</v>
      </c>
      <c r="H582" s="196" t="s">
        <v>1913</v>
      </c>
      <c r="I582" s="181"/>
      <c r="J582" s="531"/>
      <c r="K582" s="531"/>
      <c r="L582" s="531"/>
      <c r="M582" s="531"/>
      <c r="N582" s="531">
        <v>200</v>
      </c>
      <c r="O582" s="531"/>
      <c r="P582" s="531">
        <v>400</v>
      </c>
      <c r="Q582" s="531"/>
      <c r="R582" s="531"/>
      <c r="S582" s="531"/>
      <c r="T582" s="531"/>
      <c r="U582" s="531"/>
      <c r="V582" s="531"/>
      <c r="W582" s="531"/>
      <c r="X582" s="531"/>
      <c r="Y582" s="531"/>
      <c r="Z582" s="531"/>
      <c r="AA582" s="531"/>
      <c r="AB582" s="531"/>
      <c r="AC582" s="532" t="e">
        <f>IF(NFI_Expiration=1,IF(#REF!&lt;VLOOKUP(L$5,NFI,5,0),1,0)*Table_NFI[[#This Row],[NFI Core Kit]],Table_NFI[NFI Core Kit])</f>
        <v>#REF!</v>
      </c>
      <c r="AD582" s="532" t="e">
        <f>IF(NFI_Expiration=1,IF(#REF!&lt;VLOOKUP(M$5,NFI,5,0),1,0)*Table_NFI[[#This Row],[Sanitary Kit]],Table_NFI[Sanitary Kit])</f>
        <v>#REF!</v>
      </c>
      <c r="AE582" s="532" t="e">
        <f>IF(NFI_Expiration=1,IF(#REF!&lt;VLOOKUP(N$5,NFI,5,0),1,0)*Table_NFI[[#This Row],[Mosquito net]],Table_NFI[Mosquito net])</f>
        <v>#REF!</v>
      </c>
      <c r="AF582" s="532" t="e">
        <f>IF(NFI_Expiration=1,IF(#REF!&lt;VLOOKUP(O$5,NFI,5,0),1,0)*Table_NFI[[#This Row],[Tarpaulin]],Table_NFI[[#This Row],[Tarpaulin]])</f>
        <v>#REF!</v>
      </c>
      <c r="AG582" s="532" t="e">
        <f>IF(NFI_Expiration=1,IF(#REF!&lt;VLOOKUP(P$5,NFI,5,0),1,0)*Table_NFI[[#This Row],[Blanket]],Table_NFI[[#This Row],[Blanket]])</f>
        <v>#REF!</v>
      </c>
      <c r="AH582" s="532" t="e">
        <f>IF(NFI_Expiration=1,IF(#REF!&lt;VLOOKUP(Q$5,NFI,5,0),1,0)*Table_NFI[[#This Row],[Kitchen Set]],Table_NFI[Kitchen Set])</f>
        <v>#REF!</v>
      </c>
      <c r="AI582" s="532" t="e">
        <f>IF(NFI_Expiration=1,IF(#REF!&lt;VLOOKUP(R$5,NFI,5,0),1,0)*Table_NFI[[#This Row],[Clothes Kit]],Table_NFI[Clothes Kit])</f>
        <v>#REF!</v>
      </c>
      <c r="AJ582" s="532" t="e">
        <f>IF(NFI_Expiration=1,IF(#REF!&lt;VLOOKUP(S$5,NFI,5,0),1,0)*Table_NFI[[#This Row],[Plastic Bucket]],Table_NFI[Plastic Bucket])</f>
        <v>#REF!</v>
      </c>
      <c r="AK582" s="532" t="e">
        <f>IF(NFI_Expiration=1,IF(#REF!&lt;VLOOKUP(T$5,NFI,5,0),1,0)*Table_NFI[[#This Row],[Plastic Mat]],Table_NFI[Plastic Mat])*IF(Table_NFI[[#This Row],[Distribution Date]]&gt;"2014-04-01",1,2.5)</f>
        <v>#REF!</v>
      </c>
      <c r="AL582" s="532" t="e">
        <f>IF(NFI_Expiration=1,IF(#REF!&lt;VLOOKUP(U$5,NFI,5,0),1,0)*Table_NFI[[#This Row],[Winter Clothes Adult]],Table_NFI[Winter Clothes Adult])</f>
        <v>#REF!</v>
      </c>
      <c r="AM582" s="532"/>
      <c r="AN582" s="532"/>
      <c r="AO582" s="532"/>
      <c r="AP582" s="532">
        <f>IF(Table_NFI[[#This Row],[Winter Clothes Adult]]+Table_NFI[[#This Row],[Winter Clothes Children]]+Table_NFI[[#This Row],[Winter Items Other]]+Table_NFI[[#This Row],[Winter Blanket]]&gt;0,1,0)</f>
        <v>0</v>
      </c>
      <c r="AQ582" s="532"/>
      <c r="AR582" s="532"/>
      <c r="AS582" s="532"/>
      <c r="AT582" s="532"/>
      <c r="AU582" s="532"/>
      <c r="AV582" s="532"/>
      <c r="AW582" s="532"/>
      <c r="AX582" s="203" t="str">
        <f>IFERROR(VLOOKUP(Table_NFI[[#This Row],[Location]],CL,2,0),"")</f>
        <v/>
      </c>
      <c r="DS582" s="181"/>
    </row>
    <row r="583" spans="2:124" x14ac:dyDescent="0.3">
      <c r="B583" s="530">
        <v>43529</v>
      </c>
      <c r="C583" s="530" t="str">
        <f>MONTH(Table_NFI[[#This Row],[Distribution Date]]) &amp; "/" &amp; YEAR(Table_NFI[[#This Row],[Distribution Date]])</f>
        <v>3/2019</v>
      </c>
      <c r="D583" s="196" t="s">
        <v>420</v>
      </c>
      <c r="E583" s="196" t="s">
        <v>1940</v>
      </c>
      <c r="F583" s="196" t="s">
        <v>378</v>
      </c>
      <c r="G583" s="171" t="s">
        <v>5</v>
      </c>
      <c r="H583" s="171" t="s">
        <v>1945</v>
      </c>
      <c r="I583" s="181"/>
      <c r="J583" s="531"/>
      <c r="K583" s="531"/>
      <c r="L583" s="531"/>
      <c r="M583" s="531"/>
      <c r="N583" s="531"/>
      <c r="O583" s="531"/>
      <c r="P583" s="531"/>
      <c r="Q583" s="531"/>
      <c r="R583" s="531"/>
      <c r="S583" s="531"/>
      <c r="T583" s="531"/>
      <c r="U583" s="531"/>
      <c r="V583" s="531"/>
      <c r="W583" s="531"/>
      <c r="X583" s="531"/>
      <c r="Y583" s="531"/>
      <c r="Z583" s="531"/>
      <c r="AA583" s="531"/>
      <c r="AB583" s="531"/>
      <c r="AC583" s="532" t="e">
        <f>IF(NFI_Expiration=1,IF(#REF!&lt;VLOOKUP(L$5,NFI,5,0),1,0)*Table_NFI[[#This Row],[NFI Core Kit]],Table_NFI[NFI Core Kit])</f>
        <v>#REF!</v>
      </c>
      <c r="AD583" s="532" t="e">
        <f>IF(NFI_Expiration=1,IF(#REF!&lt;VLOOKUP(M$5,NFI,5,0),1,0)*Table_NFI[[#This Row],[Sanitary Kit]],Table_NFI[Sanitary Kit])</f>
        <v>#REF!</v>
      </c>
      <c r="AE583" s="532" t="e">
        <f>IF(NFI_Expiration=1,IF(#REF!&lt;VLOOKUP(N$5,NFI,5,0),1,0)*Table_NFI[[#This Row],[Mosquito net]],Table_NFI[Mosquito net])</f>
        <v>#REF!</v>
      </c>
      <c r="AF583" s="532" t="e">
        <f>IF(NFI_Expiration=1,IF(#REF!&lt;VLOOKUP(O$5,NFI,5,0),1,0)*Table_NFI[[#This Row],[Tarpaulin]],Table_NFI[[#This Row],[Tarpaulin]])</f>
        <v>#REF!</v>
      </c>
      <c r="AG583" s="532" t="e">
        <f>IF(NFI_Expiration=1,IF(#REF!&lt;VLOOKUP(P$5,NFI,5,0),1,0)*Table_NFI[[#This Row],[Blanket]],Table_NFI[[#This Row],[Blanket]])</f>
        <v>#REF!</v>
      </c>
      <c r="AH583" s="532" t="e">
        <f>IF(NFI_Expiration=1,IF(#REF!&lt;VLOOKUP(Q$5,NFI,5,0),1,0)*Table_NFI[[#This Row],[Kitchen Set]],Table_NFI[Kitchen Set])</f>
        <v>#REF!</v>
      </c>
      <c r="AI583" s="532" t="e">
        <f>IF(NFI_Expiration=1,IF(#REF!&lt;VLOOKUP(R$5,NFI,5,0),1,0)*Table_NFI[[#This Row],[Clothes Kit]],Table_NFI[Clothes Kit])</f>
        <v>#REF!</v>
      </c>
      <c r="AJ583" s="532" t="e">
        <f>IF(NFI_Expiration=1,IF(#REF!&lt;VLOOKUP(S$5,NFI,5,0),1,0)*Table_NFI[[#This Row],[Plastic Bucket]],Table_NFI[Plastic Bucket])</f>
        <v>#REF!</v>
      </c>
      <c r="AK583" s="532" t="e">
        <f>IF(NFI_Expiration=1,IF(#REF!&lt;VLOOKUP(T$5,NFI,5,0),1,0)*Table_NFI[[#This Row],[Plastic Mat]],Table_NFI[Plastic Mat])*IF(Table_NFI[[#This Row],[Distribution Date]]&gt;"2014-04-01",1,2.5)</f>
        <v>#REF!</v>
      </c>
      <c r="AL583" s="532" t="e">
        <f>IF(NFI_Expiration=1,IF(#REF!&lt;VLOOKUP(U$5,NFI,5,0),1,0)*Table_NFI[[#This Row],[Winter Clothes Adult]],Table_NFI[Winter Clothes Adult])</f>
        <v>#REF!</v>
      </c>
      <c r="AM583" s="532"/>
      <c r="AN583" s="532"/>
      <c r="AO583" s="532"/>
      <c r="AP583" s="532">
        <f>IF(Table_NFI[[#This Row],[Winter Clothes Adult]]+Table_NFI[[#This Row],[Winter Clothes Children]]+Table_NFI[[#This Row],[Winter Items Other]]+Table_NFI[[#This Row],[Winter Blanket]]&gt;0,1,0)</f>
        <v>0</v>
      </c>
      <c r="AQ583" s="532"/>
      <c r="AR583" s="532"/>
      <c r="AS583" s="532">
        <v>336</v>
      </c>
      <c r="AT583" s="532"/>
      <c r="AU583" s="532"/>
      <c r="AV583" s="532"/>
      <c r="AW583" s="532"/>
      <c r="AX583" s="203" t="str">
        <f>IFERROR(VLOOKUP(Table_NFI[[#This Row],[Location]],CL,2,0),"")</f>
        <v/>
      </c>
      <c r="AY583" s="181" t="s">
        <v>1954</v>
      </c>
      <c r="DS583" s="181"/>
    </row>
    <row r="584" spans="2:124" x14ac:dyDescent="0.3">
      <c r="B584" s="530">
        <v>43529</v>
      </c>
      <c r="C584" s="530" t="str">
        <f>MONTH(Table_NFI[[#This Row],[Distribution Date]]) &amp; "/" &amp; YEAR(Table_NFI[[#This Row],[Distribution Date]])</f>
        <v>3/2019</v>
      </c>
      <c r="D584" s="196" t="s">
        <v>420</v>
      </c>
      <c r="E584" s="196" t="s">
        <v>1940</v>
      </c>
      <c r="F584" s="196" t="s">
        <v>378</v>
      </c>
      <c r="G584" s="171" t="s">
        <v>5</v>
      </c>
      <c r="H584" s="171" t="s">
        <v>1946</v>
      </c>
      <c r="I584" s="181"/>
      <c r="J584" s="531"/>
      <c r="K584" s="531"/>
      <c r="L584" s="531"/>
      <c r="M584" s="531"/>
      <c r="N584" s="531"/>
      <c r="O584" s="531"/>
      <c r="P584" s="531"/>
      <c r="Q584" s="531"/>
      <c r="R584" s="531"/>
      <c r="S584" s="531"/>
      <c r="T584" s="531"/>
      <c r="U584" s="531"/>
      <c r="V584" s="531"/>
      <c r="W584" s="531"/>
      <c r="X584" s="531"/>
      <c r="Y584" s="531"/>
      <c r="Z584" s="531"/>
      <c r="AA584" s="531"/>
      <c r="AB584" s="531"/>
      <c r="AC584" s="532" t="e">
        <f>IF(NFI_Expiration=1,IF(#REF!&lt;VLOOKUP(L$5,NFI,5,0),1,0)*Table_NFI[[#This Row],[NFI Core Kit]],Table_NFI[NFI Core Kit])</f>
        <v>#REF!</v>
      </c>
      <c r="AD584" s="532" t="e">
        <f>IF(NFI_Expiration=1,IF(#REF!&lt;VLOOKUP(M$5,NFI,5,0),1,0)*Table_NFI[[#This Row],[Sanitary Kit]],Table_NFI[Sanitary Kit])</f>
        <v>#REF!</v>
      </c>
      <c r="AE584" s="532" t="e">
        <f>IF(NFI_Expiration=1,IF(#REF!&lt;VLOOKUP(N$5,NFI,5,0),1,0)*Table_NFI[[#This Row],[Mosquito net]],Table_NFI[Mosquito net])</f>
        <v>#REF!</v>
      </c>
      <c r="AF584" s="532" t="e">
        <f>IF(NFI_Expiration=1,IF(#REF!&lt;VLOOKUP(O$5,NFI,5,0),1,0)*Table_NFI[[#This Row],[Tarpaulin]],Table_NFI[[#This Row],[Tarpaulin]])</f>
        <v>#REF!</v>
      </c>
      <c r="AG584" s="532" t="e">
        <f>IF(NFI_Expiration=1,IF(#REF!&lt;VLOOKUP(P$5,NFI,5,0),1,0)*Table_NFI[[#This Row],[Blanket]],Table_NFI[[#This Row],[Blanket]])</f>
        <v>#REF!</v>
      </c>
      <c r="AH584" s="532" t="e">
        <f>IF(NFI_Expiration=1,IF(#REF!&lt;VLOOKUP(Q$5,NFI,5,0),1,0)*Table_NFI[[#This Row],[Kitchen Set]],Table_NFI[Kitchen Set])</f>
        <v>#REF!</v>
      </c>
      <c r="AI584" s="532" t="e">
        <f>IF(NFI_Expiration=1,IF(#REF!&lt;VLOOKUP(R$5,NFI,5,0),1,0)*Table_NFI[[#This Row],[Clothes Kit]],Table_NFI[Clothes Kit])</f>
        <v>#REF!</v>
      </c>
      <c r="AJ584" s="532" t="e">
        <f>IF(NFI_Expiration=1,IF(#REF!&lt;VLOOKUP(S$5,NFI,5,0),1,0)*Table_NFI[[#This Row],[Plastic Bucket]],Table_NFI[Plastic Bucket])</f>
        <v>#REF!</v>
      </c>
      <c r="AK584" s="532" t="e">
        <f>IF(NFI_Expiration=1,IF(#REF!&lt;VLOOKUP(T$5,NFI,5,0),1,0)*Table_NFI[[#This Row],[Plastic Mat]],Table_NFI[Plastic Mat])*IF(Table_NFI[[#This Row],[Distribution Date]]&gt;"2014-04-01",1,2.5)</f>
        <v>#REF!</v>
      </c>
      <c r="AL584" s="532" t="e">
        <f>IF(NFI_Expiration=1,IF(#REF!&lt;VLOOKUP(U$5,NFI,5,0),1,0)*Table_NFI[[#This Row],[Winter Clothes Adult]],Table_NFI[Winter Clothes Adult])</f>
        <v>#REF!</v>
      </c>
      <c r="AM584" s="532"/>
      <c r="AN584" s="532"/>
      <c r="AO584" s="532"/>
      <c r="AP584" s="532">
        <f>IF(Table_NFI[[#This Row],[Winter Clothes Adult]]+Table_NFI[[#This Row],[Winter Clothes Children]]+Table_NFI[[#This Row],[Winter Items Other]]+Table_NFI[[#This Row],[Winter Blanket]]&gt;0,1,0)</f>
        <v>0</v>
      </c>
      <c r="AQ584" s="532"/>
      <c r="AR584" s="532"/>
      <c r="AS584" s="532">
        <v>1092</v>
      </c>
      <c r="AT584" s="532"/>
      <c r="AU584" s="532"/>
      <c r="AV584" s="532"/>
      <c r="AW584" s="532"/>
      <c r="AX584" s="203" t="str">
        <f>IFERROR(VLOOKUP(Table_NFI[[#This Row],[Location]],CL,2,0),"")</f>
        <v/>
      </c>
      <c r="AY584" s="181" t="s">
        <v>1954</v>
      </c>
      <c r="DS584" s="181"/>
    </row>
    <row r="585" spans="2:124" x14ac:dyDescent="0.3">
      <c r="B585" s="530">
        <v>43529</v>
      </c>
      <c r="C585" s="530" t="str">
        <f>MONTH(Table_NFI[[#This Row],[Distribution Date]]) &amp; "/" &amp; YEAR(Table_NFI[[#This Row],[Distribution Date]])</f>
        <v>3/2019</v>
      </c>
      <c r="D585" s="196" t="s">
        <v>420</v>
      </c>
      <c r="E585" s="196" t="s">
        <v>1940</v>
      </c>
      <c r="F585" s="196" t="s">
        <v>378</v>
      </c>
      <c r="G585" s="171" t="s">
        <v>5</v>
      </c>
      <c r="H585" s="171" t="s">
        <v>1947</v>
      </c>
      <c r="I585" s="181"/>
      <c r="J585" s="531"/>
      <c r="K585" s="531"/>
      <c r="L585" s="531"/>
      <c r="M585" s="531"/>
      <c r="N585" s="531"/>
      <c r="O585" s="531"/>
      <c r="P585" s="531"/>
      <c r="Q585" s="531"/>
      <c r="R585" s="531"/>
      <c r="S585" s="531"/>
      <c r="T585" s="531"/>
      <c r="U585" s="531"/>
      <c r="V585" s="531"/>
      <c r="W585" s="531"/>
      <c r="X585" s="531"/>
      <c r="Y585" s="531"/>
      <c r="Z585" s="531"/>
      <c r="AA585" s="531"/>
      <c r="AB585" s="531"/>
      <c r="AC585" s="532" t="e">
        <f>IF(NFI_Expiration=1,IF(#REF!&lt;VLOOKUP(L$5,NFI,5,0),1,0)*Table_NFI[[#This Row],[NFI Core Kit]],Table_NFI[NFI Core Kit])</f>
        <v>#REF!</v>
      </c>
      <c r="AD585" s="532" t="e">
        <f>IF(NFI_Expiration=1,IF(#REF!&lt;VLOOKUP(M$5,NFI,5,0),1,0)*Table_NFI[[#This Row],[Sanitary Kit]],Table_NFI[Sanitary Kit])</f>
        <v>#REF!</v>
      </c>
      <c r="AE585" s="532" t="e">
        <f>IF(NFI_Expiration=1,IF(#REF!&lt;VLOOKUP(N$5,NFI,5,0),1,0)*Table_NFI[[#This Row],[Mosquito net]],Table_NFI[Mosquito net])</f>
        <v>#REF!</v>
      </c>
      <c r="AF585" s="532" t="e">
        <f>IF(NFI_Expiration=1,IF(#REF!&lt;VLOOKUP(O$5,NFI,5,0),1,0)*Table_NFI[[#This Row],[Tarpaulin]],Table_NFI[[#This Row],[Tarpaulin]])</f>
        <v>#REF!</v>
      </c>
      <c r="AG585" s="532" t="e">
        <f>IF(NFI_Expiration=1,IF(#REF!&lt;VLOOKUP(P$5,NFI,5,0),1,0)*Table_NFI[[#This Row],[Blanket]],Table_NFI[[#This Row],[Blanket]])</f>
        <v>#REF!</v>
      </c>
      <c r="AH585" s="532" t="e">
        <f>IF(NFI_Expiration=1,IF(#REF!&lt;VLOOKUP(Q$5,NFI,5,0),1,0)*Table_NFI[[#This Row],[Kitchen Set]],Table_NFI[Kitchen Set])</f>
        <v>#REF!</v>
      </c>
      <c r="AI585" s="532" t="e">
        <f>IF(NFI_Expiration=1,IF(#REF!&lt;VLOOKUP(R$5,NFI,5,0),1,0)*Table_NFI[[#This Row],[Clothes Kit]],Table_NFI[Clothes Kit])</f>
        <v>#REF!</v>
      </c>
      <c r="AJ585" s="532" t="e">
        <f>IF(NFI_Expiration=1,IF(#REF!&lt;VLOOKUP(S$5,NFI,5,0),1,0)*Table_NFI[[#This Row],[Plastic Bucket]],Table_NFI[Plastic Bucket])</f>
        <v>#REF!</v>
      </c>
      <c r="AK585" s="532" t="e">
        <f>IF(NFI_Expiration=1,IF(#REF!&lt;VLOOKUP(T$5,NFI,5,0),1,0)*Table_NFI[[#This Row],[Plastic Mat]],Table_NFI[Plastic Mat])*IF(Table_NFI[[#This Row],[Distribution Date]]&gt;"2014-04-01",1,2.5)</f>
        <v>#REF!</v>
      </c>
      <c r="AL585" s="532" t="e">
        <f>IF(NFI_Expiration=1,IF(#REF!&lt;VLOOKUP(U$5,NFI,5,0),1,0)*Table_NFI[[#This Row],[Winter Clothes Adult]],Table_NFI[Winter Clothes Adult])</f>
        <v>#REF!</v>
      </c>
      <c r="AM585" s="532"/>
      <c r="AN585" s="532"/>
      <c r="AO585" s="532"/>
      <c r="AP585" s="532">
        <f>IF(Table_NFI[[#This Row],[Winter Clothes Adult]]+Table_NFI[[#This Row],[Winter Clothes Children]]+Table_NFI[[#This Row],[Winter Items Other]]+Table_NFI[[#This Row],[Winter Blanket]]&gt;0,1,0)</f>
        <v>0</v>
      </c>
      <c r="AQ585" s="532"/>
      <c r="AR585" s="532"/>
      <c r="AS585" s="532">
        <v>320</v>
      </c>
      <c r="AT585" s="532"/>
      <c r="AU585" s="532"/>
      <c r="AV585" s="532"/>
      <c r="AW585" s="532"/>
      <c r="AX585" s="203" t="str">
        <f>IFERROR(VLOOKUP(Table_NFI[[#This Row],[Location]],CL,2,0),"")</f>
        <v/>
      </c>
      <c r="AY585" s="181" t="s">
        <v>1954</v>
      </c>
      <c r="DS585" s="181"/>
    </row>
    <row r="586" spans="2:124" x14ac:dyDescent="0.3">
      <c r="B586" s="530">
        <v>43529</v>
      </c>
      <c r="C586" s="530" t="str">
        <f>MONTH(Table_NFI[[#This Row],[Distribution Date]]) &amp; "/" &amp; YEAR(Table_NFI[[#This Row],[Distribution Date]])</f>
        <v>3/2019</v>
      </c>
      <c r="D586" s="196" t="s">
        <v>420</v>
      </c>
      <c r="E586" s="196" t="s">
        <v>1940</v>
      </c>
      <c r="F586" s="196" t="s">
        <v>378</v>
      </c>
      <c r="G586" s="171" t="s">
        <v>5</v>
      </c>
      <c r="H586" s="171" t="s">
        <v>1948</v>
      </c>
      <c r="I586" s="181"/>
      <c r="J586" s="531"/>
      <c r="K586" s="531"/>
      <c r="L586" s="531"/>
      <c r="M586" s="531"/>
      <c r="N586" s="531"/>
      <c r="O586" s="531"/>
      <c r="P586" s="531"/>
      <c r="Q586" s="531"/>
      <c r="R586" s="531"/>
      <c r="S586" s="531"/>
      <c r="T586" s="531"/>
      <c r="U586" s="531"/>
      <c r="V586" s="531"/>
      <c r="W586" s="531"/>
      <c r="X586" s="531"/>
      <c r="Y586" s="531"/>
      <c r="Z586" s="531"/>
      <c r="AA586" s="531"/>
      <c r="AB586" s="531"/>
      <c r="AC586" s="532" t="e">
        <f>IF(NFI_Expiration=1,IF(#REF!&lt;VLOOKUP(L$5,NFI,5,0),1,0)*Table_NFI[[#This Row],[NFI Core Kit]],Table_NFI[NFI Core Kit])</f>
        <v>#REF!</v>
      </c>
      <c r="AD586" s="532" t="e">
        <f>IF(NFI_Expiration=1,IF(#REF!&lt;VLOOKUP(M$5,NFI,5,0),1,0)*Table_NFI[[#This Row],[Sanitary Kit]],Table_NFI[Sanitary Kit])</f>
        <v>#REF!</v>
      </c>
      <c r="AE586" s="532" t="e">
        <f>IF(NFI_Expiration=1,IF(#REF!&lt;VLOOKUP(N$5,NFI,5,0),1,0)*Table_NFI[[#This Row],[Mosquito net]],Table_NFI[Mosquito net])</f>
        <v>#REF!</v>
      </c>
      <c r="AF586" s="532" t="e">
        <f>IF(NFI_Expiration=1,IF(#REF!&lt;VLOOKUP(O$5,NFI,5,0),1,0)*Table_NFI[[#This Row],[Tarpaulin]],Table_NFI[[#This Row],[Tarpaulin]])</f>
        <v>#REF!</v>
      </c>
      <c r="AG586" s="532" t="e">
        <f>IF(NFI_Expiration=1,IF(#REF!&lt;VLOOKUP(P$5,NFI,5,0),1,0)*Table_NFI[[#This Row],[Blanket]],Table_NFI[[#This Row],[Blanket]])</f>
        <v>#REF!</v>
      </c>
      <c r="AH586" s="532" t="e">
        <f>IF(NFI_Expiration=1,IF(#REF!&lt;VLOOKUP(Q$5,NFI,5,0),1,0)*Table_NFI[[#This Row],[Kitchen Set]],Table_NFI[Kitchen Set])</f>
        <v>#REF!</v>
      </c>
      <c r="AI586" s="532" t="e">
        <f>IF(NFI_Expiration=1,IF(#REF!&lt;VLOOKUP(R$5,NFI,5,0),1,0)*Table_NFI[[#This Row],[Clothes Kit]],Table_NFI[Clothes Kit])</f>
        <v>#REF!</v>
      </c>
      <c r="AJ586" s="532" t="e">
        <f>IF(NFI_Expiration=1,IF(#REF!&lt;VLOOKUP(S$5,NFI,5,0),1,0)*Table_NFI[[#This Row],[Plastic Bucket]],Table_NFI[Plastic Bucket])</f>
        <v>#REF!</v>
      </c>
      <c r="AK586" s="532" t="e">
        <f>IF(NFI_Expiration=1,IF(#REF!&lt;VLOOKUP(T$5,NFI,5,0),1,0)*Table_NFI[[#This Row],[Plastic Mat]],Table_NFI[Plastic Mat])*IF(Table_NFI[[#This Row],[Distribution Date]]&gt;"2014-04-01",1,2.5)</f>
        <v>#REF!</v>
      </c>
      <c r="AL586" s="532" t="e">
        <f>IF(NFI_Expiration=1,IF(#REF!&lt;VLOOKUP(U$5,NFI,5,0),1,0)*Table_NFI[[#This Row],[Winter Clothes Adult]],Table_NFI[Winter Clothes Adult])</f>
        <v>#REF!</v>
      </c>
      <c r="AM586" s="532"/>
      <c r="AN586" s="532"/>
      <c r="AO586" s="532"/>
      <c r="AP586" s="532">
        <f>IF(Table_NFI[[#This Row],[Winter Clothes Adult]]+Table_NFI[[#This Row],[Winter Clothes Children]]+Table_NFI[[#This Row],[Winter Items Other]]+Table_NFI[[#This Row],[Winter Blanket]]&gt;0,1,0)</f>
        <v>0</v>
      </c>
      <c r="AQ586" s="532"/>
      <c r="AR586" s="532"/>
      <c r="AS586" s="532">
        <v>1428</v>
      </c>
      <c r="AT586" s="532"/>
      <c r="AU586" s="532"/>
      <c r="AV586" s="532"/>
      <c r="AW586" s="532"/>
      <c r="AX586" s="203" t="str">
        <f>IFERROR(VLOOKUP(Table_NFI[[#This Row],[Location]],CL,2,0),"")</f>
        <v/>
      </c>
      <c r="AY586" s="181" t="s">
        <v>1954</v>
      </c>
      <c r="DS586" s="181"/>
    </row>
    <row r="587" spans="2:124" x14ac:dyDescent="0.3">
      <c r="B587" s="530">
        <v>43529</v>
      </c>
      <c r="C587" s="530" t="str">
        <f>MONTH(Table_NFI[[#This Row],[Distribution Date]]) &amp; "/" &amp; YEAR(Table_NFI[[#This Row],[Distribution Date]])</f>
        <v>3/2019</v>
      </c>
      <c r="D587" s="196" t="s">
        <v>420</v>
      </c>
      <c r="E587" s="196" t="s">
        <v>1940</v>
      </c>
      <c r="F587" s="196" t="s">
        <v>378</v>
      </c>
      <c r="G587" s="171" t="s">
        <v>5</v>
      </c>
      <c r="H587" s="171" t="s">
        <v>1949</v>
      </c>
      <c r="I587" s="181"/>
      <c r="J587" s="531"/>
      <c r="K587" s="531"/>
      <c r="L587" s="531"/>
      <c r="M587" s="531"/>
      <c r="N587" s="531"/>
      <c r="O587" s="531"/>
      <c r="P587" s="531"/>
      <c r="Q587" s="531"/>
      <c r="R587" s="531"/>
      <c r="S587" s="531"/>
      <c r="T587" s="531"/>
      <c r="U587" s="531"/>
      <c r="V587" s="531"/>
      <c r="W587" s="531"/>
      <c r="X587" s="531"/>
      <c r="Y587" s="531"/>
      <c r="Z587" s="531"/>
      <c r="AA587" s="531"/>
      <c r="AB587" s="531"/>
      <c r="AC587" s="532" t="e">
        <f>IF(NFI_Expiration=1,IF(#REF!&lt;VLOOKUP(L$5,NFI,5,0),1,0)*Table_NFI[[#This Row],[NFI Core Kit]],Table_NFI[NFI Core Kit])</f>
        <v>#REF!</v>
      </c>
      <c r="AD587" s="532" t="e">
        <f>IF(NFI_Expiration=1,IF(#REF!&lt;VLOOKUP(M$5,NFI,5,0),1,0)*Table_NFI[[#This Row],[Sanitary Kit]],Table_NFI[Sanitary Kit])</f>
        <v>#REF!</v>
      </c>
      <c r="AE587" s="532" t="e">
        <f>IF(NFI_Expiration=1,IF(#REF!&lt;VLOOKUP(N$5,NFI,5,0),1,0)*Table_NFI[[#This Row],[Mosquito net]],Table_NFI[Mosquito net])</f>
        <v>#REF!</v>
      </c>
      <c r="AF587" s="532" t="e">
        <f>IF(NFI_Expiration=1,IF(#REF!&lt;VLOOKUP(O$5,NFI,5,0),1,0)*Table_NFI[[#This Row],[Tarpaulin]],Table_NFI[[#This Row],[Tarpaulin]])</f>
        <v>#REF!</v>
      </c>
      <c r="AG587" s="532" t="e">
        <f>IF(NFI_Expiration=1,IF(#REF!&lt;VLOOKUP(P$5,NFI,5,0),1,0)*Table_NFI[[#This Row],[Blanket]],Table_NFI[[#This Row],[Blanket]])</f>
        <v>#REF!</v>
      </c>
      <c r="AH587" s="532" t="e">
        <f>IF(NFI_Expiration=1,IF(#REF!&lt;VLOOKUP(Q$5,NFI,5,0),1,0)*Table_NFI[[#This Row],[Kitchen Set]],Table_NFI[Kitchen Set])</f>
        <v>#REF!</v>
      </c>
      <c r="AI587" s="532" t="e">
        <f>IF(NFI_Expiration=1,IF(#REF!&lt;VLOOKUP(R$5,NFI,5,0),1,0)*Table_NFI[[#This Row],[Clothes Kit]],Table_NFI[Clothes Kit])</f>
        <v>#REF!</v>
      </c>
      <c r="AJ587" s="532" t="e">
        <f>IF(NFI_Expiration=1,IF(#REF!&lt;VLOOKUP(S$5,NFI,5,0),1,0)*Table_NFI[[#This Row],[Plastic Bucket]],Table_NFI[Plastic Bucket])</f>
        <v>#REF!</v>
      </c>
      <c r="AK587" s="532" t="e">
        <f>IF(NFI_Expiration=1,IF(#REF!&lt;VLOOKUP(T$5,NFI,5,0),1,0)*Table_NFI[[#This Row],[Plastic Mat]],Table_NFI[Plastic Mat])*IF(Table_NFI[[#This Row],[Distribution Date]]&gt;"2014-04-01",1,2.5)</f>
        <v>#REF!</v>
      </c>
      <c r="AL587" s="532" t="e">
        <f>IF(NFI_Expiration=1,IF(#REF!&lt;VLOOKUP(U$5,NFI,5,0),1,0)*Table_NFI[[#This Row],[Winter Clothes Adult]],Table_NFI[Winter Clothes Adult])</f>
        <v>#REF!</v>
      </c>
      <c r="AM587" s="532"/>
      <c r="AN587" s="532"/>
      <c r="AO587" s="532"/>
      <c r="AP587" s="532">
        <f>IF(Table_NFI[[#This Row],[Winter Clothes Adult]]+Table_NFI[[#This Row],[Winter Clothes Children]]+Table_NFI[[#This Row],[Winter Items Other]]+Table_NFI[[#This Row],[Winter Blanket]]&gt;0,1,0)</f>
        <v>0</v>
      </c>
      <c r="AQ587" s="532"/>
      <c r="AR587" s="532"/>
      <c r="AS587" s="532">
        <v>240</v>
      </c>
      <c r="AT587" s="532"/>
      <c r="AU587" s="532"/>
      <c r="AV587" s="532"/>
      <c r="AW587" s="532"/>
      <c r="AX587" s="203" t="str">
        <f>IFERROR(VLOOKUP(Table_NFI[[#This Row],[Location]],CL,2,0),"")</f>
        <v/>
      </c>
      <c r="AY587" s="181" t="s">
        <v>1954</v>
      </c>
      <c r="DS587" s="181"/>
    </row>
    <row r="588" spans="2:124" x14ac:dyDescent="0.3">
      <c r="B588" s="530">
        <v>43529</v>
      </c>
      <c r="C588" s="530" t="str">
        <f>MONTH(Table_NFI[[#This Row],[Distribution Date]]) &amp; "/" &amp; YEAR(Table_NFI[[#This Row],[Distribution Date]])</f>
        <v>3/2019</v>
      </c>
      <c r="D588" s="196" t="s">
        <v>420</v>
      </c>
      <c r="E588" s="196" t="s">
        <v>1940</v>
      </c>
      <c r="F588" s="196" t="s">
        <v>378</v>
      </c>
      <c r="G588" s="171" t="s">
        <v>151</v>
      </c>
      <c r="H588" s="171" t="s">
        <v>845</v>
      </c>
      <c r="I588" s="181"/>
      <c r="J588" s="531"/>
      <c r="K588" s="531"/>
      <c r="L588" s="531"/>
      <c r="M588" s="531"/>
      <c r="N588" s="531"/>
      <c r="O588" s="531"/>
      <c r="P588" s="531"/>
      <c r="Q588" s="531"/>
      <c r="R588" s="531"/>
      <c r="S588" s="531"/>
      <c r="T588" s="531"/>
      <c r="U588" s="531"/>
      <c r="V588" s="531"/>
      <c r="W588" s="531"/>
      <c r="X588" s="531"/>
      <c r="Y588" s="531"/>
      <c r="Z588" s="531"/>
      <c r="AA588" s="531"/>
      <c r="AB588" s="531"/>
      <c r="AC588" s="532" t="e">
        <f>IF(NFI_Expiration=1,IF(#REF!&lt;VLOOKUP(L$5,NFI,5,0),1,0)*Table_NFI[[#This Row],[NFI Core Kit]],Table_NFI[NFI Core Kit])</f>
        <v>#REF!</v>
      </c>
      <c r="AD588" s="532" t="e">
        <f>IF(NFI_Expiration=1,IF(#REF!&lt;VLOOKUP(M$5,NFI,5,0),1,0)*Table_NFI[[#This Row],[Sanitary Kit]],Table_NFI[Sanitary Kit])</f>
        <v>#REF!</v>
      </c>
      <c r="AE588" s="532" t="e">
        <f>IF(NFI_Expiration=1,IF(#REF!&lt;VLOOKUP(N$5,NFI,5,0),1,0)*Table_NFI[[#This Row],[Mosquito net]],Table_NFI[Mosquito net])</f>
        <v>#REF!</v>
      </c>
      <c r="AF588" s="532" t="e">
        <f>IF(NFI_Expiration=1,IF(#REF!&lt;VLOOKUP(O$5,NFI,5,0),1,0)*Table_NFI[[#This Row],[Tarpaulin]],Table_NFI[[#This Row],[Tarpaulin]])</f>
        <v>#REF!</v>
      </c>
      <c r="AG588" s="532" t="e">
        <f>IF(NFI_Expiration=1,IF(#REF!&lt;VLOOKUP(P$5,NFI,5,0),1,0)*Table_NFI[[#This Row],[Blanket]],Table_NFI[[#This Row],[Blanket]])</f>
        <v>#REF!</v>
      </c>
      <c r="AH588" s="532" t="e">
        <f>IF(NFI_Expiration=1,IF(#REF!&lt;VLOOKUP(Q$5,NFI,5,0),1,0)*Table_NFI[[#This Row],[Kitchen Set]],Table_NFI[Kitchen Set])</f>
        <v>#REF!</v>
      </c>
      <c r="AI588" s="532" t="e">
        <f>IF(NFI_Expiration=1,IF(#REF!&lt;VLOOKUP(R$5,NFI,5,0),1,0)*Table_NFI[[#This Row],[Clothes Kit]],Table_NFI[Clothes Kit])</f>
        <v>#REF!</v>
      </c>
      <c r="AJ588" s="532" t="e">
        <f>IF(NFI_Expiration=1,IF(#REF!&lt;VLOOKUP(S$5,NFI,5,0),1,0)*Table_NFI[[#This Row],[Plastic Bucket]],Table_NFI[Plastic Bucket])</f>
        <v>#REF!</v>
      </c>
      <c r="AK588" s="532" t="e">
        <f>IF(NFI_Expiration=1,IF(#REF!&lt;VLOOKUP(T$5,NFI,5,0),1,0)*Table_NFI[[#This Row],[Plastic Mat]],Table_NFI[Plastic Mat])*IF(Table_NFI[[#This Row],[Distribution Date]]&gt;"2014-04-01",1,2.5)</f>
        <v>#REF!</v>
      </c>
      <c r="AL588" s="532" t="e">
        <f>IF(NFI_Expiration=1,IF(#REF!&lt;VLOOKUP(U$5,NFI,5,0),1,0)*Table_NFI[[#This Row],[Winter Clothes Adult]],Table_NFI[Winter Clothes Adult])</f>
        <v>#REF!</v>
      </c>
      <c r="AM588" s="532"/>
      <c r="AN588" s="532"/>
      <c r="AO588" s="532"/>
      <c r="AP588" s="532">
        <f>IF(Table_NFI[[#This Row],[Winter Clothes Adult]]+Table_NFI[[#This Row],[Winter Clothes Children]]+Table_NFI[[#This Row],[Winter Items Other]]+Table_NFI[[#This Row],[Winter Blanket]]&gt;0,1,0)</f>
        <v>0</v>
      </c>
      <c r="AQ588" s="532"/>
      <c r="AR588" s="532"/>
      <c r="AS588" s="532">
        <v>60</v>
      </c>
      <c r="AT588" s="532"/>
      <c r="AU588" s="532"/>
      <c r="AV588" s="532"/>
      <c r="AW588" s="532"/>
      <c r="AX588" s="203" t="str">
        <f>IFERROR(VLOOKUP(Table_NFI[[#This Row],[Location]],CL,2,0),"")</f>
        <v>MMR001CMP223</v>
      </c>
      <c r="AY588" s="181" t="s">
        <v>1954</v>
      </c>
      <c r="DS588" s="181"/>
    </row>
    <row r="589" spans="2:124" x14ac:dyDescent="0.25">
      <c r="B589" s="530">
        <v>43530</v>
      </c>
      <c r="C589" s="530" t="str">
        <f>MONTH(Table_NFI[[#This Row],[Distribution Date]]) &amp; "/" &amp; YEAR(Table_NFI[[#This Row],[Distribution Date]])</f>
        <v>3/2019</v>
      </c>
      <c r="D589" s="629" t="s">
        <v>1916</v>
      </c>
      <c r="E589" s="196"/>
      <c r="F589" s="196" t="s">
        <v>506</v>
      </c>
      <c r="G589" s="196" t="s">
        <v>1198</v>
      </c>
      <c r="H589" s="196" t="s">
        <v>1914</v>
      </c>
      <c r="I589" s="181"/>
      <c r="J589" s="531"/>
      <c r="K589" s="531"/>
      <c r="L589" s="531"/>
      <c r="M589" s="531"/>
      <c r="N589" s="531"/>
      <c r="O589" s="531">
        <v>103</v>
      </c>
      <c r="P589" s="531"/>
      <c r="Q589" s="531"/>
      <c r="R589" s="531"/>
      <c r="S589" s="531"/>
      <c r="T589" s="531">
        <v>206</v>
      </c>
      <c r="U589" s="531"/>
      <c r="V589" s="531"/>
      <c r="W589" s="531"/>
      <c r="X589" s="531">
        <v>200</v>
      </c>
      <c r="Y589" s="531"/>
      <c r="Z589" s="531"/>
      <c r="AA589" s="531"/>
      <c r="AB589" s="531"/>
      <c r="AC589" s="532" t="e">
        <f>IF(NFI_Expiration=1,IF(#REF!&lt;VLOOKUP(L$5,NFI,5,0),1,0)*Table_NFI[[#This Row],[NFI Core Kit]],Table_NFI[NFI Core Kit])</f>
        <v>#REF!</v>
      </c>
      <c r="AD589" s="532" t="e">
        <f>IF(NFI_Expiration=1,IF(#REF!&lt;VLOOKUP(M$5,NFI,5,0),1,0)*Table_NFI[[#This Row],[Sanitary Kit]],Table_NFI[Sanitary Kit])</f>
        <v>#REF!</v>
      </c>
      <c r="AE589" s="532" t="e">
        <f>IF(NFI_Expiration=1,IF(#REF!&lt;VLOOKUP(N$5,NFI,5,0),1,0)*Table_NFI[[#This Row],[Mosquito net]],Table_NFI[Mosquito net])</f>
        <v>#REF!</v>
      </c>
      <c r="AF589" s="532" t="e">
        <f>IF(NFI_Expiration=1,IF(#REF!&lt;VLOOKUP(O$5,NFI,5,0),1,0)*Table_NFI[[#This Row],[Tarpaulin]],Table_NFI[[#This Row],[Tarpaulin]])</f>
        <v>#REF!</v>
      </c>
      <c r="AG589" s="532" t="e">
        <f>IF(NFI_Expiration=1,IF(#REF!&lt;VLOOKUP(P$5,NFI,5,0),1,0)*Table_NFI[[#This Row],[Blanket]],Table_NFI[[#This Row],[Blanket]])</f>
        <v>#REF!</v>
      </c>
      <c r="AH589" s="532" t="e">
        <f>IF(NFI_Expiration=1,IF(#REF!&lt;VLOOKUP(Q$5,NFI,5,0),1,0)*Table_NFI[[#This Row],[Kitchen Set]],Table_NFI[Kitchen Set])</f>
        <v>#REF!</v>
      </c>
      <c r="AI589" s="532" t="e">
        <f>IF(NFI_Expiration=1,IF(#REF!&lt;VLOOKUP(R$5,NFI,5,0),1,0)*Table_NFI[[#This Row],[Clothes Kit]],Table_NFI[Clothes Kit])</f>
        <v>#REF!</v>
      </c>
      <c r="AJ589" s="532" t="e">
        <f>IF(NFI_Expiration=1,IF(#REF!&lt;VLOOKUP(S$5,NFI,5,0),1,0)*Table_NFI[[#This Row],[Plastic Bucket]],Table_NFI[Plastic Bucket])</f>
        <v>#REF!</v>
      </c>
      <c r="AK589" s="532" t="e">
        <f>IF(NFI_Expiration=1,IF(#REF!&lt;VLOOKUP(T$5,NFI,5,0),1,0)*Table_NFI[[#This Row],[Plastic Mat]],Table_NFI[Plastic Mat])*IF(Table_NFI[[#This Row],[Distribution Date]]&gt;"2014-04-01",1,2.5)</f>
        <v>#REF!</v>
      </c>
      <c r="AL589" s="532" t="e">
        <f>IF(NFI_Expiration=1,IF(#REF!&lt;VLOOKUP(U$5,NFI,5,0),1,0)*Table_NFI[[#This Row],[Winter Clothes Adult]],Table_NFI[Winter Clothes Adult])</f>
        <v>#REF!</v>
      </c>
      <c r="AM589" s="532"/>
      <c r="AN589" s="532"/>
      <c r="AO589" s="532"/>
      <c r="AP589" s="532">
        <f>IF(Table_NFI[[#This Row],[Winter Clothes Adult]]+Table_NFI[[#This Row],[Winter Clothes Children]]+Table_NFI[[#This Row],[Winter Items Other]]+Table_NFI[[#This Row],[Winter Blanket]]&gt;0,1,0)</f>
        <v>1</v>
      </c>
      <c r="AQ589" s="532"/>
      <c r="AR589" s="532"/>
      <c r="AS589" s="532"/>
      <c r="AT589" s="532"/>
      <c r="AU589" s="532"/>
      <c r="AV589" s="532"/>
      <c r="AW589" s="532"/>
      <c r="AX589" s="203" t="str">
        <f>IFERROR(VLOOKUP(Table_NFI[[#This Row],[Location]],CL,2,0),"")</f>
        <v/>
      </c>
      <c r="DS589" s="181"/>
    </row>
    <row r="590" spans="2:124" x14ac:dyDescent="0.3">
      <c r="B590" s="530">
        <v>43531</v>
      </c>
      <c r="C590" s="530" t="str">
        <f>MONTH(Table_NFI[[#This Row],[Distribution Date]]) &amp; "/" &amp; YEAR(Table_NFI[[#This Row],[Distribution Date]])</f>
        <v>3/2019</v>
      </c>
      <c r="D590" s="196" t="s">
        <v>1256</v>
      </c>
      <c r="E590" s="196"/>
      <c r="F590" s="196" t="s">
        <v>506</v>
      </c>
      <c r="G590" s="196" t="s">
        <v>297</v>
      </c>
      <c r="H590" s="196" t="s">
        <v>1912</v>
      </c>
      <c r="I590" s="181"/>
      <c r="J590" s="531"/>
      <c r="K590" s="531"/>
      <c r="L590" s="531"/>
      <c r="M590" s="531"/>
      <c r="N590" s="531">
        <v>20</v>
      </c>
      <c r="O590" s="531"/>
      <c r="P590" s="531"/>
      <c r="Q590" s="531"/>
      <c r="R590" s="531"/>
      <c r="S590" s="531">
        <v>40</v>
      </c>
      <c r="T590" s="531"/>
      <c r="U590" s="531"/>
      <c r="V590" s="531"/>
      <c r="W590" s="531"/>
      <c r="X590" s="531"/>
      <c r="Y590" s="531"/>
      <c r="Z590" s="531"/>
      <c r="AA590" s="531"/>
      <c r="AB590" s="531"/>
      <c r="AC590" s="532" t="e">
        <f>IF(NFI_Expiration=1,IF(#REF!&lt;VLOOKUP(L$5,NFI,5,0),1,0)*Table_NFI[[#This Row],[NFI Core Kit]],Table_NFI[NFI Core Kit])</f>
        <v>#REF!</v>
      </c>
      <c r="AD590" s="532" t="e">
        <f>IF(NFI_Expiration=1,IF(#REF!&lt;VLOOKUP(M$5,NFI,5,0),1,0)*Table_NFI[[#This Row],[Sanitary Kit]],Table_NFI[Sanitary Kit])</f>
        <v>#REF!</v>
      </c>
      <c r="AE590" s="532" t="e">
        <f>IF(NFI_Expiration=1,IF(#REF!&lt;VLOOKUP(N$5,NFI,5,0),1,0)*Table_NFI[[#This Row],[Mosquito net]],Table_NFI[Mosquito net])</f>
        <v>#REF!</v>
      </c>
      <c r="AF590" s="532" t="e">
        <f>IF(NFI_Expiration=1,IF(#REF!&lt;VLOOKUP(O$5,NFI,5,0),1,0)*Table_NFI[[#This Row],[Tarpaulin]],Table_NFI[[#This Row],[Tarpaulin]])</f>
        <v>#REF!</v>
      </c>
      <c r="AG590" s="532" t="e">
        <f>IF(NFI_Expiration=1,IF(#REF!&lt;VLOOKUP(P$5,NFI,5,0),1,0)*Table_NFI[[#This Row],[Blanket]],Table_NFI[[#This Row],[Blanket]])</f>
        <v>#REF!</v>
      </c>
      <c r="AH590" s="532" t="e">
        <f>IF(NFI_Expiration=1,IF(#REF!&lt;VLOOKUP(Q$5,NFI,5,0),1,0)*Table_NFI[[#This Row],[Kitchen Set]],Table_NFI[Kitchen Set])</f>
        <v>#REF!</v>
      </c>
      <c r="AI590" s="532" t="e">
        <f>IF(NFI_Expiration=1,IF(#REF!&lt;VLOOKUP(R$5,NFI,5,0),1,0)*Table_NFI[[#This Row],[Clothes Kit]],Table_NFI[Clothes Kit])</f>
        <v>#REF!</v>
      </c>
      <c r="AJ590" s="532" t="e">
        <f>IF(NFI_Expiration=1,IF(#REF!&lt;VLOOKUP(S$5,NFI,5,0),1,0)*Table_NFI[[#This Row],[Plastic Bucket]],Table_NFI[Plastic Bucket])</f>
        <v>#REF!</v>
      </c>
      <c r="AK590" s="532" t="e">
        <f>IF(NFI_Expiration=1,IF(#REF!&lt;VLOOKUP(T$5,NFI,5,0),1,0)*Table_NFI[[#This Row],[Plastic Mat]],Table_NFI[Plastic Mat])*IF(Table_NFI[[#This Row],[Distribution Date]]&gt;"2014-04-01",1,2.5)</f>
        <v>#REF!</v>
      </c>
      <c r="AL590" s="532" t="e">
        <f>IF(NFI_Expiration=1,IF(#REF!&lt;VLOOKUP(U$5,NFI,5,0),1,0)*Table_NFI[[#This Row],[Winter Clothes Adult]],Table_NFI[Winter Clothes Adult])</f>
        <v>#REF!</v>
      </c>
      <c r="AM590" s="532"/>
      <c r="AN590" s="532"/>
      <c r="AO590" s="532"/>
      <c r="AP590" s="532">
        <f>IF(Table_NFI[[#This Row],[Winter Clothes Adult]]+Table_NFI[[#This Row],[Winter Clothes Children]]+Table_NFI[[#This Row],[Winter Items Other]]+Table_NFI[[#This Row],[Winter Blanket]]&gt;0,1,0)</f>
        <v>0</v>
      </c>
      <c r="AQ590" s="532"/>
      <c r="AR590" s="532"/>
      <c r="AS590" s="532"/>
      <c r="AT590" s="532"/>
      <c r="AU590" s="532"/>
      <c r="AV590" s="532"/>
      <c r="AW590" s="532"/>
      <c r="AX590" s="203" t="str">
        <f>IFERROR(VLOOKUP(Table_NFI[[#This Row],[Location]],CL,2,0),"")</f>
        <v/>
      </c>
      <c r="DS590" s="181"/>
    </row>
    <row r="591" spans="2:124" x14ac:dyDescent="0.25">
      <c r="B591" s="530">
        <v>43531</v>
      </c>
      <c r="C591" s="530" t="str">
        <f>MONTH(Table_NFI[[#This Row],[Distribution Date]]) &amp; "/" &amp; YEAR(Table_NFI[[#This Row],[Distribution Date]])</f>
        <v>3/2019</v>
      </c>
      <c r="D591" s="629" t="s">
        <v>1916</v>
      </c>
      <c r="E591" s="196"/>
      <c r="F591" s="196" t="s">
        <v>506</v>
      </c>
      <c r="G591" s="196" t="s">
        <v>1198</v>
      </c>
      <c r="H591" s="196" t="s">
        <v>1914</v>
      </c>
      <c r="I591" s="181"/>
      <c r="J591" s="531"/>
      <c r="K591" s="531"/>
      <c r="L591" s="531"/>
      <c r="M591" s="531"/>
      <c r="N591" s="531"/>
      <c r="O591" s="531">
        <v>210</v>
      </c>
      <c r="P591" s="531"/>
      <c r="Q591" s="531"/>
      <c r="R591" s="531"/>
      <c r="S591" s="531"/>
      <c r="T591" s="531"/>
      <c r="U591" s="531"/>
      <c r="V591" s="531"/>
      <c r="W591" s="531"/>
      <c r="X591" s="531"/>
      <c r="Y591" s="531"/>
      <c r="Z591" s="531">
        <v>200</v>
      </c>
      <c r="AA591" s="531"/>
      <c r="AB591" s="531"/>
      <c r="AC591" s="532" t="e">
        <f>IF(NFI_Expiration=1,IF(#REF!&lt;VLOOKUP(L$5,NFI,5,0),1,0)*Table_NFI[[#This Row],[NFI Core Kit]],Table_NFI[NFI Core Kit])</f>
        <v>#REF!</v>
      </c>
      <c r="AD591" s="532" t="e">
        <f>IF(NFI_Expiration=1,IF(#REF!&lt;VLOOKUP(M$5,NFI,5,0),1,0)*Table_NFI[[#This Row],[Sanitary Kit]],Table_NFI[Sanitary Kit])</f>
        <v>#REF!</v>
      </c>
      <c r="AE591" s="532" t="e">
        <f>IF(NFI_Expiration=1,IF(#REF!&lt;VLOOKUP(N$5,NFI,5,0),1,0)*Table_NFI[[#This Row],[Mosquito net]],Table_NFI[Mosquito net])</f>
        <v>#REF!</v>
      </c>
      <c r="AF591" s="532" t="e">
        <f>IF(NFI_Expiration=1,IF(#REF!&lt;VLOOKUP(O$5,NFI,5,0),1,0)*Table_NFI[[#This Row],[Tarpaulin]],Table_NFI[[#This Row],[Tarpaulin]])</f>
        <v>#REF!</v>
      </c>
      <c r="AG591" s="532" t="e">
        <f>IF(NFI_Expiration=1,IF(#REF!&lt;VLOOKUP(P$5,NFI,5,0),1,0)*Table_NFI[[#This Row],[Blanket]],Table_NFI[[#This Row],[Blanket]])</f>
        <v>#REF!</v>
      </c>
      <c r="AH591" s="532" t="e">
        <f>IF(NFI_Expiration=1,IF(#REF!&lt;VLOOKUP(Q$5,NFI,5,0),1,0)*Table_NFI[[#This Row],[Kitchen Set]],Table_NFI[Kitchen Set])</f>
        <v>#REF!</v>
      </c>
      <c r="AI591" s="532" t="e">
        <f>IF(NFI_Expiration=1,IF(#REF!&lt;VLOOKUP(R$5,NFI,5,0),1,0)*Table_NFI[[#This Row],[Clothes Kit]],Table_NFI[Clothes Kit])</f>
        <v>#REF!</v>
      </c>
      <c r="AJ591" s="532" t="e">
        <f>IF(NFI_Expiration=1,IF(#REF!&lt;VLOOKUP(S$5,NFI,5,0),1,0)*Table_NFI[[#This Row],[Plastic Bucket]],Table_NFI[Plastic Bucket])</f>
        <v>#REF!</v>
      </c>
      <c r="AK591" s="532" t="e">
        <f>IF(NFI_Expiration=1,IF(#REF!&lt;VLOOKUP(T$5,NFI,5,0),1,0)*Table_NFI[[#This Row],[Plastic Mat]],Table_NFI[Plastic Mat])*IF(Table_NFI[[#This Row],[Distribution Date]]&gt;"2014-04-01",1,2.5)</f>
        <v>#REF!</v>
      </c>
      <c r="AL591" s="532" t="e">
        <f>IF(NFI_Expiration=1,IF(#REF!&lt;VLOOKUP(U$5,NFI,5,0),1,0)*Table_NFI[[#This Row],[Winter Clothes Adult]],Table_NFI[Winter Clothes Adult])</f>
        <v>#REF!</v>
      </c>
      <c r="AM591" s="532"/>
      <c r="AN591" s="532"/>
      <c r="AO591" s="532"/>
      <c r="AP591" s="532">
        <f>IF(Table_NFI[[#This Row],[Winter Clothes Adult]]+Table_NFI[[#This Row],[Winter Clothes Children]]+Table_NFI[[#This Row],[Winter Items Other]]+Table_NFI[[#This Row],[Winter Blanket]]&gt;0,1,0)</f>
        <v>0</v>
      </c>
      <c r="AQ591" s="532"/>
      <c r="AR591" s="532"/>
      <c r="AS591" s="532"/>
      <c r="AT591" s="532"/>
      <c r="AU591" s="532"/>
      <c r="AV591" s="532"/>
      <c r="AW591" s="532"/>
      <c r="AX591" s="203" t="str">
        <f>IFERROR(VLOOKUP(Table_NFI[[#This Row],[Location]],CL,2,0),"")</f>
        <v/>
      </c>
      <c r="DS591" s="181"/>
    </row>
    <row r="592" spans="2:124" x14ac:dyDescent="0.3">
      <c r="B592" s="530">
        <v>43536</v>
      </c>
      <c r="C592" s="530" t="str">
        <f>MONTH(Table_NFI[[#This Row],[Distribution Date]]) &amp; "/" &amp; YEAR(Table_NFI[[#This Row],[Distribution Date]])</f>
        <v>3/2019</v>
      </c>
      <c r="D592" s="196" t="s">
        <v>1452</v>
      </c>
      <c r="E592" s="196"/>
      <c r="F592" s="196" t="s">
        <v>506</v>
      </c>
      <c r="G592" s="196" t="s">
        <v>288</v>
      </c>
      <c r="H592" s="196" t="s">
        <v>1128</v>
      </c>
      <c r="I592" s="181"/>
      <c r="J592" s="531"/>
      <c r="K592" s="531"/>
      <c r="L592" s="531"/>
      <c r="M592" s="531"/>
      <c r="N592" s="531">
        <v>1</v>
      </c>
      <c r="O592" s="531"/>
      <c r="P592" s="531"/>
      <c r="Q592" s="531">
        <v>1</v>
      </c>
      <c r="R592" s="531">
        <v>4</v>
      </c>
      <c r="S592" s="531"/>
      <c r="T592" s="531"/>
      <c r="U592" s="531"/>
      <c r="V592" s="531"/>
      <c r="W592" s="531">
        <v>2</v>
      </c>
      <c r="X592" s="531"/>
      <c r="Y592" s="531"/>
      <c r="Z592" s="531"/>
      <c r="AA592" s="531"/>
      <c r="AB592" s="531"/>
      <c r="AC592" s="532" t="e">
        <f>IF(NFI_Expiration=1,IF(#REF!&lt;VLOOKUP(L$5,NFI,5,0),1,0)*Table_NFI[[#This Row],[NFI Core Kit]],Table_NFI[NFI Core Kit])</f>
        <v>#REF!</v>
      </c>
      <c r="AD592" s="532" t="e">
        <f>IF(NFI_Expiration=1,IF(#REF!&lt;VLOOKUP(M$5,NFI,5,0),1,0)*Table_NFI[[#This Row],[Sanitary Kit]],Table_NFI[Sanitary Kit])</f>
        <v>#REF!</v>
      </c>
      <c r="AE592" s="532" t="e">
        <f>IF(NFI_Expiration=1,IF(#REF!&lt;VLOOKUP(N$5,NFI,5,0),1,0)*Table_NFI[[#This Row],[Mosquito net]],Table_NFI[Mosquito net])</f>
        <v>#REF!</v>
      </c>
      <c r="AF592" s="532" t="e">
        <f>IF(NFI_Expiration=1,IF(#REF!&lt;VLOOKUP(O$5,NFI,5,0),1,0)*Table_NFI[[#This Row],[Tarpaulin]],Table_NFI[[#This Row],[Tarpaulin]])</f>
        <v>#REF!</v>
      </c>
      <c r="AG592" s="532" t="e">
        <f>IF(NFI_Expiration=1,IF(#REF!&lt;VLOOKUP(P$5,NFI,5,0),1,0)*Table_NFI[[#This Row],[Blanket]],Table_NFI[[#This Row],[Blanket]])</f>
        <v>#REF!</v>
      </c>
      <c r="AH592" s="532" t="e">
        <f>IF(NFI_Expiration=1,IF(#REF!&lt;VLOOKUP(Q$5,NFI,5,0),1,0)*Table_NFI[[#This Row],[Kitchen Set]],Table_NFI[Kitchen Set])</f>
        <v>#REF!</v>
      </c>
      <c r="AI592" s="532" t="e">
        <f>IF(NFI_Expiration=1,IF(#REF!&lt;VLOOKUP(R$5,NFI,5,0),1,0)*Table_NFI[[#This Row],[Clothes Kit]],Table_NFI[Clothes Kit])</f>
        <v>#REF!</v>
      </c>
      <c r="AJ592" s="532" t="e">
        <f>IF(NFI_Expiration=1,IF(#REF!&lt;VLOOKUP(S$5,NFI,5,0),1,0)*Table_NFI[[#This Row],[Plastic Bucket]],Table_NFI[Plastic Bucket])</f>
        <v>#REF!</v>
      </c>
      <c r="AK592" s="532" t="e">
        <f>IF(NFI_Expiration=1,IF(#REF!&lt;VLOOKUP(T$5,NFI,5,0),1,0)*Table_NFI[[#This Row],[Plastic Mat]],Table_NFI[Plastic Mat])*IF(Table_NFI[[#This Row],[Distribution Date]]&gt;"2014-04-01",1,2.5)</f>
        <v>#REF!</v>
      </c>
      <c r="AL592" s="532" t="e">
        <f>IF(NFI_Expiration=1,IF(#REF!&lt;VLOOKUP(U$5,NFI,5,0),1,0)*Table_NFI[[#This Row],[Winter Clothes Adult]],Table_NFI[Winter Clothes Adult])</f>
        <v>#REF!</v>
      </c>
      <c r="AM592" s="532"/>
      <c r="AN592" s="532"/>
      <c r="AO592" s="532"/>
      <c r="AP592" s="532">
        <f>IF(Table_NFI[[#This Row],[Winter Clothes Adult]]+Table_NFI[[#This Row],[Winter Clothes Children]]+Table_NFI[[#This Row],[Winter Items Other]]+Table_NFI[[#This Row],[Winter Blanket]]&gt;0,1,0)</f>
        <v>1</v>
      </c>
      <c r="AQ592" s="532"/>
      <c r="AR592" s="532"/>
      <c r="AS592" s="532"/>
      <c r="AT592" s="532"/>
      <c r="AU592" s="532"/>
      <c r="AV592" s="532"/>
      <c r="AW592" s="532"/>
      <c r="AX592" s="203" t="str">
        <f>IFERROR(VLOOKUP(Table_NFI[[#This Row],[Location]],CL,2,0),"")</f>
        <v>MMR015CMP224</v>
      </c>
      <c r="AY592" s="181" t="s">
        <v>1921</v>
      </c>
      <c r="DS592" s="181"/>
    </row>
    <row r="593" spans="2:123" x14ac:dyDescent="0.3">
      <c r="B593" s="530">
        <v>43538</v>
      </c>
      <c r="C593" s="530" t="str">
        <f>MONTH(Table_NFI[[#This Row],[Distribution Date]]) &amp; "/" &amp; YEAR(Table_NFI[[#This Row],[Distribution Date]])</f>
        <v>3/2019</v>
      </c>
      <c r="D593" s="196" t="s">
        <v>1256</v>
      </c>
      <c r="E593" s="196"/>
      <c r="F593" s="196" t="s">
        <v>506</v>
      </c>
      <c r="G593" s="196" t="s">
        <v>297</v>
      </c>
      <c r="H593" s="196" t="s">
        <v>1336</v>
      </c>
      <c r="I593" s="181"/>
      <c r="J593" s="531"/>
      <c r="K593" s="531"/>
      <c r="L593" s="531"/>
      <c r="M593" s="531"/>
      <c r="N593" s="531">
        <v>10</v>
      </c>
      <c r="O593" s="531"/>
      <c r="P593" s="531">
        <v>20</v>
      </c>
      <c r="Q593" s="531"/>
      <c r="R593" s="531"/>
      <c r="S593" s="531"/>
      <c r="T593" s="531"/>
      <c r="U593" s="531"/>
      <c r="V593" s="531"/>
      <c r="W593" s="531"/>
      <c r="X593" s="531"/>
      <c r="Y593" s="531"/>
      <c r="Z593" s="531"/>
      <c r="AA593" s="531"/>
      <c r="AB593" s="531"/>
      <c r="AC593" s="532" t="e">
        <f>IF(NFI_Expiration=1,IF(#REF!&lt;VLOOKUP(L$5,NFI,5,0),1,0)*Table_NFI[[#This Row],[NFI Core Kit]],Table_NFI[NFI Core Kit])</f>
        <v>#REF!</v>
      </c>
      <c r="AD593" s="532" t="e">
        <f>IF(NFI_Expiration=1,IF(#REF!&lt;VLOOKUP(M$5,NFI,5,0),1,0)*Table_NFI[[#This Row],[Sanitary Kit]],Table_NFI[Sanitary Kit])</f>
        <v>#REF!</v>
      </c>
      <c r="AE593" s="532" t="e">
        <f>IF(NFI_Expiration=1,IF(#REF!&lt;VLOOKUP(N$5,NFI,5,0),1,0)*Table_NFI[[#This Row],[Mosquito net]],Table_NFI[Mosquito net])</f>
        <v>#REF!</v>
      </c>
      <c r="AF593" s="532" t="e">
        <f>IF(NFI_Expiration=1,IF(#REF!&lt;VLOOKUP(O$5,NFI,5,0),1,0)*Table_NFI[[#This Row],[Tarpaulin]],Table_NFI[[#This Row],[Tarpaulin]])</f>
        <v>#REF!</v>
      </c>
      <c r="AG593" s="532" t="e">
        <f>IF(NFI_Expiration=1,IF(#REF!&lt;VLOOKUP(P$5,NFI,5,0),1,0)*Table_NFI[[#This Row],[Blanket]],Table_NFI[[#This Row],[Blanket]])</f>
        <v>#REF!</v>
      </c>
      <c r="AH593" s="532" t="e">
        <f>IF(NFI_Expiration=1,IF(#REF!&lt;VLOOKUP(Q$5,NFI,5,0),1,0)*Table_NFI[[#This Row],[Kitchen Set]],Table_NFI[Kitchen Set])</f>
        <v>#REF!</v>
      </c>
      <c r="AI593" s="532" t="e">
        <f>IF(NFI_Expiration=1,IF(#REF!&lt;VLOOKUP(R$5,NFI,5,0),1,0)*Table_NFI[[#This Row],[Clothes Kit]],Table_NFI[Clothes Kit])</f>
        <v>#REF!</v>
      </c>
      <c r="AJ593" s="532" t="e">
        <f>IF(NFI_Expiration=1,IF(#REF!&lt;VLOOKUP(S$5,NFI,5,0),1,0)*Table_NFI[[#This Row],[Plastic Bucket]],Table_NFI[Plastic Bucket])</f>
        <v>#REF!</v>
      </c>
      <c r="AK593" s="532" t="e">
        <f>IF(NFI_Expiration=1,IF(#REF!&lt;VLOOKUP(T$5,NFI,5,0),1,0)*Table_NFI[[#This Row],[Plastic Mat]],Table_NFI[Plastic Mat])*IF(Table_NFI[[#This Row],[Distribution Date]]&gt;"2014-04-01",1,2.5)</f>
        <v>#REF!</v>
      </c>
      <c r="AL593" s="532" t="e">
        <f>IF(NFI_Expiration=1,IF(#REF!&lt;VLOOKUP(U$5,NFI,5,0),1,0)*Table_NFI[[#This Row],[Winter Clothes Adult]],Table_NFI[Winter Clothes Adult])</f>
        <v>#REF!</v>
      </c>
      <c r="AM593" s="532"/>
      <c r="AN593" s="532"/>
      <c r="AO593" s="532"/>
      <c r="AP593" s="532">
        <f>IF(Table_NFI[[#This Row],[Winter Clothes Adult]]+Table_NFI[[#This Row],[Winter Clothes Children]]+Table_NFI[[#This Row],[Winter Items Other]]+Table_NFI[[#This Row],[Winter Blanket]]&gt;0,1,0)</f>
        <v>0</v>
      </c>
      <c r="AQ593" s="532"/>
      <c r="AR593" s="532"/>
      <c r="AS593" s="532"/>
      <c r="AT593" s="532"/>
      <c r="AU593" s="532"/>
      <c r="AV593" s="532"/>
      <c r="AW593" s="532"/>
      <c r="AX593" s="203" t="str">
        <f>IFERROR(VLOOKUP(Table_NFI[[#This Row],[Location]],CL,2,0),"")</f>
        <v/>
      </c>
      <c r="DS593" s="181"/>
    </row>
    <row r="594" spans="2:123" x14ac:dyDescent="0.3">
      <c r="B594" s="530">
        <v>43539</v>
      </c>
      <c r="C594" s="530" t="str">
        <f>MONTH(Table_NFI[[#This Row],[Distribution Date]]) &amp; "/" &amp; YEAR(Table_NFI[[#This Row],[Distribution Date]])</f>
        <v>3/2019</v>
      </c>
      <c r="D594" s="196" t="s">
        <v>420</v>
      </c>
      <c r="E594" s="196" t="s">
        <v>1302</v>
      </c>
      <c r="F594" s="196" t="s">
        <v>378</v>
      </c>
      <c r="G594" s="196" t="s">
        <v>480</v>
      </c>
      <c r="H594" s="196" t="s">
        <v>1950</v>
      </c>
      <c r="I594" s="181"/>
      <c r="J594" s="531"/>
      <c r="K594" s="531"/>
      <c r="L594" s="531"/>
      <c r="M594" s="531"/>
      <c r="N594" s="531"/>
      <c r="O594" s="531"/>
      <c r="P594" s="531"/>
      <c r="Q594" s="531"/>
      <c r="R594" s="531"/>
      <c r="S594" s="531"/>
      <c r="T594" s="531"/>
      <c r="U594" s="531"/>
      <c r="V594" s="531"/>
      <c r="W594" s="531"/>
      <c r="X594" s="531"/>
      <c r="Y594" s="531"/>
      <c r="Z594" s="531"/>
      <c r="AA594" s="531"/>
      <c r="AB594" s="531"/>
      <c r="AC594" s="532" t="e">
        <f>IF(NFI_Expiration=1,IF(#REF!&lt;VLOOKUP(L$5,NFI,5,0),1,0)*Table_NFI[[#This Row],[NFI Core Kit]],Table_NFI[NFI Core Kit])</f>
        <v>#REF!</v>
      </c>
      <c r="AD594" s="532" t="e">
        <f>IF(NFI_Expiration=1,IF(#REF!&lt;VLOOKUP(M$5,NFI,5,0),1,0)*Table_NFI[[#This Row],[Sanitary Kit]],Table_NFI[Sanitary Kit])</f>
        <v>#REF!</v>
      </c>
      <c r="AE594" s="532" t="e">
        <f>IF(NFI_Expiration=1,IF(#REF!&lt;VLOOKUP(N$5,NFI,5,0),1,0)*Table_NFI[[#This Row],[Mosquito net]],Table_NFI[Mosquito net])</f>
        <v>#REF!</v>
      </c>
      <c r="AF594" s="532" t="e">
        <f>IF(NFI_Expiration=1,IF(#REF!&lt;VLOOKUP(O$5,NFI,5,0),1,0)*Table_NFI[[#This Row],[Tarpaulin]],Table_NFI[[#This Row],[Tarpaulin]])</f>
        <v>#REF!</v>
      </c>
      <c r="AG594" s="532" t="e">
        <f>IF(NFI_Expiration=1,IF(#REF!&lt;VLOOKUP(P$5,NFI,5,0),1,0)*Table_NFI[[#This Row],[Blanket]],Table_NFI[[#This Row],[Blanket]])</f>
        <v>#REF!</v>
      </c>
      <c r="AH594" s="532" t="e">
        <f>IF(NFI_Expiration=1,IF(#REF!&lt;VLOOKUP(Q$5,NFI,5,0),1,0)*Table_NFI[[#This Row],[Kitchen Set]],Table_NFI[Kitchen Set])</f>
        <v>#REF!</v>
      </c>
      <c r="AI594" s="532" t="e">
        <f>IF(NFI_Expiration=1,IF(#REF!&lt;VLOOKUP(R$5,NFI,5,0),1,0)*Table_NFI[[#This Row],[Clothes Kit]],Table_NFI[Clothes Kit])</f>
        <v>#REF!</v>
      </c>
      <c r="AJ594" s="532" t="e">
        <f>IF(NFI_Expiration=1,IF(#REF!&lt;VLOOKUP(S$5,NFI,5,0),1,0)*Table_NFI[[#This Row],[Plastic Bucket]],Table_NFI[Plastic Bucket])</f>
        <v>#REF!</v>
      </c>
      <c r="AK594" s="532" t="e">
        <f>IF(NFI_Expiration=1,IF(#REF!&lt;VLOOKUP(T$5,NFI,5,0),1,0)*Table_NFI[[#This Row],[Plastic Mat]],Table_NFI[Plastic Mat])*IF(Table_NFI[[#This Row],[Distribution Date]]&gt;"2014-04-01",1,2.5)</f>
        <v>#REF!</v>
      </c>
      <c r="AL594" s="532" t="e">
        <f>IF(NFI_Expiration=1,IF(#REF!&lt;VLOOKUP(U$5,NFI,5,0),1,0)*Table_NFI[[#This Row],[Winter Clothes Adult]],Table_NFI[Winter Clothes Adult])</f>
        <v>#REF!</v>
      </c>
      <c r="AM594" s="532"/>
      <c r="AN594" s="532"/>
      <c r="AO594" s="532"/>
      <c r="AP594" s="532">
        <f>IF(Table_NFI[[#This Row],[Winter Clothes Adult]]+Table_NFI[[#This Row],[Winter Clothes Children]]+Table_NFI[[#This Row],[Winter Items Other]]+Table_NFI[[#This Row],[Winter Blanket]]&gt;0,1,0)</f>
        <v>0</v>
      </c>
      <c r="AQ594" s="532"/>
      <c r="AR594" s="532"/>
      <c r="AS594" s="532">
        <v>4350</v>
      </c>
      <c r="AT594" s="532"/>
      <c r="AU594" s="532"/>
      <c r="AV594" s="532"/>
      <c r="AW594" s="532"/>
      <c r="AX594" s="203" t="str">
        <f>IFERROR(VLOOKUP(Table_NFI[[#This Row],[Location]],CL,2,0),"")</f>
        <v/>
      </c>
      <c r="AY594" s="181" t="s">
        <v>1954</v>
      </c>
      <c r="DS594" s="181"/>
    </row>
    <row r="595" spans="2:123" x14ac:dyDescent="0.3">
      <c r="B595" s="530">
        <v>43539</v>
      </c>
      <c r="C595" s="530" t="str">
        <f>MONTH(Table_NFI[[#This Row],[Distribution Date]]) &amp; "/" &amp; YEAR(Table_NFI[[#This Row],[Distribution Date]])</f>
        <v>3/2019</v>
      </c>
      <c r="D595" s="196" t="s">
        <v>420</v>
      </c>
      <c r="E595" s="196" t="s">
        <v>1302</v>
      </c>
      <c r="F595" s="196" t="s">
        <v>378</v>
      </c>
      <c r="G595" s="196" t="s">
        <v>480</v>
      </c>
      <c r="H595" s="196" t="s">
        <v>1951</v>
      </c>
      <c r="I595" s="181"/>
      <c r="J595" s="531"/>
      <c r="K595" s="531"/>
      <c r="L595" s="531"/>
      <c r="M595" s="531"/>
      <c r="N595" s="531"/>
      <c r="O595" s="531"/>
      <c r="P595" s="531"/>
      <c r="Q595" s="531"/>
      <c r="R595" s="531"/>
      <c r="S595" s="531"/>
      <c r="T595" s="531"/>
      <c r="U595" s="531"/>
      <c r="V595" s="531"/>
      <c r="W595" s="531"/>
      <c r="X595" s="531"/>
      <c r="Y595" s="531"/>
      <c r="Z595" s="531"/>
      <c r="AA595" s="531"/>
      <c r="AB595" s="531"/>
      <c r="AC595" s="532" t="e">
        <f>IF(NFI_Expiration=1,IF(#REF!&lt;VLOOKUP(L$5,NFI,5,0),1,0)*Table_NFI[[#This Row],[NFI Core Kit]],Table_NFI[NFI Core Kit])</f>
        <v>#REF!</v>
      </c>
      <c r="AD595" s="532" t="e">
        <f>IF(NFI_Expiration=1,IF(#REF!&lt;VLOOKUP(M$5,NFI,5,0),1,0)*Table_NFI[[#This Row],[Sanitary Kit]],Table_NFI[Sanitary Kit])</f>
        <v>#REF!</v>
      </c>
      <c r="AE595" s="532" t="e">
        <f>IF(NFI_Expiration=1,IF(#REF!&lt;VLOOKUP(N$5,NFI,5,0),1,0)*Table_NFI[[#This Row],[Mosquito net]],Table_NFI[Mosquito net])</f>
        <v>#REF!</v>
      </c>
      <c r="AF595" s="532" t="e">
        <f>IF(NFI_Expiration=1,IF(#REF!&lt;VLOOKUP(O$5,NFI,5,0),1,0)*Table_NFI[[#This Row],[Tarpaulin]],Table_NFI[[#This Row],[Tarpaulin]])</f>
        <v>#REF!</v>
      </c>
      <c r="AG595" s="532" t="e">
        <f>IF(NFI_Expiration=1,IF(#REF!&lt;VLOOKUP(P$5,NFI,5,0),1,0)*Table_NFI[[#This Row],[Blanket]],Table_NFI[[#This Row],[Blanket]])</f>
        <v>#REF!</v>
      </c>
      <c r="AH595" s="532" t="e">
        <f>IF(NFI_Expiration=1,IF(#REF!&lt;VLOOKUP(Q$5,NFI,5,0),1,0)*Table_NFI[[#This Row],[Kitchen Set]],Table_NFI[Kitchen Set])</f>
        <v>#REF!</v>
      </c>
      <c r="AI595" s="532" t="e">
        <f>IF(NFI_Expiration=1,IF(#REF!&lt;VLOOKUP(R$5,NFI,5,0),1,0)*Table_NFI[[#This Row],[Clothes Kit]],Table_NFI[Clothes Kit])</f>
        <v>#REF!</v>
      </c>
      <c r="AJ595" s="532" t="e">
        <f>IF(NFI_Expiration=1,IF(#REF!&lt;VLOOKUP(S$5,NFI,5,0),1,0)*Table_NFI[[#This Row],[Plastic Bucket]],Table_NFI[Plastic Bucket])</f>
        <v>#REF!</v>
      </c>
      <c r="AK595" s="532" t="e">
        <f>IF(NFI_Expiration=1,IF(#REF!&lt;VLOOKUP(T$5,NFI,5,0),1,0)*Table_NFI[[#This Row],[Plastic Mat]],Table_NFI[Plastic Mat])*IF(Table_NFI[[#This Row],[Distribution Date]]&gt;"2014-04-01",1,2.5)</f>
        <v>#REF!</v>
      </c>
      <c r="AL595" s="532" t="e">
        <f>IF(NFI_Expiration=1,IF(#REF!&lt;VLOOKUP(U$5,NFI,5,0),1,0)*Table_NFI[[#This Row],[Winter Clothes Adult]],Table_NFI[Winter Clothes Adult])</f>
        <v>#REF!</v>
      </c>
      <c r="AM595" s="532"/>
      <c r="AN595" s="532"/>
      <c r="AO595" s="532"/>
      <c r="AP595" s="532">
        <f>IF(Table_NFI[[#This Row],[Winter Clothes Adult]]+Table_NFI[[#This Row],[Winter Clothes Children]]+Table_NFI[[#This Row],[Winter Items Other]]+Table_NFI[[#This Row],[Winter Blanket]]&gt;0,1,0)</f>
        <v>0</v>
      </c>
      <c r="AQ595" s="532"/>
      <c r="AR595" s="532"/>
      <c r="AS595" s="532">
        <v>200</v>
      </c>
      <c r="AT595" s="532"/>
      <c r="AU595" s="532"/>
      <c r="AV595" s="532"/>
      <c r="AW595" s="532"/>
      <c r="AX595" s="203" t="str">
        <f>IFERROR(VLOOKUP(Table_NFI[[#This Row],[Location]],CL,2,0),"")</f>
        <v/>
      </c>
      <c r="AY595" s="181" t="s">
        <v>1956</v>
      </c>
      <c r="DS595" s="181"/>
    </row>
    <row r="596" spans="2:123" x14ac:dyDescent="0.3">
      <c r="B596" s="530">
        <v>43544</v>
      </c>
      <c r="C596" s="530" t="str">
        <f>MONTH(Table_NFI[[#This Row],[Distribution Date]]) &amp; "/" &amp; YEAR(Table_NFI[[#This Row],[Distribution Date]])</f>
        <v>3/2019</v>
      </c>
      <c r="D596" s="196" t="s">
        <v>420</v>
      </c>
      <c r="E596" s="196" t="s">
        <v>1940</v>
      </c>
      <c r="F596" s="196" t="s">
        <v>378</v>
      </c>
      <c r="G596" s="171" t="s">
        <v>1941</v>
      </c>
      <c r="H596" s="171" t="s">
        <v>1952</v>
      </c>
      <c r="I596" s="181"/>
      <c r="J596" s="531"/>
      <c r="K596" s="531"/>
      <c r="L596" s="531"/>
      <c r="M596" s="531"/>
      <c r="N596" s="531"/>
      <c r="O596" s="531"/>
      <c r="P596" s="531"/>
      <c r="Q596" s="531"/>
      <c r="R596" s="531"/>
      <c r="S596" s="531"/>
      <c r="T596" s="531"/>
      <c r="U596" s="531"/>
      <c r="V596" s="531"/>
      <c r="W596" s="531"/>
      <c r="X596" s="531"/>
      <c r="Y596" s="531"/>
      <c r="Z596" s="531"/>
      <c r="AA596" s="531"/>
      <c r="AB596" s="531"/>
      <c r="AC596" s="532" t="e">
        <f>IF(NFI_Expiration=1,IF(#REF!&lt;VLOOKUP(L$5,NFI,5,0),1,0)*Table_NFI[[#This Row],[NFI Core Kit]],Table_NFI[NFI Core Kit])</f>
        <v>#REF!</v>
      </c>
      <c r="AD596" s="532" t="e">
        <f>IF(NFI_Expiration=1,IF(#REF!&lt;VLOOKUP(M$5,NFI,5,0),1,0)*Table_NFI[[#This Row],[Sanitary Kit]],Table_NFI[Sanitary Kit])</f>
        <v>#REF!</v>
      </c>
      <c r="AE596" s="532" t="e">
        <f>IF(NFI_Expiration=1,IF(#REF!&lt;VLOOKUP(N$5,NFI,5,0),1,0)*Table_NFI[[#This Row],[Mosquito net]],Table_NFI[Mosquito net])</f>
        <v>#REF!</v>
      </c>
      <c r="AF596" s="532" t="e">
        <f>IF(NFI_Expiration=1,IF(#REF!&lt;VLOOKUP(O$5,NFI,5,0),1,0)*Table_NFI[[#This Row],[Tarpaulin]],Table_NFI[[#This Row],[Tarpaulin]])</f>
        <v>#REF!</v>
      </c>
      <c r="AG596" s="532" t="e">
        <f>IF(NFI_Expiration=1,IF(#REF!&lt;VLOOKUP(P$5,NFI,5,0),1,0)*Table_NFI[[#This Row],[Blanket]],Table_NFI[[#This Row],[Blanket]])</f>
        <v>#REF!</v>
      </c>
      <c r="AH596" s="532" t="e">
        <f>IF(NFI_Expiration=1,IF(#REF!&lt;VLOOKUP(Q$5,NFI,5,0),1,0)*Table_NFI[[#This Row],[Kitchen Set]],Table_NFI[Kitchen Set])</f>
        <v>#REF!</v>
      </c>
      <c r="AI596" s="532" t="e">
        <f>IF(NFI_Expiration=1,IF(#REF!&lt;VLOOKUP(R$5,NFI,5,0),1,0)*Table_NFI[[#This Row],[Clothes Kit]],Table_NFI[Clothes Kit])</f>
        <v>#REF!</v>
      </c>
      <c r="AJ596" s="532" t="e">
        <f>IF(NFI_Expiration=1,IF(#REF!&lt;VLOOKUP(S$5,NFI,5,0),1,0)*Table_NFI[[#This Row],[Plastic Bucket]],Table_NFI[Plastic Bucket])</f>
        <v>#REF!</v>
      </c>
      <c r="AK596" s="532" t="e">
        <f>IF(NFI_Expiration=1,IF(#REF!&lt;VLOOKUP(T$5,NFI,5,0),1,0)*Table_NFI[[#This Row],[Plastic Mat]],Table_NFI[Plastic Mat])*IF(Table_NFI[[#This Row],[Distribution Date]]&gt;"2014-04-01",1,2.5)</f>
        <v>#REF!</v>
      </c>
      <c r="AL596" s="532" t="e">
        <f>IF(NFI_Expiration=1,IF(#REF!&lt;VLOOKUP(U$5,NFI,5,0),1,0)*Table_NFI[[#This Row],[Winter Clothes Adult]],Table_NFI[Winter Clothes Adult])</f>
        <v>#REF!</v>
      </c>
      <c r="AM596" s="532"/>
      <c r="AN596" s="532"/>
      <c r="AO596" s="532"/>
      <c r="AP596" s="532">
        <f>IF(Table_NFI[[#This Row],[Winter Clothes Adult]]+Table_NFI[[#This Row],[Winter Clothes Children]]+Table_NFI[[#This Row],[Winter Items Other]]+Table_NFI[[#This Row],[Winter Blanket]]&gt;0,1,0)</f>
        <v>0</v>
      </c>
      <c r="AQ596" s="532"/>
      <c r="AR596" s="532"/>
      <c r="AS596" s="532">
        <v>74</v>
      </c>
      <c r="AT596" s="532"/>
      <c r="AU596" s="532"/>
      <c r="AV596" s="532"/>
      <c r="AW596" s="532"/>
      <c r="AX596" s="203" t="str">
        <f>IFERROR(VLOOKUP(Table_NFI[[#This Row],[Location]],CL,2,0),"")</f>
        <v/>
      </c>
      <c r="AY596" s="181" t="s">
        <v>1954</v>
      </c>
      <c r="DS596" s="181"/>
    </row>
    <row r="597" spans="2:123" x14ac:dyDescent="0.3">
      <c r="B597" s="530">
        <v>43544</v>
      </c>
      <c r="C597" s="530" t="str">
        <f>MONTH(Table_NFI[[#This Row],[Distribution Date]]) &amp; "/" &amp; YEAR(Table_NFI[[#This Row],[Distribution Date]])</f>
        <v>3/2019</v>
      </c>
      <c r="D597" s="196" t="s">
        <v>420</v>
      </c>
      <c r="E597" s="196" t="s">
        <v>1940</v>
      </c>
      <c r="F597" s="196" t="s">
        <v>378</v>
      </c>
      <c r="G597" s="171" t="s">
        <v>151</v>
      </c>
      <c r="H597" s="171" t="s">
        <v>1953</v>
      </c>
      <c r="I597" s="181"/>
      <c r="J597" s="531"/>
      <c r="K597" s="531"/>
      <c r="L597" s="531"/>
      <c r="M597" s="531"/>
      <c r="N597" s="531"/>
      <c r="O597" s="531"/>
      <c r="P597" s="531"/>
      <c r="Q597" s="531"/>
      <c r="R597" s="531"/>
      <c r="S597" s="531"/>
      <c r="T597" s="531"/>
      <c r="U597" s="531"/>
      <c r="V597" s="531"/>
      <c r="W597" s="531"/>
      <c r="X597" s="531"/>
      <c r="Y597" s="531"/>
      <c r="Z597" s="531"/>
      <c r="AA597" s="531"/>
      <c r="AB597" s="531"/>
      <c r="AC597" s="532" t="e">
        <f>IF(NFI_Expiration=1,IF(#REF!&lt;VLOOKUP(L$5,NFI,5,0),1,0)*Table_NFI[[#This Row],[NFI Core Kit]],Table_NFI[NFI Core Kit])</f>
        <v>#REF!</v>
      </c>
      <c r="AD597" s="532" t="e">
        <f>IF(NFI_Expiration=1,IF(#REF!&lt;VLOOKUP(M$5,NFI,5,0),1,0)*Table_NFI[[#This Row],[Sanitary Kit]],Table_NFI[Sanitary Kit])</f>
        <v>#REF!</v>
      </c>
      <c r="AE597" s="532" t="e">
        <f>IF(NFI_Expiration=1,IF(#REF!&lt;VLOOKUP(N$5,NFI,5,0),1,0)*Table_NFI[[#This Row],[Mosquito net]],Table_NFI[Mosquito net])</f>
        <v>#REF!</v>
      </c>
      <c r="AF597" s="532" t="e">
        <f>IF(NFI_Expiration=1,IF(#REF!&lt;VLOOKUP(O$5,NFI,5,0),1,0)*Table_NFI[[#This Row],[Tarpaulin]],Table_NFI[[#This Row],[Tarpaulin]])</f>
        <v>#REF!</v>
      </c>
      <c r="AG597" s="532" t="e">
        <f>IF(NFI_Expiration=1,IF(#REF!&lt;VLOOKUP(P$5,NFI,5,0),1,0)*Table_NFI[[#This Row],[Blanket]],Table_NFI[[#This Row],[Blanket]])</f>
        <v>#REF!</v>
      </c>
      <c r="AH597" s="532" t="e">
        <f>IF(NFI_Expiration=1,IF(#REF!&lt;VLOOKUP(Q$5,NFI,5,0),1,0)*Table_NFI[[#This Row],[Kitchen Set]],Table_NFI[Kitchen Set])</f>
        <v>#REF!</v>
      </c>
      <c r="AI597" s="532" t="e">
        <f>IF(NFI_Expiration=1,IF(#REF!&lt;VLOOKUP(R$5,NFI,5,0),1,0)*Table_NFI[[#This Row],[Clothes Kit]],Table_NFI[Clothes Kit])</f>
        <v>#REF!</v>
      </c>
      <c r="AJ597" s="532" t="e">
        <f>IF(NFI_Expiration=1,IF(#REF!&lt;VLOOKUP(S$5,NFI,5,0),1,0)*Table_NFI[[#This Row],[Plastic Bucket]],Table_NFI[Plastic Bucket])</f>
        <v>#REF!</v>
      </c>
      <c r="AK597" s="532" t="e">
        <f>IF(NFI_Expiration=1,IF(#REF!&lt;VLOOKUP(T$5,NFI,5,0),1,0)*Table_NFI[[#This Row],[Plastic Mat]],Table_NFI[Plastic Mat])*IF(Table_NFI[[#This Row],[Distribution Date]]&gt;"2014-04-01",1,2.5)</f>
        <v>#REF!</v>
      </c>
      <c r="AL597" s="532" t="e">
        <f>IF(NFI_Expiration=1,IF(#REF!&lt;VLOOKUP(U$5,NFI,5,0),1,0)*Table_NFI[[#This Row],[Winter Clothes Adult]],Table_NFI[Winter Clothes Adult])</f>
        <v>#REF!</v>
      </c>
      <c r="AM597" s="532"/>
      <c r="AN597" s="532"/>
      <c r="AO597" s="532"/>
      <c r="AP597" s="532">
        <f>IF(Table_NFI[[#This Row],[Winter Clothes Adult]]+Table_NFI[[#This Row],[Winter Clothes Children]]+Table_NFI[[#This Row],[Winter Items Other]]+Table_NFI[[#This Row],[Winter Blanket]]&gt;0,1,0)</f>
        <v>0</v>
      </c>
      <c r="AQ597" s="532"/>
      <c r="AR597" s="532"/>
      <c r="AS597" s="532">
        <v>162</v>
      </c>
      <c r="AT597" s="532"/>
      <c r="AU597" s="532"/>
      <c r="AV597" s="532"/>
      <c r="AW597" s="532"/>
      <c r="AX597" s="203" t="str">
        <f>IFERROR(VLOOKUP(Table_NFI[[#This Row],[Location]],CL,2,0),"")</f>
        <v/>
      </c>
      <c r="AY597" s="181" t="s">
        <v>1954</v>
      </c>
      <c r="DS597" s="181"/>
    </row>
    <row r="598" spans="2:123" x14ac:dyDescent="0.3">
      <c r="B598" s="530">
        <v>43551</v>
      </c>
      <c r="C598" s="530" t="str">
        <f>MONTH(Table_NFI[[#This Row],[Distribution Date]]) &amp; "/" &amp; YEAR(Table_NFI[[#This Row],[Distribution Date]])</f>
        <v>3/2019</v>
      </c>
      <c r="D598" s="196" t="s">
        <v>1452</v>
      </c>
      <c r="E598" s="196"/>
      <c r="F598" s="196" t="s">
        <v>506</v>
      </c>
      <c r="G598" s="196" t="s">
        <v>297</v>
      </c>
      <c r="H598" s="196" t="s">
        <v>1934</v>
      </c>
      <c r="I598" s="181"/>
      <c r="J598" s="531"/>
      <c r="K598" s="531"/>
      <c r="L598" s="531"/>
      <c r="M598" s="531"/>
      <c r="N598" s="531">
        <v>21</v>
      </c>
      <c r="O598" s="531"/>
      <c r="P598" s="531"/>
      <c r="Q598" s="531"/>
      <c r="R598" s="531"/>
      <c r="S598" s="531"/>
      <c r="T598" s="531"/>
      <c r="U598" s="531"/>
      <c r="V598" s="531"/>
      <c r="W598" s="531"/>
      <c r="X598" s="531"/>
      <c r="Y598" s="531"/>
      <c r="Z598" s="531"/>
      <c r="AA598" s="531"/>
      <c r="AB598" s="531"/>
      <c r="AC598" s="532" t="e">
        <f>IF(NFI_Expiration=1,IF(#REF!&lt;VLOOKUP(L$5,NFI,5,0),1,0)*Table_NFI[[#This Row],[NFI Core Kit]],Table_NFI[NFI Core Kit])</f>
        <v>#REF!</v>
      </c>
      <c r="AD598" s="532" t="e">
        <f>IF(NFI_Expiration=1,IF(#REF!&lt;VLOOKUP(M$5,NFI,5,0),1,0)*Table_NFI[[#This Row],[Sanitary Kit]],Table_NFI[Sanitary Kit])</f>
        <v>#REF!</v>
      </c>
      <c r="AE598" s="532" t="e">
        <f>IF(NFI_Expiration=1,IF(#REF!&lt;VLOOKUP(N$5,NFI,5,0),1,0)*Table_NFI[[#This Row],[Mosquito net]],Table_NFI[Mosquito net])</f>
        <v>#REF!</v>
      </c>
      <c r="AF598" s="532" t="e">
        <f>IF(NFI_Expiration=1,IF(#REF!&lt;VLOOKUP(O$5,NFI,5,0),1,0)*Table_NFI[[#This Row],[Tarpaulin]],Table_NFI[[#This Row],[Tarpaulin]])</f>
        <v>#REF!</v>
      </c>
      <c r="AG598" s="532" t="e">
        <f>IF(NFI_Expiration=1,IF(#REF!&lt;VLOOKUP(P$5,NFI,5,0),1,0)*Table_NFI[[#This Row],[Blanket]],Table_NFI[[#This Row],[Blanket]])</f>
        <v>#REF!</v>
      </c>
      <c r="AH598" s="532" t="e">
        <f>IF(NFI_Expiration=1,IF(#REF!&lt;VLOOKUP(Q$5,NFI,5,0),1,0)*Table_NFI[[#This Row],[Kitchen Set]],Table_NFI[Kitchen Set])</f>
        <v>#REF!</v>
      </c>
      <c r="AI598" s="532" t="e">
        <f>IF(NFI_Expiration=1,IF(#REF!&lt;VLOOKUP(R$5,NFI,5,0),1,0)*Table_NFI[[#This Row],[Clothes Kit]],Table_NFI[Clothes Kit])</f>
        <v>#REF!</v>
      </c>
      <c r="AJ598" s="532" t="e">
        <f>IF(NFI_Expiration=1,IF(#REF!&lt;VLOOKUP(S$5,NFI,5,0),1,0)*Table_NFI[[#This Row],[Plastic Bucket]],Table_NFI[Plastic Bucket])</f>
        <v>#REF!</v>
      </c>
      <c r="AK598" s="532" t="e">
        <f>IF(NFI_Expiration=1,IF(#REF!&lt;VLOOKUP(T$5,NFI,5,0),1,0)*Table_NFI[[#This Row],[Plastic Mat]],Table_NFI[Plastic Mat])*IF(Table_NFI[[#This Row],[Distribution Date]]&gt;"2014-04-01",1,2.5)</f>
        <v>#REF!</v>
      </c>
      <c r="AL598" s="532" t="e">
        <f>IF(NFI_Expiration=1,IF(#REF!&lt;VLOOKUP(U$5,NFI,5,0),1,0)*Table_NFI[[#This Row],[Winter Clothes Adult]],Table_NFI[Winter Clothes Adult])</f>
        <v>#REF!</v>
      </c>
      <c r="AM598" s="532"/>
      <c r="AN598" s="532"/>
      <c r="AO598" s="532"/>
      <c r="AP598" s="532">
        <f>IF(Table_NFI[[#This Row],[Winter Clothes Adult]]+Table_NFI[[#This Row],[Winter Clothes Children]]+Table_NFI[[#This Row],[Winter Items Other]]+Table_NFI[[#This Row],[Winter Blanket]]&gt;0,1,0)</f>
        <v>0</v>
      </c>
      <c r="AQ598" s="532"/>
      <c r="AR598" s="532"/>
      <c r="AS598" s="532"/>
      <c r="AT598" s="532"/>
      <c r="AU598" s="532"/>
      <c r="AV598" s="532"/>
      <c r="AW598" s="532"/>
      <c r="AX598" s="203" t="str">
        <f>IFERROR(VLOOKUP(Table_NFI[[#This Row],[Location]],CL,2,0),"")</f>
        <v/>
      </c>
      <c r="DS598" s="181"/>
    </row>
    <row r="599" spans="2:123" x14ac:dyDescent="0.25">
      <c r="B599" s="530">
        <v>43554</v>
      </c>
      <c r="C599" s="530" t="str">
        <f>MONTH(Table_NFI[[#This Row],[Distribution Date]]) &amp; "/" &amp; YEAR(Table_NFI[[#This Row],[Distribution Date]])</f>
        <v>3/2019</v>
      </c>
      <c r="D599" s="629" t="s">
        <v>1916</v>
      </c>
      <c r="E599" s="196"/>
      <c r="F599" s="196" t="s">
        <v>506</v>
      </c>
      <c r="G599" s="196" t="s">
        <v>297</v>
      </c>
      <c r="H599" s="196" t="s">
        <v>1915</v>
      </c>
      <c r="I599" s="181"/>
      <c r="J599" s="531"/>
      <c r="K599" s="531">
        <v>40</v>
      </c>
      <c r="L599" s="531"/>
      <c r="M599" s="531"/>
      <c r="N599" s="531"/>
      <c r="O599" s="531"/>
      <c r="P599" s="531"/>
      <c r="Q599" s="531"/>
      <c r="R599" s="531"/>
      <c r="S599" s="531"/>
      <c r="T599" s="531"/>
      <c r="U599" s="531"/>
      <c r="V599" s="531"/>
      <c r="W599" s="531"/>
      <c r="X599" s="531"/>
      <c r="Y599" s="531"/>
      <c r="Z599" s="531"/>
      <c r="AA599" s="531"/>
      <c r="AB599" s="531"/>
      <c r="AC599" s="532" t="e">
        <f>IF(NFI_Expiration=1,IF(#REF!&lt;VLOOKUP(L$5,NFI,5,0),1,0)*Table_NFI[[#This Row],[NFI Core Kit]],Table_NFI[NFI Core Kit])</f>
        <v>#REF!</v>
      </c>
      <c r="AD599" s="532" t="e">
        <f>IF(NFI_Expiration=1,IF(#REF!&lt;VLOOKUP(M$5,NFI,5,0),1,0)*Table_NFI[[#This Row],[Sanitary Kit]],Table_NFI[Sanitary Kit])</f>
        <v>#REF!</v>
      </c>
      <c r="AE599" s="532" t="e">
        <f>IF(NFI_Expiration=1,IF(#REF!&lt;VLOOKUP(N$5,NFI,5,0),1,0)*Table_NFI[[#This Row],[Mosquito net]],Table_NFI[Mosquito net])</f>
        <v>#REF!</v>
      </c>
      <c r="AF599" s="532" t="e">
        <f>IF(NFI_Expiration=1,IF(#REF!&lt;VLOOKUP(O$5,NFI,5,0),1,0)*Table_NFI[[#This Row],[Tarpaulin]],Table_NFI[[#This Row],[Tarpaulin]])</f>
        <v>#REF!</v>
      </c>
      <c r="AG599" s="532" t="e">
        <f>IF(NFI_Expiration=1,IF(#REF!&lt;VLOOKUP(P$5,NFI,5,0),1,0)*Table_NFI[[#This Row],[Blanket]],Table_NFI[[#This Row],[Blanket]])</f>
        <v>#REF!</v>
      </c>
      <c r="AH599" s="532" t="e">
        <f>IF(NFI_Expiration=1,IF(#REF!&lt;VLOOKUP(Q$5,NFI,5,0),1,0)*Table_NFI[[#This Row],[Kitchen Set]],Table_NFI[Kitchen Set])</f>
        <v>#REF!</v>
      </c>
      <c r="AI599" s="532" t="e">
        <f>IF(NFI_Expiration=1,IF(#REF!&lt;VLOOKUP(R$5,NFI,5,0),1,0)*Table_NFI[[#This Row],[Clothes Kit]],Table_NFI[Clothes Kit])</f>
        <v>#REF!</v>
      </c>
      <c r="AJ599" s="532" t="e">
        <f>IF(NFI_Expiration=1,IF(#REF!&lt;VLOOKUP(S$5,NFI,5,0),1,0)*Table_NFI[[#This Row],[Plastic Bucket]],Table_NFI[Plastic Bucket])</f>
        <v>#REF!</v>
      </c>
      <c r="AK599" s="532" t="e">
        <f>IF(NFI_Expiration=1,IF(#REF!&lt;VLOOKUP(T$5,NFI,5,0),1,0)*Table_NFI[[#This Row],[Plastic Mat]],Table_NFI[Plastic Mat])*IF(Table_NFI[[#This Row],[Distribution Date]]&gt;"2014-04-01",1,2.5)</f>
        <v>#REF!</v>
      </c>
      <c r="AL599" s="532" t="e">
        <f>IF(NFI_Expiration=1,IF(#REF!&lt;VLOOKUP(U$5,NFI,5,0),1,0)*Table_NFI[[#This Row],[Winter Clothes Adult]],Table_NFI[Winter Clothes Adult])</f>
        <v>#REF!</v>
      </c>
      <c r="AM599" s="532"/>
      <c r="AN599" s="532"/>
      <c r="AO599" s="532"/>
      <c r="AP599" s="532">
        <f>IF(Table_NFI[[#This Row],[Winter Clothes Adult]]+Table_NFI[[#This Row],[Winter Clothes Children]]+Table_NFI[[#This Row],[Winter Items Other]]+Table_NFI[[#This Row],[Winter Blanket]]&gt;0,1,0)</f>
        <v>0</v>
      </c>
      <c r="AQ599" s="532"/>
      <c r="AR599" s="532"/>
      <c r="AS599" s="532"/>
      <c r="AT599" s="532"/>
      <c r="AU599" s="532"/>
      <c r="AV599" s="532"/>
      <c r="AW599" s="532"/>
      <c r="AX599" s="203" t="str">
        <f>IFERROR(VLOOKUP(Table_NFI[[#This Row],[Location]],CL,2,0),"")</f>
        <v/>
      </c>
      <c r="DS599" s="181"/>
    </row>
    <row r="600" spans="2:123" x14ac:dyDescent="0.3">
      <c r="B600" s="530">
        <v>43557</v>
      </c>
      <c r="C600" s="530" t="str">
        <f>MONTH(Table_NFI[[#This Row],[Distribution Date]]) &amp; "/" &amp; YEAR(Table_NFI[[#This Row],[Distribution Date]])</f>
        <v>4/2019</v>
      </c>
      <c r="D600" s="196" t="s">
        <v>1452</v>
      </c>
      <c r="E600" s="196"/>
      <c r="F600" s="196" t="s">
        <v>506</v>
      </c>
      <c r="G600" s="196" t="s">
        <v>230</v>
      </c>
      <c r="H600" s="302" t="s">
        <v>901</v>
      </c>
      <c r="I600" s="181"/>
      <c r="J600" s="531"/>
      <c r="K600" s="531"/>
      <c r="L600" s="531"/>
      <c r="M600" s="531"/>
      <c r="N600" s="531">
        <v>40</v>
      </c>
      <c r="O600" s="531"/>
      <c r="P600" s="531">
        <v>40</v>
      </c>
      <c r="Q600" s="531"/>
      <c r="R600" s="531"/>
      <c r="S600" s="531"/>
      <c r="T600" s="531"/>
      <c r="U600" s="531"/>
      <c r="V600" s="531"/>
      <c r="W600" s="531"/>
      <c r="X600" s="531"/>
      <c r="Y600" s="531"/>
      <c r="Z600" s="531"/>
      <c r="AA600" s="531"/>
      <c r="AB600" s="531"/>
      <c r="AC600" s="532" t="e">
        <f>IF(NFI_Expiration=1,IF(#REF!&lt;VLOOKUP(L$5,NFI,5,0),1,0)*Table_NFI[[#This Row],[NFI Core Kit]],Table_NFI[NFI Core Kit])</f>
        <v>#REF!</v>
      </c>
      <c r="AD600" s="532" t="e">
        <f>IF(NFI_Expiration=1,IF(#REF!&lt;VLOOKUP(M$5,NFI,5,0),1,0)*Table_NFI[[#This Row],[Sanitary Kit]],Table_NFI[Sanitary Kit])</f>
        <v>#REF!</v>
      </c>
      <c r="AE600" s="532" t="e">
        <f>IF(NFI_Expiration=1,IF(#REF!&lt;VLOOKUP(N$5,NFI,5,0),1,0)*Table_NFI[[#This Row],[Mosquito net]],Table_NFI[Mosquito net])</f>
        <v>#REF!</v>
      </c>
      <c r="AF600" s="532" t="e">
        <f>IF(NFI_Expiration=1,IF(#REF!&lt;VLOOKUP(O$5,NFI,5,0),1,0)*Table_NFI[[#This Row],[Tarpaulin]],Table_NFI[[#This Row],[Tarpaulin]])</f>
        <v>#REF!</v>
      </c>
      <c r="AG600" s="532" t="e">
        <f>IF(NFI_Expiration=1,IF(#REF!&lt;VLOOKUP(P$5,NFI,5,0),1,0)*Table_NFI[[#This Row],[Blanket]],Table_NFI[[#This Row],[Blanket]])</f>
        <v>#REF!</v>
      </c>
      <c r="AH600" s="532" t="e">
        <f>IF(NFI_Expiration=1,IF(#REF!&lt;VLOOKUP(Q$5,NFI,5,0),1,0)*Table_NFI[[#This Row],[Kitchen Set]],Table_NFI[Kitchen Set])</f>
        <v>#REF!</v>
      </c>
      <c r="AI600" s="532" t="e">
        <f>IF(NFI_Expiration=1,IF(#REF!&lt;VLOOKUP(R$5,NFI,5,0),1,0)*Table_NFI[[#This Row],[Clothes Kit]],Table_NFI[Clothes Kit])</f>
        <v>#REF!</v>
      </c>
      <c r="AJ600" s="532" t="e">
        <f>IF(NFI_Expiration=1,IF(#REF!&lt;VLOOKUP(S$5,NFI,5,0),1,0)*Table_NFI[[#This Row],[Plastic Bucket]],Table_NFI[Plastic Bucket])</f>
        <v>#REF!</v>
      </c>
      <c r="AK600" s="532" t="e">
        <f>IF(NFI_Expiration=1,IF(#REF!&lt;VLOOKUP(T$5,NFI,5,0),1,0)*Table_NFI[[#This Row],[Plastic Mat]],Table_NFI[Plastic Mat])*IF(Table_NFI[[#This Row],[Distribution Date]]&gt;"2014-04-01",1,2.5)</f>
        <v>#REF!</v>
      </c>
      <c r="AL600" s="532" t="e">
        <f>IF(NFI_Expiration=1,IF(#REF!&lt;VLOOKUP(U$5,NFI,5,0),1,0)*Table_NFI[[#This Row],[Winter Clothes Adult]],Table_NFI[Winter Clothes Adult])</f>
        <v>#REF!</v>
      </c>
      <c r="AM600" s="532"/>
      <c r="AN600" s="532"/>
      <c r="AO600" s="532"/>
      <c r="AP600" s="532">
        <f>IF(Table_NFI[[#This Row],[Winter Clothes Adult]]+Table_NFI[[#This Row],[Winter Clothes Children]]+Table_NFI[[#This Row],[Winter Items Other]]+Table_NFI[[#This Row],[Winter Blanket]]&gt;0,1,0)</f>
        <v>0</v>
      </c>
      <c r="AQ600" s="532"/>
      <c r="AR600" s="532"/>
      <c r="AS600" s="532"/>
      <c r="AT600" s="532"/>
      <c r="AU600" s="532">
        <v>40</v>
      </c>
      <c r="AV600" s="532">
        <v>40</v>
      </c>
      <c r="AW600" s="532"/>
      <c r="AX600" s="203" t="str">
        <f>IFERROR(VLOOKUP(Table_NFI[[#This Row],[Location]],CL,2,0),"")</f>
        <v>MMR015CMP213</v>
      </c>
      <c r="DS600" s="181"/>
    </row>
    <row r="601" spans="2:123" x14ac:dyDescent="0.3">
      <c r="B601" s="530">
        <v>43557</v>
      </c>
      <c r="C601" s="530" t="str">
        <f>MONTH(Table_NFI[[#This Row],[Distribution Date]]) &amp; "/" &amp; YEAR(Table_NFI[[#This Row],[Distribution Date]])</f>
        <v>4/2019</v>
      </c>
      <c r="D601" s="196" t="s">
        <v>420</v>
      </c>
      <c r="E601" s="196" t="s">
        <v>1302</v>
      </c>
      <c r="F601" s="196" t="s">
        <v>378</v>
      </c>
      <c r="G601" s="196" t="s">
        <v>1941</v>
      </c>
      <c r="H601" s="196" t="s">
        <v>194</v>
      </c>
      <c r="I601" s="181"/>
      <c r="J601" s="531"/>
      <c r="K601" s="531"/>
      <c r="L601" s="531"/>
      <c r="M601" s="531"/>
      <c r="N601" s="531"/>
      <c r="O601" s="531"/>
      <c r="P601" s="531">
        <v>1</v>
      </c>
      <c r="Q601" s="531">
        <v>1</v>
      </c>
      <c r="R601" s="531"/>
      <c r="S601" s="531"/>
      <c r="T601" s="531">
        <v>1</v>
      </c>
      <c r="U601" s="531"/>
      <c r="V601" s="531"/>
      <c r="W601" s="531"/>
      <c r="X601" s="531"/>
      <c r="Y601" s="531"/>
      <c r="Z601" s="531"/>
      <c r="AA601" s="531"/>
      <c r="AB601" s="531"/>
      <c r="AC601" s="532" t="e">
        <f>IF(NFI_Expiration=1,IF(#REF!&lt;VLOOKUP(L$5,NFI,5,0),1,0)*Table_NFI[[#This Row],[NFI Core Kit]],Table_NFI[NFI Core Kit])</f>
        <v>#REF!</v>
      </c>
      <c r="AD601" s="532" t="e">
        <f>IF(NFI_Expiration=1,IF(#REF!&lt;VLOOKUP(M$5,NFI,5,0),1,0)*Table_NFI[[#This Row],[Sanitary Kit]],Table_NFI[Sanitary Kit])</f>
        <v>#REF!</v>
      </c>
      <c r="AE601" s="532" t="e">
        <f>IF(NFI_Expiration=1,IF(#REF!&lt;VLOOKUP(N$5,NFI,5,0),1,0)*Table_NFI[[#This Row],[Mosquito net]],Table_NFI[Mosquito net])</f>
        <v>#REF!</v>
      </c>
      <c r="AF601" s="532" t="e">
        <f>IF(NFI_Expiration=1,IF(#REF!&lt;VLOOKUP(O$5,NFI,5,0),1,0)*Table_NFI[[#This Row],[Tarpaulin]],Table_NFI[[#This Row],[Tarpaulin]])</f>
        <v>#REF!</v>
      </c>
      <c r="AG601" s="532" t="e">
        <f>IF(NFI_Expiration=1,IF(#REF!&lt;VLOOKUP(P$5,NFI,5,0),1,0)*Table_NFI[[#This Row],[Blanket]],Table_NFI[[#This Row],[Blanket]])</f>
        <v>#REF!</v>
      </c>
      <c r="AH601" s="532" t="e">
        <f>IF(NFI_Expiration=1,IF(#REF!&lt;VLOOKUP(Q$5,NFI,5,0),1,0)*Table_NFI[[#This Row],[Kitchen Set]],Table_NFI[Kitchen Set])</f>
        <v>#REF!</v>
      </c>
      <c r="AI601" s="532" t="e">
        <f>IF(NFI_Expiration=1,IF(#REF!&lt;VLOOKUP(R$5,NFI,5,0),1,0)*Table_NFI[[#This Row],[Clothes Kit]],Table_NFI[Clothes Kit])</f>
        <v>#REF!</v>
      </c>
      <c r="AJ601" s="532" t="e">
        <f>IF(NFI_Expiration=1,IF(#REF!&lt;VLOOKUP(S$5,NFI,5,0),1,0)*Table_NFI[[#This Row],[Plastic Bucket]],Table_NFI[Plastic Bucket])</f>
        <v>#REF!</v>
      </c>
      <c r="AK601" s="532" t="e">
        <f>IF(NFI_Expiration=1,IF(#REF!&lt;VLOOKUP(T$5,NFI,5,0),1,0)*Table_NFI[[#This Row],[Plastic Mat]],Table_NFI[Plastic Mat])*IF(Table_NFI[[#This Row],[Distribution Date]]&gt;"2014-04-01",1,2.5)</f>
        <v>#REF!</v>
      </c>
      <c r="AL601" s="532" t="e">
        <f>IF(NFI_Expiration=1,IF(#REF!&lt;VLOOKUP(U$5,NFI,5,0),1,0)*Table_NFI[[#This Row],[Winter Clothes Adult]],Table_NFI[Winter Clothes Adult])</f>
        <v>#REF!</v>
      </c>
      <c r="AM601" s="532"/>
      <c r="AN601" s="532"/>
      <c r="AO601" s="532"/>
      <c r="AP601" s="532">
        <f>IF(Table_NFI[[#This Row],[Winter Clothes Adult]]+Table_NFI[[#This Row],[Winter Clothes Children]]+Table_NFI[[#This Row],[Winter Items Other]]+Table_NFI[[#This Row],[Winter Blanket]]&gt;0,1,0)</f>
        <v>0</v>
      </c>
      <c r="AQ601" s="532"/>
      <c r="AR601" s="532"/>
      <c r="AS601" s="532"/>
      <c r="AT601" s="532"/>
      <c r="AU601" s="532"/>
      <c r="AV601" s="532"/>
      <c r="AW601" s="532"/>
      <c r="AX601" s="203" t="str">
        <f>IFERROR(VLOOKUP(Table_NFI[[#This Row],[Location]],CL,2,0),"")</f>
        <v>MMR001CMP122</v>
      </c>
      <c r="DS601" s="181"/>
    </row>
    <row r="602" spans="2:123" x14ac:dyDescent="0.3">
      <c r="B602" s="530">
        <v>43558</v>
      </c>
      <c r="C602" s="530" t="str">
        <f>MONTH(Table_NFI[[#This Row],[Distribution Date]]) &amp; "/" &amp; YEAR(Table_NFI[[#This Row],[Distribution Date]])</f>
        <v>4/2019</v>
      </c>
      <c r="D602" s="196" t="s">
        <v>420</v>
      </c>
      <c r="E602" s="196" t="s">
        <v>420</v>
      </c>
      <c r="F602" s="196" t="s">
        <v>378</v>
      </c>
      <c r="G602" s="196" t="s">
        <v>5</v>
      </c>
      <c r="H602" s="196" t="s">
        <v>1884</v>
      </c>
      <c r="I602" s="181"/>
      <c r="J602" s="531"/>
      <c r="K602" s="531"/>
      <c r="L602" s="531">
        <v>1</v>
      </c>
      <c r="M602" s="531"/>
      <c r="N602" s="531">
        <v>2</v>
      </c>
      <c r="O602" s="531">
        <v>2</v>
      </c>
      <c r="P602" s="531">
        <v>2</v>
      </c>
      <c r="Q602" s="531"/>
      <c r="R602" s="531"/>
      <c r="S602" s="531"/>
      <c r="T602" s="531">
        <v>6</v>
      </c>
      <c r="U602" s="531">
        <v>2</v>
      </c>
      <c r="V602" s="531">
        <v>4</v>
      </c>
      <c r="W602" s="531"/>
      <c r="X602" s="531"/>
      <c r="Y602" s="531"/>
      <c r="Z602" s="531"/>
      <c r="AA602" s="531"/>
      <c r="AB602" s="531"/>
      <c r="AC602" s="532" t="e">
        <f>IF(NFI_Expiration=1,IF(#REF!&lt;VLOOKUP(L$5,NFI,5,0),1,0)*Table_NFI[[#This Row],[NFI Core Kit]],Table_NFI[NFI Core Kit])</f>
        <v>#REF!</v>
      </c>
      <c r="AD602" s="532" t="e">
        <f>IF(NFI_Expiration=1,IF(#REF!&lt;VLOOKUP(M$5,NFI,5,0),1,0)*Table_NFI[[#This Row],[Sanitary Kit]],Table_NFI[Sanitary Kit])</f>
        <v>#REF!</v>
      </c>
      <c r="AE602" s="532" t="e">
        <f>IF(NFI_Expiration=1,IF(#REF!&lt;VLOOKUP(N$5,NFI,5,0),1,0)*Table_NFI[[#This Row],[Mosquito net]],Table_NFI[Mosquito net])</f>
        <v>#REF!</v>
      </c>
      <c r="AF602" s="532" t="e">
        <f>IF(NFI_Expiration=1,IF(#REF!&lt;VLOOKUP(O$5,NFI,5,0),1,0)*Table_NFI[[#This Row],[Tarpaulin]],Table_NFI[[#This Row],[Tarpaulin]])</f>
        <v>#REF!</v>
      </c>
      <c r="AG602" s="532" t="e">
        <f>IF(NFI_Expiration=1,IF(#REF!&lt;VLOOKUP(P$5,NFI,5,0),1,0)*Table_NFI[[#This Row],[Blanket]],Table_NFI[[#This Row],[Blanket]])</f>
        <v>#REF!</v>
      </c>
      <c r="AH602" s="532" t="e">
        <f>IF(NFI_Expiration=1,IF(#REF!&lt;VLOOKUP(Q$5,NFI,5,0),1,0)*Table_NFI[[#This Row],[Kitchen Set]],Table_NFI[Kitchen Set])</f>
        <v>#REF!</v>
      </c>
      <c r="AI602" s="532" t="e">
        <f>IF(NFI_Expiration=1,IF(#REF!&lt;VLOOKUP(R$5,NFI,5,0),1,0)*Table_NFI[[#This Row],[Clothes Kit]],Table_NFI[Clothes Kit])</f>
        <v>#REF!</v>
      </c>
      <c r="AJ602" s="532" t="e">
        <f>IF(NFI_Expiration=1,IF(#REF!&lt;VLOOKUP(S$5,NFI,5,0),1,0)*Table_NFI[[#This Row],[Plastic Bucket]],Table_NFI[Plastic Bucket])</f>
        <v>#REF!</v>
      </c>
      <c r="AK602" s="532" t="e">
        <f>IF(NFI_Expiration=1,IF(#REF!&lt;VLOOKUP(T$5,NFI,5,0),1,0)*Table_NFI[[#This Row],[Plastic Mat]],Table_NFI[Plastic Mat])*IF(Table_NFI[[#This Row],[Distribution Date]]&gt;"2014-04-01",1,2.5)</f>
        <v>#REF!</v>
      </c>
      <c r="AL602" s="532" t="e">
        <f>IF(NFI_Expiration=1,IF(#REF!&lt;VLOOKUP(U$5,NFI,5,0),1,0)*Table_NFI[[#This Row],[Winter Clothes Adult]],Table_NFI[Winter Clothes Adult])</f>
        <v>#REF!</v>
      </c>
      <c r="AM602" s="532"/>
      <c r="AN602" s="532"/>
      <c r="AO602" s="532"/>
      <c r="AP602" s="532">
        <f>IF(Table_NFI[[#This Row],[Winter Clothes Adult]]+Table_NFI[[#This Row],[Winter Clothes Children]]+Table_NFI[[#This Row],[Winter Items Other]]+Table_NFI[[#This Row],[Winter Blanket]]&gt;0,1,0)</f>
        <v>1</v>
      </c>
      <c r="AQ602" s="532"/>
      <c r="AR602" s="532"/>
      <c r="AS602" s="532"/>
      <c r="AT602" s="532"/>
      <c r="AU602" s="532"/>
      <c r="AV602" s="532"/>
      <c r="AW602" s="532"/>
      <c r="AX602" s="203" t="str">
        <f>IFERROR(VLOOKUP(Table_NFI[[#This Row],[Location]],CL,2,0),"")</f>
        <v>MMR001CMP163</v>
      </c>
      <c r="DS602" s="181"/>
    </row>
    <row r="603" spans="2:123" x14ac:dyDescent="0.3">
      <c r="B603" s="530">
        <v>43559</v>
      </c>
      <c r="C603" s="530" t="str">
        <f>MONTH(Table_NFI[[#This Row],[Distribution Date]]) &amp; "/" &amp; YEAR(Table_NFI[[#This Row],[Distribution Date]])</f>
        <v>4/2019</v>
      </c>
      <c r="D603" s="196" t="s">
        <v>1256</v>
      </c>
      <c r="E603" s="196"/>
      <c r="F603" s="196" t="s">
        <v>506</v>
      </c>
      <c r="G603" s="196" t="s">
        <v>297</v>
      </c>
      <c r="H603" s="196" t="s">
        <v>1273</v>
      </c>
      <c r="I603" s="181"/>
      <c r="J603" s="531"/>
      <c r="K603" s="531"/>
      <c r="L603" s="531"/>
      <c r="M603" s="531">
        <v>50</v>
      </c>
      <c r="N603" s="531"/>
      <c r="O603" s="531"/>
      <c r="P603" s="531"/>
      <c r="Q603" s="531">
        <v>50</v>
      </c>
      <c r="R603" s="531"/>
      <c r="S603" s="531">
        <v>100</v>
      </c>
      <c r="T603" s="531"/>
      <c r="U603" s="531"/>
      <c r="V603" s="531"/>
      <c r="W603" s="531"/>
      <c r="X603" s="531"/>
      <c r="Y603" s="531">
        <v>50</v>
      </c>
      <c r="Z603" s="531"/>
      <c r="AA603" s="531"/>
      <c r="AB603" s="531"/>
      <c r="AC603" s="532" t="e">
        <f>IF(NFI_Expiration=1,IF(#REF!&lt;VLOOKUP(L$5,NFI,5,0),1,0)*Table_NFI[[#This Row],[NFI Core Kit]],Table_NFI[NFI Core Kit])</f>
        <v>#REF!</v>
      </c>
      <c r="AD603" s="532" t="e">
        <f>IF(NFI_Expiration=1,IF(#REF!&lt;VLOOKUP(M$5,NFI,5,0),1,0)*Table_NFI[[#This Row],[Sanitary Kit]],Table_NFI[Sanitary Kit])</f>
        <v>#REF!</v>
      </c>
      <c r="AE603" s="532" t="e">
        <f>IF(NFI_Expiration=1,IF(#REF!&lt;VLOOKUP(N$5,NFI,5,0),1,0)*Table_NFI[[#This Row],[Mosquito net]],Table_NFI[Mosquito net])</f>
        <v>#REF!</v>
      </c>
      <c r="AF603" s="532" t="e">
        <f>IF(NFI_Expiration=1,IF(#REF!&lt;VLOOKUP(O$5,NFI,5,0),1,0)*Table_NFI[[#This Row],[Tarpaulin]],Table_NFI[[#This Row],[Tarpaulin]])</f>
        <v>#REF!</v>
      </c>
      <c r="AG603" s="532" t="e">
        <f>IF(NFI_Expiration=1,IF(#REF!&lt;VLOOKUP(P$5,NFI,5,0),1,0)*Table_NFI[[#This Row],[Blanket]],Table_NFI[[#This Row],[Blanket]])</f>
        <v>#REF!</v>
      </c>
      <c r="AH603" s="532" t="e">
        <f>IF(NFI_Expiration=1,IF(#REF!&lt;VLOOKUP(Q$5,NFI,5,0),1,0)*Table_NFI[[#This Row],[Kitchen Set]],Table_NFI[Kitchen Set])</f>
        <v>#REF!</v>
      </c>
      <c r="AI603" s="532" t="e">
        <f>IF(NFI_Expiration=1,IF(#REF!&lt;VLOOKUP(R$5,NFI,5,0),1,0)*Table_NFI[[#This Row],[Clothes Kit]],Table_NFI[Clothes Kit])</f>
        <v>#REF!</v>
      </c>
      <c r="AJ603" s="532" t="e">
        <f>IF(NFI_Expiration=1,IF(#REF!&lt;VLOOKUP(S$5,NFI,5,0),1,0)*Table_NFI[[#This Row],[Plastic Bucket]],Table_NFI[Plastic Bucket])</f>
        <v>#REF!</v>
      </c>
      <c r="AK603" s="532" t="e">
        <f>IF(NFI_Expiration=1,IF(#REF!&lt;VLOOKUP(T$5,NFI,5,0),1,0)*Table_NFI[[#This Row],[Plastic Mat]],Table_NFI[Plastic Mat])*IF(Table_NFI[[#This Row],[Distribution Date]]&gt;"2014-04-01",1,2.5)</f>
        <v>#REF!</v>
      </c>
      <c r="AL603" s="532" t="e">
        <f>IF(NFI_Expiration=1,IF(#REF!&lt;VLOOKUP(U$5,NFI,5,0),1,0)*Table_NFI[[#This Row],[Winter Clothes Adult]],Table_NFI[Winter Clothes Adult])</f>
        <v>#REF!</v>
      </c>
      <c r="AM603" s="532"/>
      <c r="AN603" s="532"/>
      <c r="AO603" s="532"/>
      <c r="AP603" s="532">
        <f>IF(Table_NFI[[#This Row],[Winter Clothes Adult]]+Table_NFI[[#This Row],[Winter Clothes Children]]+Table_NFI[[#This Row],[Winter Items Other]]+Table_NFI[[#This Row],[Winter Blanket]]&gt;0,1,0)</f>
        <v>0</v>
      </c>
      <c r="AQ603" s="532"/>
      <c r="AR603" s="532"/>
      <c r="AS603" s="532"/>
      <c r="AT603" s="532"/>
      <c r="AU603" s="532"/>
      <c r="AV603" s="532"/>
      <c r="AW603" s="532"/>
      <c r="AX603" s="203" t="str">
        <f>IFERROR(VLOOKUP(Table_NFI[[#This Row],[Location]],CL,2,0),"")</f>
        <v>MMR015CMP248</v>
      </c>
      <c r="DS603" s="181"/>
    </row>
    <row r="604" spans="2:123" x14ac:dyDescent="0.3">
      <c r="B604" s="530">
        <v>43559</v>
      </c>
      <c r="C604" s="530" t="str">
        <f>MONTH(Table_NFI[[#This Row],[Distribution Date]]) &amp; "/" &amp; YEAR(Table_NFI[[#This Row],[Distribution Date]])</f>
        <v>4/2019</v>
      </c>
      <c r="D604" s="196" t="s">
        <v>1452</v>
      </c>
      <c r="E604" s="196"/>
      <c r="F604" s="196" t="s">
        <v>506</v>
      </c>
      <c r="G604" s="196" t="s">
        <v>297</v>
      </c>
      <c r="H604" s="196" t="s">
        <v>759</v>
      </c>
      <c r="I604" s="181">
        <v>2</v>
      </c>
      <c r="J604" s="531"/>
      <c r="K604" s="531"/>
      <c r="L604" s="531"/>
      <c r="M604" s="531"/>
      <c r="N604" s="531"/>
      <c r="O604" s="531"/>
      <c r="P604" s="531"/>
      <c r="Q604" s="531"/>
      <c r="R604" s="531"/>
      <c r="S604" s="531"/>
      <c r="T604" s="531"/>
      <c r="U604" s="531"/>
      <c r="V604" s="531"/>
      <c r="W604" s="531"/>
      <c r="X604" s="531"/>
      <c r="Y604" s="531"/>
      <c r="Z604" s="531"/>
      <c r="AA604" s="531"/>
      <c r="AB604" s="531"/>
      <c r="AC604" s="532" t="e">
        <f>IF(NFI_Expiration=1,IF(#REF!&lt;VLOOKUP(L$5,NFI,5,0),1,0)*Table_NFI[[#This Row],[NFI Core Kit]],Table_NFI[NFI Core Kit])</f>
        <v>#REF!</v>
      </c>
      <c r="AD604" s="532" t="e">
        <f>IF(NFI_Expiration=1,IF(#REF!&lt;VLOOKUP(M$5,NFI,5,0),1,0)*Table_NFI[[#This Row],[Sanitary Kit]],Table_NFI[Sanitary Kit])</f>
        <v>#REF!</v>
      </c>
      <c r="AE604" s="532" t="e">
        <f>IF(NFI_Expiration=1,IF(#REF!&lt;VLOOKUP(N$5,NFI,5,0),1,0)*Table_NFI[[#This Row],[Mosquito net]],Table_NFI[Mosquito net])</f>
        <v>#REF!</v>
      </c>
      <c r="AF604" s="532" t="e">
        <f>IF(NFI_Expiration=1,IF(#REF!&lt;VLOOKUP(O$5,NFI,5,0),1,0)*Table_NFI[[#This Row],[Tarpaulin]],Table_NFI[[#This Row],[Tarpaulin]])</f>
        <v>#REF!</v>
      </c>
      <c r="AG604" s="532" t="e">
        <f>IF(NFI_Expiration=1,IF(#REF!&lt;VLOOKUP(P$5,NFI,5,0),1,0)*Table_NFI[[#This Row],[Blanket]],Table_NFI[[#This Row],[Blanket]])</f>
        <v>#REF!</v>
      </c>
      <c r="AH604" s="532" t="e">
        <f>IF(NFI_Expiration=1,IF(#REF!&lt;VLOOKUP(Q$5,NFI,5,0),1,0)*Table_NFI[[#This Row],[Kitchen Set]],Table_NFI[Kitchen Set])</f>
        <v>#REF!</v>
      </c>
      <c r="AI604" s="532" t="e">
        <f>IF(NFI_Expiration=1,IF(#REF!&lt;VLOOKUP(R$5,NFI,5,0),1,0)*Table_NFI[[#This Row],[Clothes Kit]],Table_NFI[Clothes Kit])</f>
        <v>#REF!</v>
      </c>
      <c r="AJ604" s="532" t="e">
        <f>IF(NFI_Expiration=1,IF(#REF!&lt;VLOOKUP(S$5,NFI,5,0),1,0)*Table_NFI[[#This Row],[Plastic Bucket]],Table_NFI[Plastic Bucket])</f>
        <v>#REF!</v>
      </c>
      <c r="AK604" s="532" t="e">
        <f>IF(NFI_Expiration=1,IF(#REF!&lt;VLOOKUP(T$5,NFI,5,0),1,0)*Table_NFI[[#This Row],[Plastic Mat]],Table_NFI[Plastic Mat])*IF(Table_NFI[[#This Row],[Distribution Date]]&gt;"2014-04-01",1,2.5)</f>
        <v>#REF!</v>
      </c>
      <c r="AL604" s="532" t="e">
        <f>IF(NFI_Expiration=1,IF(#REF!&lt;VLOOKUP(U$5,NFI,5,0),1,0)*Table_NFI[[#This Row],[Winter Clothes Adult]],Table_NFI[Winter Clothes Adult])</f>
        <v>#REF!</v>
      </c>
      <c r="AM604" s="532"/>
      <c r="AN604" s="532"/>
      <c r="AO604" s="532"/>
      <c r="AP604" s="532">
        <f>IF(Table_NFI[[#This Row],[Winter Clothes Adult]]+Table_NFI[[#This Row],[Winter Clothes Children]]+Table_NFI[[#This Row],[Winter Items Other]]+Table_NFI[[#This Row],[Winter Blanket]]&gt;0,1,0)</f>
        <v>0</v>
      </c>
      <c r="AQ604" s="532"/>
      <c r="AR604" s="532"/>
      <c r="AS604" s="532"/>
      <c r="AT604" s="532"/>
      <c r="AU604" s="532"/>
      <c r="AV604" s="532"/>
      <c r="AW604" s="532"/>
      <c r="AX604" s="203" t="str">
        <f>IFERROR(VLOOKUP(Table_NFI[[#This Row],[Location]],CL,2,0),"")</f>
        <v>MMR015CMP014</v>
      </c>
      <c r="DS604" s="181"/>
    </row>
    <row r="605" spans="2:123" x14ac:dyDescent="0.3">
      <c r="B605" s="530">
        <v>43559</v>
      </c>
      <c r="C605" s="530" t="str">
        <f>MONTH(Table_NFI[[#This Row],[Distribution Date]]) &amp; "/" &amp; YEAR(Table_NFI[[#This Row],[Distribution Date]])</f>
        <v>4/2019</v>
      </c>
      <c r="D605" s="196" t="s">
        <v>1452</v>
      </c>
      <c r="E605" s="196"/>
      <c r="F605" s="196" t="s">
        <v>506</v>
      </c>
      <c r="G605" s="196" t="s">
        <v>146</v>
      </c>
      <c r="H605" s="196" t="s">
        <v>1080</v>
      </c>
      <c r="I605" s="181"/>
      <c r="J605" s="531"/>
      <c r="K605" s="531"/>
      <c r="L605" s="531"/>
      <c r="M605" s="531"/>
      <c r="N605" s="531"/>
      <c r="O605" s="531"/>
      <c r="P605" s="531"/>
      <c r="Q605" s="531"/>
      <c r="R605" s="531"/>
      <c r="S605" s="531"/>
      <c r="T605" s="531"/>
      <c r="U605" s="531"/>
      <c r="V605" s="531"/>
      <c r="W605" s="531"/>
      <c r="X605" s="531"/>
      <c r="Y605" s="531"/>
      <c r="Z605" s="531"/>
      <c r="AA605" s="531">
        <v>1</v>
      </c>
      <c r="AB605" s="531"/>
      <c r="AC605" s="532" t="e">
        <f>IF(NFI_Expiration=1,IF(#REF!&lt;VLOOKUP(L$5,NFI,5,0),1,0)*Table_NFI[[#This Row],[NFI Core Kit]],Table_NFI[NFI Core Kit])</f>
        <v>#REF!</v>
      </c>
      <c r="AD605" s="532" t="e">
        <f>IF(NFI_Expiration=1,IF(#REF!&lt;VLOOKUP(M$5,NFI,5,0),1,0)*Table_NFI[[#This Row],[Sanitary Kit]],Table_NFI[Sanitary Kit])</f>
        <v>#REF!</v>
      </c>
      <c r="AE605" s="532" t="e">
        <f>IF(NFI_Expiration=1,IF(#REF!&lt;VLOOKUP(N$5,NFI,5,0),1,0)*Table_NFI[[#This Row],[Mosquito net]],Table_NFI[Mosquito net])</f>
        <v>#REF!</v>
      </c>
      <c r="AF605" s="532" t="e">
        <f>IF(NFI_Expiration=1,IF(#REF!&lt;VLOOKUP(O$5,NFI,5,0),1,0)*Table_NFI[[#This Row],[Tarpaulin]],Table_NFI[[#This Row],[Tarpaulin]])</f>
        <v>#REF!</v>
      </c>
      <c r="AG605" s="532" t="e">
        <f>IF(NFI_Expiration=1,IF(#REF!&lt;VLOOKUP(P$5,NFI,5,0),1,0)*Table_NFI[[#This Row],[Blanket]],Table_NFI[[#This Row],[Blanket]])</f>
        <v>#REF!</v>
      </c>
      <c r="AH605" s="532" t="e">
        <f>IF(NFI_Expiration=1,IF(#REF!&lt;VLOOKUP(Q$5,NFI,5,0),1,0)*Table_NFI[[#This Row],[Kitchen Set]],Table_NFI[Kitchen Set])</f>
        <v>#REF!</v>
      </c>
      <c r="AI605" s="532" t="e">
        <f>IF(NFI_Expiration=1,IF(#REF!&lt;VLOOKUP(R$5,NFI,5,0),1,0)*Table_NFI[[#This Row],[Clothes Kit]],Table_NFI[Clothes Kit])</f>
        <v>#REF!</v>
      </c>
      <c r="AJ605" s="532" t="e">
        <f>IF(NFI_Expiration=1,IF(#REF!&lt;VLOOKUP(S$5,NFI,5,0),1,0)*Table_NFI[[#This Row],[Plastic Bucket]],Table_NFI[Plastic Bucket])</f>
        <v>#REF!</v>
      </c>
      <c r="AK605" s="532" t="e">
        <f>IF(NFI_Expiration=1,IF(#REF!&lt;VLOOKUP(T$5,NFI,5,0),1,0)*Table_NFI[[#This Row],[Plastic Mat]],Table_NFI[Plastic Mat])*IF(Table_NFI[[#This Row],[Distribution Date]]&gt;"2014-04-01",1,2.5)</f>
        <v>#REF!</v>
      </c>
      <c r="AL605" s="532" t="e">
        <f>IF(NFI_Expiration=1,IF(#REF!&lt;VLOOKUP(U$5,NFI,5,0),1,0)*Table_NFI[[#This Row],[Winter Clothes Adult]],Table_NFI[Winter Clothes Adult])</f>
        <v>#REF!</v>
      </c>
      <c r="AM605" s="532"/>
      <c r="AN605" s="532"/>
      <c r="AO605" s="532"/>
      <c r="AP605" s="532">
        <f>IF(Table_NFI[[#This Row],[Winter Clothes Adult]]+Table_NFI[[#This Row],[Winter Clothes Children]]+Table_NFI[[#This Row],[Winter Items Other]]+Table_NFI[[#This Row],[Winter Blanket]]&gt;0,1,0)</f>
        <v>0</v>
      </c>
      <c r="AQ605" s="532"/>
      <c r="AR605" s="532"/>
      <c r="AS605" s="532"/>
      <c r="AT605" s="532"/>
      <c r="AU605" s="532"/>
      <c r="AV605" s="532"/>
      <c r="AW605" s="532"/>
      <c r="AX605" s="203" t="str">
        <f>IFERROR(VLOOKUP(Table_NFI[[#This Row],[Location]],CL,2,0),"")</f>
        <v>MMR015CMP219</v>
      </c>
      <c r="DS605" s="181"/>
    </row>
    <row r="606" spans="2:123" x14ac:dyDescent="0.3">
      <c r="B606" s="530">
        <v>43560</v>
      </c>
      <c r="C606" s="530" t="str">
        <f>MONTH(Table_NFI[[#This Row],[Distribution Date]]) &amp; "/" &amp; YEAR(Table_NFI[[#This Row],[Distribution Date]])</f>
        <v>4/2019</v>
      </c>
      <c r="D606" s="196" t="s">
        <v>420</v>
      </c>
      <c r="E606" s="196" t="s">
        <v>1302</v>
      </c>
      <c r="F606" s="196" t="s">
        <v>378</v>
      </c>
      <c r="G606" s="196" t="s">
        <v>746</v>
      </c>
      <c r="H606" s="196" t="s">
        <v>1911</v>
      </c>
      <c r="I606" s="181"/>
      <c r="J606" s="531"/>
      <c r="K606" s="531"/>
      <c r="L606" s="531"/>
      <c r="M606" s="531"/>
      <c r="N606" s="531"/>
      <c r="O606" s="531"/>
      <c r="P606" s="531"/>
      <c r="Q606" s="531"/>
      <c r="R606" s="531"/>
      <c r="S606" s="531"/>
      <c r="T606" s="531"/>
      <c r="U606" s="531"/>
      <c r="V606" s="531"/>
      <c r="W606" s="531"/>
      <c r="X606" s="531"/>
      <c r="Y606" s="531"/>
      <c r="Z606" s="531">
        <v>29</v>
      </c>
      <c r="AA606" s="531"/>
      <c r="AB606" s="531"/>
      <c r="AC606" s="532" t="e">
        <f>IF(NFI_Expiration=1,IF(#REF!&lt;VLOOKUP(L$5,NFI,5,0),1,0)*Table_NFI[[#This Row],[NFI Core Kit]],Table_NFI[NFI Core Kit])</f>
        <v>#REF!</v>
      </c>
      <c r="AD606" s="532" t="e">
        <f>IF(NFI_Expiration=1,IF(#REF!&lt;VLOOKUP(M$5,NFI,5,0),1,0)*Table_NFI[[#This Row],[Sanitary Kit]],Table_NFI[Sanitary Kit])</f>
        <v>#REF!</v>
      </c>
      <c r="AE606" s="532" t="e">
        <f>IF(NFI_Expiration=1,IF(#REF!&lt;VLOOKUP(N$5,NFI,5,0),1,0)*Table_NFI[[#This Row],[Mosquito net]],Table_NFI[Mosquito net])</f>
        <v>#REF!</v>
      </c>
      <c r="AF606" s="532" t="e">
        <f>IF(NFI_Expiration=1,IF(#REF!&lt;VLOOKUP(O$5,NFI,5,0),1,0)*Table_NFI[[#This Row],[Tarpaulin]],Table_NFI[[#This Row],[Tarpaulin]])</f>
        <v>#REF!</v>
      </c>
      <c r="AG606" s="532" t="e">
        <f>IF(NFI_Expiration=1,IF(#REF!&lt;VLOOKUP(P$5,NFI,5,0),1,0)*Table_NFI[[#This Row],[Blanket]],Table_NFI[[#This Row],[Blanket]])</f>
        <v>#REF!</v>
      </c>
      <c r="AH606" s="532" t="e">
        <f>IF(NFI_Expiration=1,IF(#REF!&lt;VLOOKUP(Q$5,NFI,5,0),1,0)*Table_NFI[[#This Row],[Kitchen Set]],Table_NFI[Kitchen Set])</f>
        <v>#REF!</v>
      </c>
      <c r="AI606" s="532" t="e">
        <f>IF(NFI_Expiration=1,IF(#REF!&lt;VLOOKUP(R$5,NFI,5,0),1,0)*Table_NFI[[#This Row],[Clothes Kit]],Table_NFI[Clothes Kit])</f>
        <v>#REF!</v>
      </c>
      <c r="AJ606" s="532" t="e">
        <f>IF(NFI_Expiration=1,IF(#REF!&lt;VLOOKUP(S$5,NFI,5,0),1,0)*Table_NFI[[#This Row],[Plastic Bucket]],Table_NFI[Plastic Bucket])</f>
        <v>#REF!</v>
      </c>
      <c r="AK606" s="532" t="e">
        <f>IF(NFI_Expiration=1,IF(#REF!&lt;VLOOKUP(T$5,NFI,5,0),1,0)*Table_NFI[[#This Row],[Plastic Mat]],Table_NFI[Plastic Mat])*IF(Table_NFI[[#This Row],[Distribution Date]]&gt;"2014-04-01",1,2.5)</f>
        <v>#REF!</v>
      </c>
      <c r="AL606" s="532" t="e">
        <f>IF(NFI_Expiration=1,IF(#REF!&lt;VLOOKUP(U$5,NFI,5,0),1,0)*Table_NFI[[#This Row],[Winter Clothes Adult]],Table_NFI[Winter Clothes Adult])</f>
        <v>#REF!</v>
      </c>
      <c r="AM606" s="532"/>
      <c r="AN606" s="532"/>
      <c r="AO606" s="532"/>
      <c r="AP606" s="532">
        <f>IF(Table_NFI[[#This Row],[Winter Clothes Adult]]+Table_NFI[[#This Row],[Winter Clothes Children]]+Table_NFI[[#This Row],[Winter Items Other]]+Table_NFI[[#This Row],[Winter Blanket]]&gt;0,1,0)</f>
        <v>0</v>
      </c>
      <c r="AQ606" s="532"/>
      <c r="AR606" s="532"/>
      <c r="AS606" s="532"/>
      <c r="AT606" s="532"/>
      <c r="AU606" s="532"/>
      <c r="AV606" s="532"/>
      <c r="AW606" s="532"/>
      <c r="AX606" s="203" t="str">
        <f>IFERROR(VLOOKUP(Table_NFI[[#This Row],[Location]],CL,2,0),"")</f>
        <v>MMR001CMP272</v>
      </c>
      <c r="DS606" s="181"/>
    </row>
    <row r="607" spans="2:123" x14ac:dyDescent="0.3">
      <c r="B607" s="530">
        <v>43563</v>
      </c>
      <c r="C607" s="530" t="str">
        <f>MONTH(Table_NFI[[#This Row],[Distribution Date]]) &amp; "/" &amp; YEAR(Table_NFI[[#This Row],[Distribution Date]])</f>
        <v>4/2019</v>
      </c>
      <c r="D607" s="196" t="s">
        <v>420</v>
      </c>
      <c r="E607" s="196" t="s">
        <v>462</v>
      </c>
      <c r="F607" s="196" t="s">
        <v>378</v>
      </c>
      <c r="G607" s="196" t="s">
        <v>237</v>
      </c>
      <c r="H607" s="196" t="s">
        <v>264</v>
      </c>
      <c r="I607" s="181"/>
      <c r="J607" s="531"/>
      <c r="K607" s="531"/>
      <c r="L607" s="531">
        <v>1</v>
      </c>
      <c r="M607" s="531"/>
      <c r="N607" s="531">
        <v>5</v>
      </c>
      <c r="O607" s="531">
        <v>1</v>
      </c>
      <c r="P607" s="531">
        <v>5</v>
      </c>
      <c r="Q607" s="531">
        <v>1</v>
      </c>
      <c r="R607" s="531"/>
      <c r="S607" s="531">
        <v>1</v>
      </c>
      <c r="T607" s="531">
        <v>10</v>
      </c>
      <c r="U607" s="531"/>
      <c r="V607" s="531"/>
      <c r="W607" s="531"/>
      <c r="X607" s="531"/>
      <c r="Y607" s="531">
        <v>1</v>
      </c>
      <c r="Z607" s="531"/>
      <c r="AA607" s="531"/>
      <c r="AB607" s="531"/>
      <c r="AC607" s="532" t="e">
        <f>IF(NFI_Expiration=1,IF(#REF!&lt;VLOOKUP(L$5,NFI,5,0),1,0)*Table_NFI[[#This Row],[NFI Core Kit]],Table_NFI[NFI Core Kit])</f>
        <v>#REF!</v>
      </c>
      <c r="AD607" s="532" t="e">
        <f>IF(NFI_Expiration=1,IF(#REF!&lt;VLOOKUP(M$5,NFI,5,0),1,0)*Table_NFI[[#This Row],[Sanitary Kit]],Table_NFI[Sanitary Kit])</f>
        <v>#REF!</v>
      </c>
      <c r="AE607" s="532" t="e">
        <f>IF(NFI_Expiration=1,IF(#REF!&lt;VLOOKUP(N$5,NFI,5,0),1,0)*Table_NFI[[#This Row],[Mosquito net]],Table_NFI[Mosquito net])</f>
        <v>#REF!</v>
      </c>
      <c r="AF607" s="532" t="e">
        <f>IF(NFI_Expiration=1,IF(#REF!&lt;VLOOKUP(O$5,NFI,5,0),1,0)*Table_NFI[[#This Row],[Tarpaulin]],Table_NFI[[#This Row],[Tarpaulin]])</f>
        <v>#REF!</v>
      </c>
      <c r="AG607" s="532" t="e">
        <f>IF(NFI_Expiration=1,IF(#REF!&lt;VLOOKUP(P$5,NFI,5,0),1,0)*Table_NFI[[#This Row],[Blanket]],Table_NFI[[#This Row],[Blanket]])</f>
        <v>#REF!</v>
      </c>
      <c r="AH607" s="532" t="e">
        <f>IF(NFI_Expiration=1,IF(#REF!&lt;VLOOKUP(Q$5,NFI,5,0),1,0)*Table_NFI[[#This Row],[Kitchen Set]],Table_NFI[Kitchen Set])</f>
        <v>#REF!</v>
      </c>
      <c r="AI607" s="532" t="e">
        <f>IF(NFI_Expiration=1,IF(#REF!&lt;VLOOKUP(R$5,NFI,5,0),1,0)*Table_NFI[[#This Row],[Clothes Kit]],Table_NFI[Clothes Kit])</f>
        <v>#REF!</v>
      </c>
      <c r="AJ607" s="532" t="e">
        <f>IF(NFI_Expiration=1,IF(#REF!&lt;VLOOKUP(S$5,NFI,5,0),1,0)*Table_NFI[[#This Row],[Plastic Bucket]],Table_NFI[Plastic Bucket])</f>
        <v>#REF!</v>
      </c>
      <c r="AK607" s="532" t="e">
        <f>IF(NFI_Expiration=1,IF(#REF!&lt;VLOOKUP(T$5,NFI,5,0),1,0)*Table_NFI[[#This Row],[Plastic Mat]],Table_NFI[Plastic Mat])*IF(Table_NFI[[#This Row],[Distribution Date]]&gt;"2014-04-01",1,2.5)</f>
        <v>#REF!</v>
      </c>
      <c r="AL607" s="532" t="e">
        <f>IF(NFI_Expiration=1,IF(#REF!&lt;VLOOKUP(U$5,NFI,5,0),1,0)*Table_NFI[[#This Row],[Winter Clothes Adult]],Table_NFI[Winter Clothes Adult])</f>
        <v>#REF!</v>
      </c>
      <c r="AM607" s="532"/>
      <c r="AN607" s="532"/>
      <c r="AO607" s="532"/>
      <c r="AP607" s="532">
        <f>IF(Table_NFI[[#This Row],[Winter Clothes Adult]]+Table_NFI[[#This Row],[Winter Clothes Children]]+Table_NFI[[#This Row],[Winter Items Other]]+Table_NFI[[#This Row],[Winter Blanket]]&gt;0,1,0)</f>
        <v>0</v>
      </c>
      <c r="AQ607" s="532"/>
      <c r="AR607" s="532"/>
      <c r="AS607" s="532"/>
      <c r="AT607" s="532"/>
      <c r="AU607" s="532"/>
      <c r="AV607" s="532"/>
      <c r="AW607" s="532"/>
      <c r="AX607" s="203" t="str">
        <f>IFERROR(VLOOKUP(Table_NFI[[#This Row],[Location]],CL,2,0),"")</f>
        <v>MMR001CMP021</v>
      </c>
    </row>
    <row r="608" spans="2:123" x14ac:dyDescent="0.3">
      <c r="B608" s="530">
        <v>43564</v>
      </c>
      <c r="C608" s="530" t="str">
        <f>MONTH(Table_NFI[[#This Row],[Distribution Date]]) &amp; "/" &amp; YEAR(Table_NFI[[#This Row],[Distribution Date]])</f>
        <v>4/2019</v>
      </c>
      <c r="D608" s="196" t="s">
        <v>420</v>
      </c>
      <c r="E608" s="196" t="s">
        <v>462</v>
      </c>
      <c r="F608" s="196" t="s">
        <v>378</v>
      </c>
      <c r="G608" s="196" t="s">
        <v>237</v>
      </c>
      <c r="H608" s="196" t="s">
        <v>248</v>
      </c>
      <c r="I608" s="181"/>
      <c r="J608" s="531"/>
      <c r="K608" s="531"/>
      <c r="L608" s="531">
        <v>1</v>
      </c>
      <c r="M608" s="531"/>
      <c r="N608" s="531">
        <v>4</v>
      </c>
      <c r="O608" s="531">
        <v>1</v>
      </c>
      <c r="P608" s="531">
        <v>3</v>
      </c>
      <c r="Q608" s="531">
        <v>1</v>
      </c>
      <c r="R608" s="531"/>
      <c r="S608" s="531">
        <v>1</v>
      </c>
      <c r="T608" s="531">
        <v>6</v>
      </c>
      <c r="U608" s="531"/>
      <c r="V608" s="531"/>
      <c r="W608" s="531"/>
      <c r="X608" s="531"/>
      <c r="Y608" s="531">
        <v>1</v>
      </c>
      <c r="Z608" s="531"/>
      <c r="AA608" s="531"/>
      <c r="AB608" s="531"/>
      <c r="AC608" s="532" t="e">
        <f>IF(NFI_Expiration=1,IF(#REF!&lt;VLOOKUP(L$5,NFI,5,0),1,0)*Table_NFI[[#This Row],[NFI Core Kit]],Table_NFI[NFI Core Kit])</f>
        <v>#REF!</v>
      </c>
      <c r="AD608" s="532" t="e">
        <f>IF(NFI_Expiration=1,IF(#REF!&lt;VLOOKUP(M$5,NFI,5,0),1,0)*Table_NFI[[#This Row],[Sanitary Kit]],Table_NFI[Sanitary Kit])</f>
        <v>#REF!</v>
      </c>
      <c r="AE608" s="532" t="e">
        <f>IF(NFI_Expiration=1,IF(#REF!&lt;VLOOKUP(N$5,NFI,5,0),1,0)*Table_NFI[[#This Row],[Mosquito net]],Table_NFI[Mosquito net])</f>
        <v>#REF!</v>
      </c>
      <c r="AF608" s="532" t="e">
        <f>IF(NFI_Expiration=1,IF(#REF!&lt;VLOOKUP(O$5,NFI,5,0),1,0)*Table_NFI[[#This Row],[Tarpaulin]],Table_NFI[[#This Row],[Tarpaulin]])</f>
        <v>#REF!</v>
      </c>
      <c r="AG608" s="532" t="e">
        <f>IF(NFI_Expiration=1,IF(#REF!&lt;VLOOKUP(P$5,NFI,5,0),1,0)*Table_NFI[[#This Row],[Blanket]],Table_NFI[[#This Row],[Blanket]])</f>
        <v>#REF!</v>
      </c>
      <c r="AH608" s="532" t="e">
        <f>IF(NFI_Expiration=1,IF(#REF!&lt;VLOOKUP(Q$5,NFI,5,0),1,0)*Table_NFI[[#This Row],[Kitchen Set]],Table_NFI[Kitchen Set])</f>
        <v>#REF!</v>
      </c>
      <c r="AI608" s="532" t="e">
        <f>IF(NFI_Expiration=1,IF(#REF!&lt;VLOOKUP(R$5,NFI,5,0),1,0)*Table_NFI[[#This Row],[Clothes Kit]],Table_NFI[Clothes Kit])</f>
        <v>#REF!</v>
      </c>
      <c r="AJ608" s="532" t="e">
        <f>IF(NFI_Expiration=1,IF(#REF!&lt;VLOOKUP(S$5,NFI,5,0),1,0)*Table_NFI[[#This Row],[Plastic Bucket]],Table_NFI[Plastic Bucket])</f>
        <v>#REF!</v>
      </c>
      <c r="AK608" s="532" t="e">
        <f>IF(NFI_Expiration=1,IF(#REF!&lt;VLOOKUP(T$5,NFI,5,0),1,0)*Table_NFI[[#This Row],[Plastic Mat]],Table_NFI[Plastic Mat])*IF(Table_NFI[[#This Row],[Distribution Date]]&gt;"2014-04-01",1,2.5)</f>
        <v>#REF!</v>
      </c>
      <c r="AL608" s="532" t="e">
        <f>IF(NFI_Expiration=1,IF(#REF!&lt;VLOOKUP(U$5,NFI,5,0),1,0)*Table_NFI[[#This Row],[Winter Clothes Adult]],Table_NFI[Winter Clothes Adult])</f>
        <v>#REF!</v>
      </c>
      <c r="AM608" s="532"/>
      <c r="AN608" s="532"/>
      <c r="AO608" s="532"/>
      <c r="AP608" s="532">
        <f>IF(Table_NFI[[#This Row],[Winter Clothes Adult]]+Table_NFI[[#This Row],[Winter Clothes Children]]+Table_NFI[[#This Row],[Winter Items Other]]+Table_NFI[[#This Row],[Winter Blanket]]&gt;0,1,0)</f>
        <v>0</v>
      </c>
      <c r="AQ608" s="532"/>
      <c r="AR608" s="532"/>
      <c r="AS608" s="532"/>
      <c r="AT608" s="532"/>
      <c r="AU608" s="532"/>
      <c r="AV608" s="532"/>
      <c r="AW608" s="532"/>
      <c r="AX608" s="203" t="str">
        <f>IFERROR(VLOOKUP(Table_NFI[[#This Row],[Location]],CL,2,0),"")</f>
        <v>MMR001CMP004</v>
      </c>
    </row>
    <row r="609" spans="2:51" x14ac:dyDescent="0.3">
      <c r="B609" s="530">
        <v>43567</v>
      </c>
      <c r="C609" s="530" t="str">
        <f>MONTH(Table_NFI[[#This Row],[Distribution Date]]) &amp; "/" &amp; YEAR(Table_NFI[[#This Row],[Distribution Date]])</f>
        <v>4/2019</v>
      </c>
      <c r="D609" s="196" t="s">
        <v>1452</v>
      </c>
      <c r="E609" s="196"/>
      <c r="F609" s="196" t="s">
        <v>506</v>
      </c>
      <c r="G609" s="196" t="s">
        <v>230</v>
      </c>
      <c r="H609" s="175" t="s">
        <v>911</v>
      </c>
      <c r="I609" s="181"/>
      <c r="J609" s="531"/>
      <c r="K609" s="531"/>
      <c r="L609" s="531"/>
      <c r="M609" s="531"/>
      <c r="N609" s="531"/>
      <c r="O609" s="531"/>
      <c r="P609" s="531"/>
      <c r="Q609" s="531">
        <v>17</v>
      </c>
      <c r="R609" s="531"/>
      <c r="S609" s="531"/>
      <c r="T609" s="531"/>
      <c r="U609" s="531"/>
      <c r="V609" s="531"/>
      <c r="W609" s="531"/>
      <c r="X609" s="531"/>
      <c r="Y609" s="531"/>
      <c r="Z609" s="531"/>
      <c r="AA609" s="531"/>
      <c r="AB609" s="531"/>
      <c r="AC609" s="532" t="e">
        <f>IF(NFI_Expiration=1,IF(#REF!&lt;VLOOKUP(L$5,NFI,5,0),1,0)*Table_NFI[[#This Row],[NFI Core Kit]],Table_NFI[NFI Core Kit])</f>
        <v>#REF!</v>
      </c>
      <c r="AD609" s="532" t="e">
        <f>IF(NFI_Expiration=1,IF(#REF!&lt;VLOOKUP(M$5,NFI,5,0),1,0)*Table_NFI[[#This Row],[Sanitary Kit]],Table_NFI[Sanitary Kit])</f>
        <v>#REF!</v>
      </c>
      <c r="AE609" s="532" t="e">
        <f>IF(NFI_Expiration=1,IF(#REF!&lt;VLOOKUP(N$5,NFI,5,0),1,0)*Table_NFI[[#This Row],[Mosquito net]],Table_NFI[Mosquito net])</f>
        <v>#REF!</v>
      </c>
      <c r="AF609" s="532" t="e">
        <f>IF(NFI_Expiration=1,IF(#REF!&lt;VLOOKUP(O$5,NFI,5,0),1,0)*Table_NFI[[#This Row],[Tarpaulin]],Table_NFI[[#This Row],[Tarpaulin]])</f>
        <v>#REF!</v>
      </c>
      <c r="AG609" s="532" t="e">
        <f>IF(NFI_Expiration=1,IF(#REF!&lt;VLOOKUP(P$5,NFI,5,0),1,0)*Table_NFI[[#This Row],[Blanket]],Table_NFI[[#This Row],[Blanket]])</f>
        <v>#REF!</v>
      </c>
      <c r="AH609" s="532" t="e">
        <f>IF(NFI_Expiration=1,IF(#REF!&lt;VLOOKUP(Q$5,NFI,5,0),1,0)*Table_NFI[[#This Row],[Kitchen Set]],Table_NFI[Kitchen Set])</f>
        <v>#REF!</v>
      </c>
      <c r="AI609" s="532" t="e">
        <f>IF(NFI_Expiration=1,IF(#REF!&lt;VLOOKUP(R$5,NFI,5,0),1,0)*Table_NFI[[#This Row],[Clothes Kit]],Table_NFI[Clothes Kit])</f>
        <v>#REF!</v>
      </c>
      <c r="AJ609" s="532" t="e">
        <f>IF(NFI_Expiration=1,IF(#REF!&lt;VLOOKUP(S$5,NFI,5,0),1,0)*Table_NFI[[#This Row],[Plastic Bucket]],Table_NFI[Plastic Bucket])</f>
        <v>#REF!</v>
      </c>
      <c r="AK609" s="532" t="e">
        <f>IF(NFI_Expiration=1,IF(#REF!&lt;VLOOKUP(T$5,NFI,5,0),1,0)*Table_NFI[[#This Row],[Plastic Mat]],Table_NFI[Plastic Mat])*IF(Table_NFI[[#This Row],[Distribution Date]]&gt;"2014-04-01",1,2.5)</f>
        <v>#REF!</v>
      </c>
      <c r="AL609" s="532" t="e">
        <f>IF(NFI_Expiration=1,IF(#REF!&lt;VLOOKUP(U$5,NFI,5,0),1,0)*Table_NFI[[#This Row],[Winter Clothes Adult]],Table_NFI[Winter Clothes Adult])</f>
        <v>#REF!</v>
      </c>
      <c r="AM609" s="532"/>
      <c r="AN609" s="532"/>
      <c r="AO609" s="532"/>
      <c r="AP609" s="532">
        <f>IF(Table_NFI[[#This Row],[Winter Clothes Adult]]+Table_NFI[[#This Row],[Winter Clothes Children]]+Table_NFI[[#This Row],[Winter Items Other]]+Table_NFI[[#This Row],[Winter Blanket]]&gt;0,1,0)</f>
        <v>0</v>
      </c>
      <c r="AQ609" s="532"/>
      <c r="AR609" s="532"/>
      <c r="AS609" s="532"/>
      <c r="AT609" s="532">
        <v>17</v>
      </c>
      <c r="AU609" s="532">
        <v>17</v>
      </c>
      <c r="AV609" s="532"/>
      <c r="AW609" s="532"/>
      <c r="AX609" s="203" t="str">
        <f>IFERROR(VLOOKUP(Table_NFI[[#This Row],[Location]],CL,2,0),"")</f>
        <v>MMR015CMP216</v>
      </c>
    </row>
    <row r="610" spans="2:51" x14ac:dyDescent="0.3">
      <c r="B610" s="530">
        <v>43567</v>
      </c>
      <c r="C610" s="530" t="str">
        <f>MONTH(Table_NFI[[#This Row],[Distribution Date]]) &amp; "/" &amp; YEAR(Table_NFI[[#This Row],[Distribution Date]])</f>
        <v>4/2019</v>
      </c>
      <c r="D610" s="196" t="s">
        <v>420</v>
      </c>
      <c r="E610" s="196" t="s">
        <v>1940</v>
      </c>
      <c r="F610" s="196" t="s">
        <v>378</v>
      </c>
      <c r="G610" s="196" t="s">
        <v>5</v>
      </c>
      <c r="H610" s="196" t="s">
        <v>6</v>
      </c>
      <c r="I610" s="181"/>
      <c r="J610" s="531"/>
      <c r="K610" s="531"/>
      <c r="L610" s="531"/>
      <c r="M610" s="531"/>
      <c r="N610" s="531"/>
      <c r="O610" s="531"/>
      <c r="P610" s="531"/>
      <c r="Q610" s="531"/>
      <c r="R610" s="531"/>
      <c r="S610" s="531"/>
      <c r="T610" s="531"/>
      <c r="U610" s="531"/>
      <c r="V610" s="531"/>
      <c r="W610" s="531"/>
      <c r="X610" s="531"/>
      <c r="Y610" s="531"/>
      <c r="Z610" s="531"/>
      <c r="AA610" s="531"/>
      <c r="AB610" s="531"/>
      <c r="AC610" s="532" t="e">
        <f>IF(NFI_Expiration=1,IF(#REF!&lt;VLOOKUP(L$5,NFI,5,0),1,0)*Table_NFI[[#This Row],[NFI Core Kit]],Table_NFI[NFI Core Kit])</f>
        <v>#REF!</v>
      </c>
      <c r="AD610" s="532" t="e">
        <f>IF(NFI_Expiration=1,IF(#REF!&lt;VLOOKUP(M$5,NFI,5,0),1,0)*Table_NFI[[#This Row],[Sanitary Kit]],Table_NFI[Sanitary Kit])</f>
        <v>#REF!</v>
      </c>
      <c r="AE610" s="532" t="e">
        <f>IF(NFI_Expiration=1,IF(#REF!&lt;VLOOKUP(N$5,NFI,5,0),1,0)*Table_NFI[[#This Row],[Mosquito net]],Table_NFI[Mosquito net])</f>
        <v>#REF!</v>
      </c>
      <c r="AF610" s="532" t="e">
        <f>IF(NFI_Expiration=1,IF(#REF!&lt;VLOOKUP(O$5,NFI,5,0),1,0)*Table_NFI[[#This Row],[Tarpaulin]],Table_NFI[[#This Row],[Tarpaulin]])</f>
        <v>#REF!</v>
      </c>
      <c r="AG610" s="532" t="e">
        <f>IF(NFI_Expiration=1,IF(#REF!&lt;VLOOKUP(P$5,NFI,5,0),1,0)*Table_NFI[[#This Row],[Blanket]],Table_NFI[[#This Row],[Blanket]])</f>
        <v>#REF!</v>
      </c>
      <c r="AH610" s="532" t="e">
        <f>IF(NFI_Expiration=1,IF(#REF!&lt;VLOOKUP(Q$5,NFI,5,0),1,0)*Table_NFI[[#This Row],[Kitchen Set]],Table_NFI[Kitchen Set])</f>
        <v>#REF!</v>
      </c>
      <c r="AI610" s="532" t="e">
        <f>IF(NFI_Expiration=1,IF(#REF!&lt;VLOOKUP(R$5,NFI,5,0),1,0)*Table_NFI[[#This Row],[Clothes Kit]],Table_NFI[Clothes Kit])</f>
        <v>#REF!</v>
      </c>
      <c r="AJ610" s="532" t="e">
        <f>IF(NFI_Expiration=1,IF(#REF!&lt;VLOOKUP(S$5,NFI,5,0),1,0)*Table_NFI[[#This Row],[Plastic Bucket]],Table_NFI[Plastic Bucket])</f>
        <v>#REF!</v>
      </c>
      <c r="AK610" s="532" t="e">
        <f>IF(NFI_Expiration=1,IF(#REF!&lt;VLOOKUP(T$5,NFI,5,0),1,0)*Table_NFI[[#This Row],[Plastic Mat]],Table_NFI[Plastic Mat])*IF(Table_NFI[[#This Row],[Distribution Date]]&gt;"2014-04-01",1,2.5)</f>
        <v>#REF!</v>
      </c>
      <c r="AL610" s="532" t="e">
        <f>IF(NFI_Expiration=1,IF(#REF!&lt;VLOOKUP(U$5,NFI,5,0),1,0)*Table_NFI[[#This Row],[Winter Clothes Adult]],Table_NFI[Winter Clothes Adult])</f>
        <v>#REF!</v>
      </c>
      <c r="AM610" s="532"/>
      <c r="AN610" s="532"/>
      <c r="AO610" s="532"/>
      <c r="AP610" s="532">
        <f>IF(Table_NFI[[#This Row],[Winter Clothes Adult]]+Table_NFI[[#This Row],[Winter Clothes Children]]+Table_NFI[[#This Row],[Winter Items Other]]+Table_NFI[[#This Row],[Winter Blanket]]&gt;0,1,0)</f>
        <v>0</v>
      </c>
      <c r="AQ610" s="532"/>
      <c r="AR610" s="532"/>
      <c r="AS610" s="532"/>
      <c r="AT610" s="532"/>
      <c r="AU610" s="532"/>
      <c r="AV610" s="532"/>
      <c r="AW610" s="532"/>
      <c r="AX610" s="203" t="str">
        <f>IFERROR(VLOOKUP(Table_NFI[[#This Row],[Location]],CL,2,0),"")</f>
        <v>MMR001CMP050</v>
      </c>
      <c r="AY610" s="181" t="s">
        <v>2092</v>
      </c>
    </row>
    <row r="611" spans="2:51" x14ac:dyDescent="0.3">
      <c r="B611" s="530">
        <v>43585</v>
      </c>
      <c r="C611" s="530" t="str">
        <f>MONTH(Table_NFI[[#This Row],[Distribution Date]]) &amp; "/" &amp; YEAR(Table_NFI[[#This Row],[Distribution Date]])</f>
        <v>4/2019</v>
      </c>
      <c r="D611" s="196" t="s">
        <v>420</v>
      </c>
      <c r="E611" s="196" t="s">
        <v>462</v>
      </c>
      <c r="F611" s="196" t="s">
        <v>378</v>
      </c>
      <c r="G611" s="196" t="s">
        <v>237</v>
      </c>
      <c r="H611" s="196" t="s">
        <v>248</v>
      </c>
      <c r="I611" s="181"/>
      <c r="J611" s="531"/>
      <c r="K611" s="531"/>
      <c r="L611" s="531"/>
      <c r="M611" s="531"/>
      <c r="N611" s="531"/>
      <c r="O611" s="531"/>
      <c r="P611" s="531"/>
      <c r="Q611" s="531"/>
      <c r="R611" s="531"/>
      <c r="S611" s="531"/>
      <c r="T611" s="531"/>
      <c r="U611" s="531">
        <v>48</v>
      </c>
      <c r="V611" s="531">
        <v>49</v>
      </c>
      <c r="W611" s="531"/>
      <c r="X611" s="531"/>
      <c r="Y611" s="531"/>
      <c r="Z611" s="531"/>
      <c r="AA611" s="531"/>
      <c r="AB611" s="531"/>
      <c r="AC611" s="532" t="e">
        <f>IF(NFI_Expiration=1,IF(#REF!&lt;VLOOKUP(L$5,NFI,5,0),1,0)*Table_NFI[[#This Row],[NFI Core Kit]],Table_NFI[NFI Core Kit])</f>
        <v>#REF!</v>
      </c>
      <c r="AD611" s="532" t="e">
        <f>IF(NFI_Expiration=1,IF(#REF!&lt;VLOOKUP(M$5,NFI,5,0),1,0)*Table_NFI[[#This Row],[Sanitary Kit]],Table_NFI[Sanitary Kit])</f>
        <v>#REF!</v>
      </c>
      <c r="AE611" s="532" t="e">
        <f>IF(NFI_Expiration=1,IF(#REF!&lt;VLOOKUP(N$5,NFI,5,0),1,0)*Table_NFI[[#This Row],[Mosquito net]],Table_NFI[Mosquito net])</f>
        <v>#REF!</v>
      </c>
      <c r="AF611" s="532" t="e">
        <f>IF(NFI_Expiration=1,IF(#REF!&lt;VLOOKUP(O$5,NFI,5,0),1,0)*Table_NFI[[#This Row],[Tarpaulin]],Table_NFI[[#This Row],[Tarpaulin]])</f>
        <v>#REF!</v>
      </c>
      <c r="AG611" s="532" t="e">
        <f>IF(NFI_Expiration=1,IF(#REF!&lt;VLOOKUP(P$5,NFI,5,0),1,0)*Table_NFI[[#This Row],[Blanket]],Table_NFI[[#This Row],[Blanket]])</f>
        <v>#REF!</v>
      </c>
      <c r="AH611" s="532" t="e">
        <f>IF(NFI_Expiration=1,IF(#REF!&lt;VLOOKUP(Q$5,NFI,5,0),1,0)*Table_NFI[[#This Row],[Kitchen Set]],Table_NFI[Kitchen Set])</f>
        <v>#REF!</v>
      </c>
      <c r="AI611" s="532" t="e">
        <f>IF(NFI_Expiration=1,IF(#REF!&lt;VLOOKUP(R$5,NFI,5,0),1,0)*Table_NFI[[#This Row],[Clothes Kit]],Table_NFI[Clothes Kit])</f>
        <v>#REF!</v>
      </c>
      <c r="AJ611" s="532" t="e">
        <f>IF(NFI_Expiration=1,IF(#REF!&lt;VLOOKUP(S$5,NFI,5,0),1,0)*Table_NFI[[#This Row],[Plastic Bucket]],Table_NFI[Plastic Bucket])</f>
        <v>#REF!</v>
      </c>
      <c r="AK611" s="532" t="e">
        <f>IF(NFI_Expiration=1,IF(#REF!&lt;VLOOKUP(T$5,NFI,5,0),1,0)*Table_NFI[[#This Row],[Plastic Mat]],Table_NFI[Plastic Mat])*IF(Table_NFI[[#This Row],[Distribution Date]]&gt;"2014-04-01",1,2.5)</f>
        <v>#REF!</v>
      </c>
      <c r="AL611" s="532" t="e">
        <f>IF(NFI_Expiration=1,IF(#REF!&lt;VLOOKUP(U$5,NFI,5,0),1,0)*Table_NFI[[#This Row],[Winter Clothes Adult]],Table_NFI[Winter Clothes Adult])</f>
        <v>#REF!</v>
      </c>
      <c r="AM611" s="532"/>
      <c r="AN611" s="532"/>
      <c r="AO611" s="532"/>
      <c r="AP611" s="532">
        <f>IF(Table_NFI[[#This Row],[Winter Clothes Adult]]+Table_NFI[[#This Row],[Winter Clothes Children]]+Table_NFI[[#This Row],[Winter Items Other]]+Table_NFI[[#This Row],[Winter Blanket]]&gt;0,1,0)</f>
        <v>1</v>
      </c>
      <c r="AQ611" s="532"/>
      <c r="AR611" s="532"/>
      <c r="AS611" s="532"/>
      <c r="AT611" s="532"/>
      <c r="AU611" s="532"/>
      <c r="AV611" s="532"/>
      <c r="AW611" s="532"/>
      <c r="AX611" s="203" t="str">
        <f>IFERROR(VLOOKUP(Table_NFI[[#This Row],[Location]],CL,2,0),"")</f>
        <v>MMR001CMP004</v>
      </c>
    </row>
  </sheetData>
  <mergeCells count="11">
    <mergeCell ref="AD2:AL2"/>
    <mergeCell ref="AM2:AW2"/>
    <mergeCell ref="M3:T3"/>
    <mergeCell ref="U3:AC3"/>
    <mergeCell ref="AD3:AL3"/>
    <mergeCell ref="AM3:AW3"/>
    <mergeCell ref="B4:E4"/>
    <mergeCell ref="B2:L2"/>
    <mergeCell ref="B3:L3"/>
    <mergeCell ref="M2:T2"/>
    <mergeCell ref="U2:AC2"/>
  </mergeCells>
  <conditionalFormatting sqref="AX53:AX114">
    <cfRule type="containsText" dxfId="133" priority="68" operator="containsText" text="close">
      <formula>NOT(ISERROR(SEARCH("close",AX53)))</formula>
    </cfRule>
    <cfRule type="containsText" dxfId="132" priority="69" operator="containsText" text="open">
      <formula>NOT(ISERROR(SEARCH("open",AX53)))</formula>
    </cfRule>
  </conditionalFormatting>
  <printOptions gridLines="1"/>
  <pageMargins left="0.25" right="0.25" top="0.75" bottom="0.75" header="0.3" footer="0.3"/>
  <pageSetup paperSize="9" scale="24" orientation="landscape" r:id="rId1"/>
  <drawing r:id="rId2"/>
  <legacyDrawing r:id="rId3"/>
  <tableParts count="1">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T168"/>
  <sheetViews>
    <sheetView zoomScale="80" zoomScaleNormal="80" workbookViewId="0">
      <selection activeCell="J37" sqref="J37"/>
    </sheetView>
  </sheetViews>
  <sheetFormatPr defaultRowHeight="14.4" x14ac:dyDescent="0.3"/>
  <cols>
    <col min="1" max="1" width="19.6640625" style="38" customWidth="1"/>
    <col min="2" max="2" width="11.88671875" customWidth="1"/>
    <col min="3" max="3" width="38.6640625" customWidth="1"/>
    <col min="4" max="4" width="11.5546875" bestFit="1" customWidth="1"/>
    <col min="5" max="5" width="10.6640625" customWidth="1"/>
    <col min="6" max="6" width="7.6640625" customWidth="1"/>
    <col min="7" max="7" width="23.44140625" customWidth="1"/>
    <col min="8" max="8" width="20.33203125" customWidth="1"/>
    <col min="9" max="9" width="19" bestFit="1" customWidth="1"/>
    <col min="10" max="10" width="14.6640625" bestFit="1" customWidth="1"/>
    <col min="11" max="11" width="17" customWidth="1"/>
    <col min="12" max="12" width="17.44140625" customWidth="1"/>
    <col min="13" max="13" width="13" style="45" customWidth="1"/>
    <col min="14" max="14" width="11.109375" customWidth="1"/>
    <col min="17" max="17" width="14.109375" customWidth="1"/>
    <col min="18" max="18" width="21.6640625" customWidth="1"/>
    <col min="19" max="19" width="21.44140625" customWidth="1"/>
    <col min="20" max="20" width="21.5546875" customWidth="1"/>
    <col min="21" max="21" width="6" customWidth="1"/>
    <col min="22" max="22" width="21.109375" bestFit="1" customWidth="1"/>
    <col min="23" max="23" width="6" customWidth="1"/>
    <col min="24" max="24" width="26.5546875" bestFit="1" customWidth="1"/>
    <col min="25" max="26" width="26.33203125" bestFit="1" customWidth="1"/>
  </cols>
  <sheetData>
    <row r="1" spans="1:20" s="40" customFormat="1" ht="28.8" x14ac:dyDescent="0.3">
      <c r="A1" s="119" t="s">
        <v>511</v>
      </c>
      <c r="B1" s="120" t="s">
        <v>924</v>
      </c>
      <c r="C1" s="120" t="s">
        <v>507</v>
      </c>
      <c r="D1" s="120" t="s">
        <v>0</v>
      </c>
      <c r="E1" s="120" t="s">
        <v>2</v>
      </c>
      <c r="F1" s="120" t="s">
        <v>925</v>
      </c>
      <c r="G1" s="120" t="s">
        <v>860</v>
      </c>
      <c r="H1" s="120" t="s">
        <v>861</v>
      </c>
      <c r="I1" s="120" t="s">
        <v>862</v>
      </c>
      <c r="J1" s="120" t="s">
        <v>926</v>
      </c>
      <c r="K1" s="120" t="s">
        <v>928</v>
      </c>
      <c r="L1" s="120" t="s">
        <v>927</v>
      </c>
      <c r="M1" s="121" t="s">
        <v>935</v>
      </c>
      <c r="N1" s="122" t="s">
        <v>932</v>
      </c>
      <c r="Q1" s="40">
        <f>SUM(N:N)</f>
        <v>0</v>
      </c>
      <c r="R1" s="40">
        <f>COUNTA(A:A)-1</f>
        <v>167</v>
      </c>
    </row>
    <row r="2" spans="1:20" x14ac:dyDescent="0.3">
      <c r="A2" s="102" t="s">
        <v>30</v>
      </c>
      <c r="B2" s="7" t="e">
        <f ca="1">OFFSET(#REF!,MATCH(Table10[[#This Row],[Pcode]],CampList[CP_Pcode],0)-1,0,1,1)</f>
        <v>#REF!</v>
      </c>
      <c r="C2" s="7" t="str">
        <f ca="1">OFFSET(CampList[Camp],MATCH(Table10[[#This Row],[Pcode]],CampList[CP_Pcode],0)-1,0,1,1)</f>
        <v>Chipwi KBC camp</v>
      </c>
      <c r="D2" s="7" t="str">
        <f ca="1">OFFSET(CampList[Township],MATCH(Table10[[#This Row],[Pcode]],CampList[CP_Pcode],0)-1,0,1,1)</f>
        <v>Chipwi</v>
      </c>
      <c r="E2" s="7">
        <f ca="1">OFFSET(CampList[HH],MATCH(Table10[[#This Row],[Pcode]],CampList[CP_Pcode],0)-1,0,1,1)</f>
        <v>163</v>
      </c>
      <c r="F2" s="7">
        <f ca="1">OFFSET(CampList[Total],MATCH(Table10[[#This Row],[Pcode]],CampList[CP_Pcode],0)-1,0,1,1)</f>
        <v>830</v>
      </c>
      <c r="G2" s="106">
        <f>SUMIF('NFI Distributions'!AW$53:AW$1048576,Table10[[#This Row],[Pcode]],'NFI Distributions'!AL$53:AL$1048576)</f>
        <v>0</v>
      </c>
      <c r="H2" s="106">
        <f>SUMIF('NFI Distributions'!AW$53:AW$1048576,Table10[[#This Row],[Pcode]],'NFI Distributions'!AM$53:AM$1048576)</f>
        <v>0</v>
      </c>
      <c r="I2" s="106">
        <f>SUMIF('NFI Distributions'!AW$53:AW$1048576,Table10[[#This Row],[Pcode]],'NFI Distributions'!AN$53:AN$1048576)</f>
        <v>0</v>
      </c>
      <c r="J2" s="106">
        <f ca="1">MAX(Table10[[#This Row],[HH]]*VLOOKUP("Winter Clothes Adult",NFI,6)-Table10[[#This Row],[Winter Clothes Adult ]],0)</f>
        <v>326</v>
      </c>
      <c r="K2" s="106">
        <f ca="1">MAX(Table10[[#This Row],[HH]]*VLOOKUP("Winter Clothes Children ",NFI,6)-Table10[[#This Row],[Winter Clothes Children ]],0)</f>
        <v>163</v>
      </c>
      <c r="L2" s="106">
        <f ca="1">MAX(Table10[[#This Row],[HH]]*VLOOKUP("Winter Items Other ",NFI,6)-Table10[[#This Row],[Winter Items Other ]],0)</f>
        <v>163</v>
      </c>
      <c r="M2" s="114" t="str">
        <f>IF(OR(Table10[[#This Row],[Winter Clothes Adult ]]&lt;&gt;0,Table10[[#This Row],[Winter Clothes Children ]]&lt;&gt;0,Table10[[#This Row],[Winter Items Other ]]&lt;&gt;0),"No","")</f>
        <v/>
      </c>
      <c r="N2" s="115">
        <f>COUNTIF(A:A,Table10[[#This Row],[Pcode]])-1</f>
        <v>0</v>
      </c>
    </row>
    <row r="3" spans="1:20" x14ac:dyDescent="0.3">
      <c r="A3" s="102" t="s">
        <v>31</v>
      </c>
      <c r="B3" s="7" t="e">
        <f ca="1">OFFSET(#REF!,MATCH(Table10[[#This Row],[Pcode]],CampList[CP_Pcode],0)-1,0,1,1)</f>
        <v>#REF!</v>
      </c>
      <c r="C3" s="7" t="str">
        <f ca="1">OFFSET(CampList[Camp],MATCH(Table10[[#This Row],[Pcode]],CampList[CP_Pcode],0)-1,0,1,1)</f>
        <v>Gant Gwin</v>
      </c>
      <c r="D3" s="7" t="str">
        <f ca="1">OFFSET(CampList[Township],MATCH(Table10[[#This Row],[Pcode]],CampList[CP_Pcode],0)-1,0,1,1)</f>
        <v>Chipwi</v>
      </c>
      <c r="E3" s="7">
        <f ca="1">OFFSET(CampList[HH],MATCH(Table10[[#This Row],[Pcode]],CampList[CP_Pcode],0)-1,0,1,1)</f>
        <v>0</v>
      </c>
      <c r="F3" s="7">
        <f ca="1">OFFSET(CampList[Total],MATCH(Table10[[#This Row],[Pcode]],CampList[CP_Pcode],0)-1,0,1,1)</f>
        <v>0</v>
      </c>
      <c r="G3" s="106">
        <f>SUMIF('NFI Distributions'!AW$53:AW$1048576,Table10[[#This Row],[Pcode]],'NFI Distributions'!AL$53:AL$1048576)</f>
        <v>0</v>
      </c>
      <c r="H3" s="106">
        <f>SUMIF('NFI Distributions'!AW$53:AW$1048576,Table10[[#This Row],[Pcode]],'NFI Distributions'!AM$53:AM$1048576)</f>
        <v>0</v>
      </c>
      <c r="I3" s="106">
        <f>SUMIF('NFI Distributions'!AW$53:AW$1048576,Table10[[#This Row],[Pcode]],'NFI Distributions'!AN$53:AN$1048576)</f>
        <v>0</v>
      </c>
      <c r="J3" s="106">
        <f ca="1">MAX(Table10[[#This Row],[HH]]*VLOOKUP("Winter Clothes Adult",NFI,6)-Table10[[#This Row],[Winter Clothes Adult ]],0)</f>
        <v>0</v>
      </c>
      <c r="K3" s="106">
        <f ca="1">MAX(Table10[[#This Row],[HH]]*VLOOKUP("Winter Clothes Children ",NFI,6)-Table10[[#This Row],[Winter Clothes Children ]],0)</f>
        <v>0</v>
      </c>
      <c r="L3" s="106">
        <f ca="1">MAX(Table10[[#This Row],[HH]]*VLOOKUP("Winter Items Other ",NFI,6)-Table10[[#This Row],[Winter Items Other ]],0)</f>
        <v>0</v>
      </c>
      <c r="M3" s="114" t="str">
        <f>IF(OR(Table10[[#This Row],[Winter Clothes Adult ]]&lt;&gt;0,Table10[[#This Row],[Winter Clothes Children ]]&lt;&gt;0,Table10[[#This Row],[Winter Items Other ]]&lt;&gt;0),"No","")</f>
        <v/>
      </c>
      <c r="N3" s="115">
        <f>COUNTIF(A:A,Table10[[#This Row],[Pcode]])-1</f>
        <v>0</v>
      </c>
    </row>
    <row r="4" spans="1:20" x14ac:dyDescent="0.3">
      <c r="A4" s="102" t="s">
        <v>29</v>
      </c>
      <c r="B4" s="7" t="e">
        <f ca="1">OFFSET(#REF!,MATCH(Table10[[#This Row],[Pcode]],CampList[CP_Pcode],0)-1,0,1,1)</f>
        <v>#REF!</v>
      </c>
      <c r="C4" s="7" t="str">
        <f ca="1">OFFSET(CampList[Camp],MATCH(Table10[[#This Row],[Pcode]],CampList[CP_Pcode],0)-1,0,1,1)</f>
        <v>Hpare Hkyer - BP6</v>
      </c>
      <c r="D4" s="7" t="str">
        <f ca="1">OFFSET(CampList[Township],MATCH(Table10[[#This Row],[Pcode]],CampList[CP_Pcode],0)-1,0,1,1)</f>
        <v>Chipwi</v>
      </c>
      <c r="E4" s="7">
        <f ca="1">OFFSET(CampList[HH],MATCH(Table10[[#This Row],[Pcode]],CampList[CP_Pcode],0)-1,0,1,1)</f>
        <v>163</v>
      </c>
      <c r="F4" s="7">
        <f ca="1">OFFSET(CampList[Total],MATCH(Table10[[#This Row],[Pcode]],CampList[CP_Pcode],0)-1,0,1,1)</f>
        <v>967</v>
      </c>
      <c r="G4" s="106">
        <f>SUMIF('NFI Distributions'!AW$53:AW$1048576,Table10[[#This Row],[Pcode]],'NFI Distributions'!AL$53:AL$1048576)</f>
        <v>0</v>
      </c>
      <c r="H4" s="106">
        <f>SUMIF('NFI Distributions'!AW$53:AW$1048576,Table10[[#This Row],[Pcode]],'NFI Distributions'!AM$53:AM$1048576)</f>
        <v>0</v>
      </c>
      <c r="I4" s="106">
        <f>SUMIF('NFI Distributions'!AW$53:AW$1048576,Table10[[#This Row],[Pcode]],'NFI Distributions'!AN$53:AN$1048576)</f>
        <v>0</v>
      </c>
      <c r="J4" s="106">
        <f ca="1">MAX(Table10[[#This Row],[HH]]*VLOOKUP("Winter Clothes Adult",NFI,6)-Table10[[#This Row],[Winter Clothes Adult ]],0)</f>
        <v>326</v>
      </c>
      <c r="K4" s="106">
        <f ca="1">MAX(Table10[[#This Row],[HH]]*VLOOKUP("Winter Clothes Children ",NFI,6)-Table10[[#This Row],[Winter Clothes Children ]],0)</f>
        <v>163</v>
      </c>
      <c r="L4" s="106">
        <f ca="1">MAX(Table10[[#This Row],[HH]]*VLOOKUP("Winter Items Other ",NFI,6)-Table10[[#This Row],[Winter Items Other ]],0)</f>
        <v>163</v>
      </c>
      <c r="M4" s="114" t="str">
        <f>IF(OR(Table10[[#This Row],[Winter Clothes Adult ]]&lt;&gt;0,Table10[[#This Row],[Winter Clothes Children ]]&lt;&gt;0,Table10[[#This Row],[Winter Items Other ]]&lt;&gt;0),"No","")</f>
        <v/>
      </c>
      <c r="N4" s="115">
        <f>COUNTIF(A:A,Table10[[#This Row],[Pcode]])-1</f>
        <v>0</v>
      </c>
    </row>
    <row r="5" spans="1:20" x14ac:dyDescent="0.3">
      <c r="A5" s="102" t="s">
        <v>33</v>
      </c>
      <c r="B5" s="7" t="e">
        <f ca="1">OFFSET(#REF!,MATCH(Table10[[#This Row],[Pcode]],CampList[CP_Pcode],0)-1,0,1,1)</f>
        <v>#REF!</v>
      </c>
      <c r="C5" s="7" t="str">
        <f ca="1">OFFSET(CampList[Camp],MATCH(Table10[[#This Row],[Pcode]],CampList[CP_Pcode],0)-1,0,1,1)</f>
        <v xml:space="preserve">Lan Jaw </v>
      </c>
      <c r="D5" s="7" t="str">
        <f ca="1">OFFSET(CampList[Township],MATCH(Table10[[#This Row],[Pcode]],CampList[CP_Pcode],0)-1,0,1,1)</f>
        <v>Chipwi</v>
      </c>
      <c r="E5" s="7">
        <f ca="1">OFFSET(CampList[HH],MATCH(Table10[[#This Row],[Pcode]],CampList[CP_Pcode],0)-1,0,1,1)</f>
        <v>0</v>
      </c>
      <c r="F5" s="7">
        <f ca="1">OFFSET(CampList[Total],MATCH(Table10[[#This Row],[Pcode]],CampList[CP_Pcode],0)-1,0,1,1)</f>
        <v>0</v>
      </c>
      <c r="G5" s="106">
        <f>SUMIF('NFI Distributions'!AW$53:AW$1048576,Table10[[#This Row],[Pcode]],'NFI Distributions'!AL$53:AL$1048576)</f>
        <v>0</v>
      </c>
      <c r="H5" s="106">
        <f>SUMIF('NFI Distributions'!AW$53:AW$1048576,Table10[[#This Row],[Pcode]],'NFI Distributions'!AM$53:AM$1048576)</f>
        <v>0</v>
      </c>
      <c r="I5" s="106">
        <f>SUMIF('NFI Distributions'!AW$53:AW$1048576,Table10[[#This Row],[Pcode]],'NFI Distributions'!AN$53:AN$1048576)</f>
        <v>0</v>
      </c>
      <c r="J5" s="106">
        <f ca="1">MAX(Table10[[#This Row],[HH]]*VLOOKUP("Winter Clothes Adult",NFI,6)-Table10[[#This Row],[Winter Clothes Adult ]],0)</f>
        <v>0</v>
      </c>
      <c r="K5" s="106">
        <f ca="1">MAX(Table10[[#This Row],[HH]]*VLOOKUP("Winter Clothes Children ",NFI,6)-Table10[[#This Row],[Winter Clothes Children ]],0)</f>
        <v>0</v>
      </c>
      <c r="L5" s="106">
        <f ca="1">MAX(Table10[[#This Row],[HH]]*VLOOKUP("Winter Items Other ",NFI,6)-Table10[[#This Row],[Winter Items Other ]],0)</f>
        <v>0</v>
      </c>
      <c r="M5" s="114" t="str">
        <f>IF(OR(Table10[[#This Row],[Winter Clothes Adult ]]&lt;&gt;0,Table10[[#This Row],[Winter Clothes Children ]]&lt;&gt;0,Table10[[#This Row],[Winter Items Other ]]&lt;&gt;0),"No","")</f>
        <v/>
      </c>
      <c r="N5" s="115">
        <f>COUNTIF(A:A,Table10[[#This Row],[Pcode]])-1</f>
        <v>0</v>
      </c>
    </row>
    <row r="6" spans="1:20" x14ac:dyDescent="0.3">
      <c r="A6" s="102" t="s">
        <v>376</v>
      </c>
      <c r="B6" s="7" t="e">
        <f ca="1">OFFSET(#REF!,MATCH(Table10[[#This Row],[Pcode]],CampList[CP_Pcode],0)-1,0,1,1)</f>
        <v>#REF!</v>
      </c>
      <c r="C6" s="7" t="str">
        <f ca="1">OFFSET(CampList[Camp],MATCH(Table10[[#This Row],[Pcode]],CampList[CP_Pcode],0)-1,0,1,1)</f>
        <v>Lhaovao Baptist Church (LBC)</v>
      </c>
      <c r="D6" s="7" t="str">
        <f ca="1">OFFSET(CampList[Township],MATCH(Table10[[#This Row],[Pcode]],CampList[CP_Pcode],0)-1,0,1,1)</f>
        <v>Chipwi</v>
      </c>
      <c r="E6" s="7">
        <f ca="1">OFFSET(CampList[HH],MATCH(Table10[[#This Row],[Pcode]],CampList[CP_Pcode],0)-1,0,1,1)</f>
        <v>206</v>
      </c>
      <c r="F6" s="7">
        <f ca="1">OFFSET(CampList[Total],MATCH(Table10[[#This Row],[Pcode]],CampList[CP_Pcode],0)-1,0,1,1)</f>
        <v>856</v>
      </c>
      <c r="G6" s="106">
        <f>SUMIF('NFI Distributions'!AW$53:AW$1048576,Table10[[#This Row],[Pcode]],'NFI Distributions'!AL$53:AL$1048576)</f>
        <v>0</v>
      </c>
      <c r="H6" s="106">
        <f>SUMIF('NFI Distributions'!AW$53:AW$1048576,Table10[[#This Row],[Pcode]],'NFI Distributions'!AM$53:AM$1048576)</f>
        <v>0</v>
      </c>
      <c r="I6" s="106">
        <f>SUMIF('NFI Distributions'!AW$53:AW$1048576,Table10[[#This Row],[Pcode]],'NFI Distributions'!AN$53:AN$1048576)</f>
        <v>0</v>
      </c>
      <c r="J6" s="106">
        <f ca="1">MAX(Table10[[#This Row],[HH]]*VLOOKUP("Winter Clothes Adult",NFI,6)-Table10[[#This Row],[Winter Clothes Adult ]],0)</f>
        <v>412</v>
      </c>
      <c r="K6" s="106">
        <f ca="1">MAX(Table10[[#This Row],[HH]]*VLOOKUP("Winter Clothes Children ",NFI,6)-Table10[[#This Row],[Winter Clothes Children ]],0)</f>
        <v>206</v>
      </c>
      <c r="L6" s="106">
        <f ca="1">MAX(Table10[[#This Row],[HH]]*VLOOKUP("Winter Items Other ",NFI,6)-Table10[[#This Row],[Winter Items Other ]],0)</f>
        <v>206</v>
      </c>
      <c r="M6" s="114" t="str">
        <f>IF(OR(Table10[[#This Row],[Winter Clothes Adult ]]&lt;&gt;0,Table10[[#This Row],[Winter Clothes Children ]]&lt;&gt;0,Table10[[#This Row],[Winter Items Other ]]&lt;&gt;0),"No","")</f>
        <v/>
      </c>
      <c r="N6" s="115">
        <f>COUNTIF(A:A,Table10[[#This Row],[Pcode]])-1</f>
        <v>0</v>
      </c>
    </row>
    <row r="7" spans="1:20" x14ac:dyDescent="0.3">
      <c r="A7" s="102" t="s">
        <v>874</v>
      </c>
      <c r="B7" s="7" t="e">
        <f ca="1">OFFSET(#REF!,MATCH(Table10[[#This Row],[Pcode]],CampList[CP_Pcode],0)-1,0,1,1)</f>
        <v>#REF!</v>
      </c>
      <c r="C7" s="7" t="str">
        <f ca="1">OFFSET(CampList[Camp],MATCH(Table10[[#This Row],[Pcode]],CampList[CP_Pcode],0)-1,0,1,1)</f>
        <v>Saw Zam</v>
      </c>
      <c r="D7" s="7" t="str">
        <f ca="1">OFFSET(CampList[Township],MATCH(Table10[[#This Row],[Pcode]],CampList[CP_Pcode],0)-1,0,1,1)</f>
        <v>Chipwi</v>
      </c>
      <c r="E7" s="7">
        <f ca="1">OFFSET(CampList[HH],MATCH(Table10[[#This Row],[Pcode]],CampList[CP_Pcode],0)-1,0,1,1)</f>
        <v>32</v>
      </c>
      <c r="F7" s="7">
        <f ca="1">OFFSET(CampList[Total],MATCH(Table10[[#This Row],[Pcode]],CampList[CP_Pcode],0)-1,0,1,1)</f>
        <v>167</v>
      </c>
      <c r="G7" s="106">
        <f>SUMIF('NFI Distributions'!AW$53:AW$1048576,Table10[[#This Row],[Pcode]],'NFI Distributions'!AL$53:AL$1048576)</f>
        <v>0</v>
      </c>
      <c r="H7" s="106">
        <f>SUMIF('NFI Distributions'!AW$53:AW$1048576,Table10[[#This Row],[Pcode]],'NFI Distributions'!AM$53:AM$1048576)</f>
        <v>0</v>
      </c>
      <c r="I7" s="106">
        <f>SUMIF('NFI Distributions'!AW$53:AW$1048576,Table10[[#This Row],[Pcode]],'NFI Distributions'!AN$53:AN$1048576)</f>
        <v>0</v>
      </c>
      <c r="J7" s="106">
        <f ca="1">MAX(Table10[[#This Row],[HH]]*VLOOKUP("Winter Clothes Adult",NFI,6)-Table10[[#This Row],[Winter Clothes Adult ]],0)</f>
        <v>64</v>
      </c>
      <c r="K7" s="106">
        <f ca="1">MAX(Table10[[#This Row],[HH]]*VLOOKUP("Winter Clothes Children ",NFI,6)-Table10[[#This Row],[Winter Clothes Children ]],0)</f>
        <v>32</v>
      </c>
      <c r="L7" s="106">
        <f ca="1">MAX(Table10[[#This Row],[HH]]*VLOOKUP("Winter Items Other ",NFI,6)-Table10[[#This Row],[Winter Items Other ]],0)</f>
        <v>32</v>
      </c>
      <c r="M7" s="114" t="str">
        <f>IF(OR(Table10[[#This Row],[Winter Clothes Adult ]]&lt;&gt;0,Table10[[#This Row],[Winter Clothes Children ]]&lt;&gt;0,Table10[[#This Row],[Winter Items Other ]]&lt;&gt;0),"No","")</f>
        <v/>
      </c>
      <c r="N7" s="115">
        <f>COUNTIF(A:A,Table10[[#This Row],[Pcode]])-1</f>
        <v>0</v>
      </c>
    </row>
    <row r="8" spans="1:20" x14ac:dyDescent="0.3">
      <c r="A8" s="102" t="s">
        <v>789</v>
      </c>
      <c r="B8" s="7" t="e">
        <f ca="1">OFFSET(#REF!,MATCH(Table10[[#This Row],[Pcode]],CampList[CP_Pcode],0)-1,0,1,1)</f>
        <v>#REF!</v>
      </c>
      <c r="C8" s="7" t="str">
        <f ca="1">OFFSET(CampList[Camp],MATCH(Table10[[#This Row],[Pcode]],CampList[CP_Pcode],0)-1,0,1,1)</f>
        <v>Pan Wa</v>
      </c>
      <c r="D8" s="7" t="str">
        <f ca="1">OFFSET(CampList[Township],MATCH(Table10[[#This Row],[Pcode]],CampList[CP_Pcode],0)-1,0,1,1)</f>
        <v>Chipwi</v>
      </c>
      <c r="E8" s="7">
        <f ca="1">OFFSET(CampList[HH],MATCH(Table10[[#This Row],[Pcode]],CampList[CP_Pcode],0)-1,0,1,1)</f>
        <v>57</v>
      </c>
      <c r="F8" s="7">
        <f ca="1">OFFSET(CampList[Total],MATCH(Table10[[#This Row],[Pcode]],CampList[CP_Pcode],0)-1,0,1,1)</f>
        <v>274</v>
      </c>
      <c r="G8" s="106">
        <f>SUMIF('NFI Distributions'!AW$53:AW$1048576,Table10[[#This Row],[Pcode]],'NFI Distributions'!AL$53:AL$1048576)</f>
        <v>0</v>
      </c>
      <c r="H8" s="106">
        <f>SUMIF('NFI Distributions'!AW$53:AW$1048576,Table10[[#This Row],[Pcode]],'NFI Distributions'!AM$53:AM$1048576)</f>
        <v>0</v>
      </c>
      <c r="I8" s="106">
        <f>SUMIF('NFI Distributions'!AW$53:AW$1048576,Table10[[#This Row],[Pcode]],'NFI Distributions'!AN$53:AN$1048576)</f>
        <v>0</v>
      </c>
      <c r="J8" s="106">
        <f ca="1">MAX(Table10[[#This Row],[HH]]*VLOOKUP("Winter Clothes Adult",NFI,6)-Table10[[#This Row],[Winter Clothes Adult ]],0)</f>
        <v>114</v>
      </c>
      <c r="K8" s="106">
        <f ca="1">MAX(Table10[[#This Row],[HH]]*VLOOKUP("Winter Clothes Children ",NFI,6)-Table10[[#This Row],[Winter Clothes Children ]],0)</f>
        <v>57</v>
      </c>
      <c r="L8" s="106">
        <f ca="1">MAX(Table10[[#This Row],[HH]]*VLOOKUP("Winter Items Other ",NFI,6)-Table10[[#This Row],[Winter Items Other ]],0)</f>
        <v>57</v>
      </c>
      <c r="M8" s="114" t="str">
        <f>IF(OR(Table10[[#This Row],[Winter Clothes Adult ]]&lt;&gt;0,Table10[[#This Row],[Winter Clothes Children ]]&lt;&gt;0,Table10[[#This Row],[Winter Items Other ]]&lt;&gt;0),"No","")</f>
        <v/>
      </c>
      <c r="N8" s="115">
        <f>COUNTIF(A:A,Table10[[#This Row],[Pcode]])-1</f>
        <v>0</v>
      </c>
    </row>
    <row r="9" spans="1:20" x14ac:dyDescent="0.3">
      <c r="A9" s="102" t="s">
        <v>334</v>
      </c>
      <c r="B9" s="7" t="e">
        <f ca="1">OFFSET(#REF!,MATCH(Table10[[#This Row],[Pcode]],CampList[CP_Pcode],0)-1,0,1,1)</f>
        <v>#REF!</v>
      </c>
      <c r="C9" s="7" t="str">
        <f ca="1">OFFSET(CampList[Camp],MATCH(Table10[[#This Row],[Pcode]],CampList[CP_Pcode],0)-1,0,1,1)</f>
        <v>Hkau Shau (BP 12)</v>
      </c>
      <c r="D9" s="7" t="str">
        <f ca="1">OFFSET(CampList[Township],MATCH(Table10[[#This Row],[Pcode]],CampList[CP_Pcode],0)-1,0,1,1)</f>
        <v>Waingmaw</v>
      </c>
      <c r="E9" s="7">
        <f ca="1">OFFSET(CampList[HH],MATCH(Table10[[#This Row],[Pcode]],CampList[CP_Pcode],0)-1,0,1,1)</f>
        <v>136</v>
      </c>
      <c r="F9" s="7">
        <f ca="1">OFFSET(CampList[Total],MATCH(Table10[[#This Row],[Pcode]],CampList[CP_Pcode],0)-1,0,1,1)</f>
        <v>985</v>
      </c>
      <c r="G9" s="106">
        <f>SUMIF('NFI Distributions'!AW$53:AW$1048576,Table10[[#This Row],[Pcode]],'NFI Distributions'!AL$53:AL$1048576)</f>
        <v>0</v>
      </c>
      <c r="H9" s="106">
        <f>SUMIF('NFI Distributions'!AW$53:AW$1048576,Table10[[#This Row],[Pcode]],'NFI Distributions'!AM$53:AM$1048576)</f>
        <v>0</v>
      </c>
      <c r="I9" s="106">
        <f>SUMIF('NFI Distributions'!AW$53:AW$1048576,Table10[[#This Row],[Pcode]],'NFI Distributions'!AN$53:AN$1048576)</f>
        <v>0</v>
      </c>
      <c r="J9" s="106">
        <f ca="1">MAX(Table10[[#This Row],[HH]]*VLOOKUP("Winter Clothes Adult",NFI,6)-Table10[[#This Row],[Winter Clothes Adult ]],0)</f>
        <v>272</v>
      </c>
      <c r="K9" s="106">
        <f ca="1">MAX(Table10[[#This Row],[HH]]*VLOOKUP("Winter Clothes Children ",NFI,6)-Table10[[#This Row],[Winter Clothes Children ]],0)</f>
        <v>136</v>
      </c>
      <c r="L9" s="106">
        <f ca="1">MAX(Table10[[#This Row],[HH]]*VLOOKUP("Winter Items Other ",NFI,6)-Table10[[#This Row],[Winter Items Other ]],0)</f>
        <v>136</v>
      </c>
      <c r="M9" s="114" t="str">
        <f>IF(OR(Table10[[#This Row],[Winter Clothes Adult ]]&lt;&gt;0,Table10[[#This Row],[Winter Clothes Children ]]&lt;&gt;0,Table10[[#This Row],[Winter Items Other ]]&lt;&gt;0),"No","")</f>
        <v/>
      </c>
      <c r="N9" s="115">
        <f>COUNTIF(A:A,Table10[[#This Row],[Pcode]])-1</f>
        <v>0</v>
      </c>
    </row>
    <row r="10" spans="1:20" x14ac:dyDescent="0.3">
      <c r="A10" s="102" t="s">
        <v>343</v>
      </c>
      <c r="B10" s="7" t="e">
        <f ca="1">OFFSET(#REF!,MATCH(Table10[[#This Row],[Pcode]],CampList[CP_Pcode],0)-1,0,1,1)</f>
        <v>#REF!</v>
      </c>
      <c r="C10" s="7" t="str">
        <f ca="1">OFFSET(CampList[Camp],MATCH(Table10[[#This Row],[Pcode]],CampList[CP_Pcode],0)-1,0,1,1)</f>
        <v>Pajau - Jan Mai</v>
      </c>
      <c r="D10" s="7" t="str">
        <f ca="1">OFFSET(CampList[Township],MATCH(Table10[[#This Row],[Pcode]],CampList[CP_Pcode],0)-1,0,1,1)</f>
        <v>Waingmaw</v>
      </c>
      <c r="E10" s="7">
        <f ca="1">OFFSET(CampList[HH],MATCH(Table10[[#This Row],[Pcode]],CampList[CP_Pcode],0)-1,0,1,1)</f>
        <v>185</v>
      </c>
      <c r="F10" s="7">
        <f ca="1">OFFSET(CampList[Total],MATCH(Table10[[#This Row],[Pcode]],CampList[CP_Pcode],0)-1,0,1,1)</f>
        <v>943</v>
      </c>
      <c r="G10" s="106">
        <f>SUMIF('NFI Distributions'!AW$53:AW$1048576,Table10[[#This Row],[Pcode]],'NFI Distributions'!AL$53:AL$1048576)</f>
        <v>0</v>
      </c>
      <c r="H10" s="106">
        <f>SUMIF('NFI Distributions'!AW$53:AW$1048576,Table10[[#This Row],[Pcode]],'NFI Distributions'!AM$53:AM$1048576)</f>
        <v>0</v>
      </c>
      <c r="I10" s="106">
        <f>SUMIF('NFI Distributions'!AW$53:AW$1048576,Table10[[#This Row],[Pcode]],'NFI Distributions'!AN$53:AN$1048576)</f>
        <v>0</v>
      </c>
      <c r="J10" s="106">
        <f ca="1">MAX(Table10[[#This Row],[HH]]*VLOOKUP("Winter Clothes Adult",NFI,6)-Table10[[#This Row],[Winter Clothes Adult ]],0)</f>
        <v>370</v>
      </c>
      <c r="K10" s="106">
        <f ca="1">MAX(Table10[[#This Row],[HH]]*VLOOKUP("Winter Clothes Children ",NFI,6)-Table10[[#This Row],[Winter Clothes Children ]],0)</f>
        <v>185</v>
      </c>
      <c r="L10" s="106">
        <f ca="1">MAX(Table10[[#This Row],[HH]]*VLOOKUP("Winter Items Other ",NFI,6)-Table10[[#This Row],[Winter Items Other ]],0)</f>
        <v>185</v>
      </c>
      <c r="M10" s="114" t="str">
        <f>IF(OR(Table10[[#This Row],[Winter Clothes Adult ]]&lt;&gt;0,Table10[[#This Row],[Winter Clothes Children ]]&lt;&gt;0,Table10[[#This Row],[Winter Items Other ]]&lt;&gt;0),"No","")</f>
        <v/>
      </c>
      <c r="N10" s="115">
        <f>COUNTIF(A:A,Table10[[#This Row],[Pcode]])-1</f>
        <v>0</v>
      </c>
    </row>
    <row r="11" spans="1:20" x14ac:dyDescent="0.3">
      <c r="A11" s="102" t="s">
        <v>352</v>
      </c>
      <c r="B11" s="7" t="e">
        <f ca="1">OFFSET(#REF!,MATCH(Table10[[#This Row],[Pcode]],CampList[CP_Pcode],0)-1,0,1,1)</f>
        <v>#REF!</v>
      </c>
      <c r="C11" s="7" t="str">
        <f ca="1">OFFSET(CampList[Camp],MATCH(Table10[[#This Row],[Pcode]],CampList[CP_Pcode],0)-1,0,1,1)</f>
        <v>Post 6 Camp</v>
      </c>
      <c r="D11" s="7" t="str">
        <f ca="1">OFFSET(CampList[Township],MATCH(Table10[[#This Row],[Pcode]],CampList[CP_Pcode],0)-1,0,1,1)</f>
        <v>Waingmaw</v>
      </c>
      <c r="E11" s="7">
        <f ca="1">OFFSET(CampList[HH],MATCH(Table10[[#This Row],[Pcode]],CampList[CP_Pcode],0)-1,0,1,1)</f>
        <v>79</v>
      </c>
      <c r="F11" s="7">
        <f ca="1">OFFSET(CampList[Total],MATCH(Table10[[#This Row],[Pcode]],CampList[CP_Pcode],0)-1,0,1,1)</f>
        <v>527</v>
      </c>
      <c r="G11" s="106">
        <f>SUMIF('NFI Distributions'!AW$53:AW$1048576,Table10[[#This Row],[Pcode]],'NFI Distributions'!AL$53:AL$1048576)</f>
        <v>0</v>
      </c>
      <c r="H11" s="106">
        <f>SUMIF('NFI Distributions'!AW$53:AW$1048576,Table10[[#This Row],[Pcode]],'NFI Distributions'!AM$53:AM$1048576)</f>
        <v>0</v>
      </c>
      <c r="I11" s="106">
        <f>SUMIF('NFI Distributions'!AW$53:AW$1048576,Table10[[#This Row],[Pcode]],'NFI Distributions'!AN$53:AN$1048576)</f>
        <v>0</v>
      </c>
      <c r="J11" s="106">
        <f ca="1">MAX(Table10[[#This Row],[HH]]*VLOOKUP("Winter Clothes Adult",NFI,6)-Table10[[#This Row],[Winter Clothes Adult ]],0)</f>
        <v>158</v>
      </c>
      <c r="K11" s="106">
        <f ca="1">MAX(Table10[[#This Row],[HH]]*VLOOKUP("Winter Clothes Children ",NFI,6)-Table10[[#This Row],[Winter Clothes Children ]],0)</f>
        <v>79</v>
      </c>
      <c r="L11" s="106">
        <f ca="1">MAX(Table10[[#This Row],[HH]]*VLOOKUP("Winter Items Other ",NFI,6)-Table10[[#This Row],[Winter Items Other ]],0)</f>
        <v>79</v>
      </c>
      <c r="M11" s="114" t="str">
        <f>IF(OR(Table10[[#This Row],[Winter Clothes Adult ]]&lt;&gt;0,Table10[[#This Row],[Winter Clothes Children ]]&lt;&gt;0,Table10[[#This Row],[Winter Items Other ]]&lt;&gt;0),"No","")</f>
        <v/>
      </c>
      <c r="N11" s="115">
        <f>COUNTIF(A:A,Table10[[#This Row],[Pcode]])-1</f>
        <v>0</v>
      </c>
    </row>
    <row r="12" spans="1:20" x14ac:dyDescent="0.3">
      <c r="A12" s="102" t="s">
        <v>332</v>
      </c>
      <c r="B12" s="7" t="e">
        <f ca="1">OFFSET(#REF!,MATCH(Table10[[#This Row],[Pcode]],CampList[CP_Pcode],0)-1,0,1,1)</f>
        <v>#REF!</v>
      </c>
      <c r="C12" s="7" t="str">
        <f ca="1">OFFSET(CampList[Camp],MATCH(Table10[[#This Row],[Pcode]],CampList[CP_Pcode],0)-1,0,1,1)</f>
        <v>Border Post 8</v>
      </c>
      <c r="D12" s="7" t="str">
        <f ca="1">OFFSET(CampList[Township],MATCH(Table10[[#This Row],[Pcode]],CampList[CP_Pcode],0)-1,0,1,1)</f>
        <v>Waingmaw</v>
      </c>
      <c r="E12" s="7">
        <f ca="1">OFFSET(CampList[HH],MATCH(Table10[[#This Row],[Pcode]],CampList[CP_Pcode],0)-1,0,1,1)</f>
        <v>117</v>
      </c>
      <c r="F12" s="7">
        <f ca="1">OFFSET(CampList[Total],MATCH(Table10[[#This Row],[Pcode]],CampList[CP_Pcode],0)-1,0,1,1)</f>
        <v>421</v>
      </c>
      <c r="G12" s="106">
        <f>SUMIF('NFI Distributions'!AW$53:AW$1048576,Table10[[#This Row],[Pcode]],'NFI Distributions'!AL$53:AL$1048576)</f>
        <v>0</v>
      </c>
      <c r="H12" s="106">
        <f>SUMIF('NFI Distributions'!AW$53:AW$1048576,Table10[[#This Row],[Pcode]],'NFI Distributions'!AM$53:AM$1048576)</f>
        <v>0</v>
      </c>
      <c r="I12" s="106">
        <f>SUMIF('NFI Distributions'!AW$53:AW$1048576,Table10[[#This Row],[Pcode]],'NFI Distributions'!AN$53:AN$1048576)</f>
        <v>0</v>
      </c>
      <c r="J12" s="106">
        <f ca="1">MAX(Table10[[#This Row],[HH]]*VLOOKUP("Winter Clothes Adult",NFI,6)-Table10[[#This Row],[Winter Clothes Adult ]],0)</f>
        <v>234</v>
      </c>
      <c r="K12" s="106">
        <f ca="1">MAX(Table10[[#This Row],[HH]]*VLOOKUP("Winter Clothes Children ",NFI,6)-Table10[[#This Row],[Winter Clothes Children ]],0)</f>
        <v>117</v>
      </c>
      <c r="L12" s="106">
        <f ca="1">MAX(Table10[[#This Row],[HH]]*VLOOKUP("Winter Items Other ",NFI,6)-Table10[[#This Row],[Winter Items Other ]],0)</f>
        <v>117</v>
      </c>
      <c r="M12" s="114" t="str">
        <f>IF(OR(Table10[[#This Row],[Winter Clothes Adult ]]&lt;&gt;0,Table10[[#This Row],[Winter Clothes Children ]]&lt;&gt;0,Table10[[#This Row],[Winter Items Other ]]&lt;&gt;0),"No","")</f>
        <v/>
      </c>
      <c r="N12" s="115">
        <f>COUNTIF(A:A,Table10[[#This Row],[Pcode]])-1</f>
        <v>0</v>
      </c>
    </row>
    <row r="13" spans="1:20" x14ac:dyDescent="0.3">
      <c r="A13" s="102" t="s">
        <v>344</v>
      </c>
      <c r="B13" s="7" t="e">
        <f ca="1">OFFSET(#REF!,MATCH(Table10[[#This Row],[Pcode]],CampList[CP_Pcode],0)-1,0,1,1)</f>
        <v>#REF!</v>
      </c>
      <c r="C13" s="7" t="str">
        <f ca="1">OFFSET(CampList[Camp],MATCH(Table10[[#This Row],[Pcode]],CampList[CP_Pcode],0)-1,0,1,1)</f>
        <v>Shing Jai</v>
      </c>
      <c r="D13" s="7" t="str">
        <f ca="1">OFFSET(CampList[Township],MATCH(Table10[[#This Row],[Pcode]],CampList[CP_Pcode],0)-1,0,1,1)</f>
        <v>Waingmaw</v>
      </c>
      <c r="E13" s="7">
        <f ca="1">OFFSET(CampList[HH],MATCH(Table10[[#This Row],[Pcode]],CampList[CP_Pcode],0)-1,0,1,1)</f>
        <v>183</v>
      </c>
      <c r="F13" s="7">
        <f ca="1">OFFSET(CampList[Total],MATCH(Table10[[#This Row],[Pcode]],CampList[CP_Pcode],0)-1,0,1,1)</f>
        <v>1041</v>
      </c>
      <c r="G13" s="106">
        <f>SUMIF('NFI Distributions'!AW$53:AW$1048576,Table10[[#This Row],[Pcode]],'NFI Distributions'!AL$53:AL$1048576)</f>
        <v>0</v>
      </c>
      <c r="H13" s="106">
        <f>SUMIF('NFI Distributions'!AW$53:AW$1048576,Table10[[#This Row],[Pcode]],'NFI Distributions'!AM$53:AM$1048576)</f>
        <v>0</v>
      </c>
      <c r="I13" s="106">
        <f>SUMIF('NFI Distributions'!AW$53:AW$1048576,Table10[[#This Row],[Pcode]],'NFI Distributions'!AN$53:AN$1048576)</f>
        <v>0</v>
      </c>
      <c r="J13" s="106">
        <f ca="1">MAX(Table10[[#This Row],[HH]]*VLOOKUP("Winter Clothes Adult",NFI,6)-Table10[[#This Row],[Winter Clothes Adult ]],0)</f>
        <v>366</v>
      </c>
      <c r="K13" s="106">
        <f ca="1">MAX(Table10[[#This Row],[HH]]*VLOOKUP("Winter Clothes Children ",NFI,6)-Table10[[#This Row],[Winter Clothes Children ]],0)</f>
        <v>183</v>
      </c>
      <c r="L13" s="106">
        <f ca="1">MAX(Table10[[#This Row],[HH]]*VLOOKUP("Winter Items Other ",NFI,6)-Table10[[#This Row],[Winter Items Other ]],0)</f>
        <v>183</v>
      </c>
      <c r="M13" s="114" t="str">
        <f>IF(OR(Table10[[#This Row],[Winter Clothes Adult ]]&lt;&gt;0,Table10[[#This Row],[Winter Clothes Children ]]&lt;&gt;0,Table10[[#This Row],[Winter Items Other ]]&lt;&gt;0),"No","")</f>
        <v/>
      </c>
      <c r="N13" s="115">
        <f>COUNTIF(A:A,Table10[[#This Row],[Pcode]])-1</f>
        <v>0</v>
      </c>
    </row>
    <row r="14" spans="1:20" x14ac:dyDescent="0.3">
      <c r="A14" s="102" t="s">
        <v>214</v>
      </c>
      <c r="B14" s="7" t="e">
        <f ca="1">OFFSET(#REF!,MATCH(Table10[[#This Row],[Pcode]],CampList[CP_Pcode],0)-1,0,1,1)</f>
        <v>#REF!</v>
      </c>
      <c r="C14" s="7" t="str">
        <f ca="1">OFFSET(CampList[Camp],MATCH(Table10[[#This Row],[Pcode]],CampList[CP_Pcode],0)-1,0,1,1)</f>
        <v xml:space="preserve">Nhkawng Pa </v>
      </c>
      <c r="D14" s="7" t="str">
        <f ca="1">OFFSET(CampList[Township],MATCH(Table10[[#This Row],[Pcode]],CampList[CP_Pcode],0)-1,0,1,1)</f>
        <v>Momauk</v>
      </c>
      <c r="E14" s="7">
        <f ca="1">OFFSET(CampList[HH],MATCH(Table10[[#This Row],[Pcode]],CampList[CP_Pcode],0)-1,0,1,1)</f>
        <v>354</v>
      </c>
      <c r="F14" s="7">
        <f ca="1">OFFSET(CampList[Total],MATCH(Table10[[#This Row],[Pcode]],CampList[CP_Pcode],0)-1,0,1,1)</f>
        <v>1546</v>
      </c>
      <c r="G14" s="106">
        <f>SUMIF('NFI Distributions'!AW$53:AW$1048576,Table10[[#This Row],[Pcode]],'NFI Distributions'!AL$53:AL$1048576)</f>
        <v>0</v>
      </c>
      <c r="H14" s="106">
        <f>SUMIF('NFI Distributions'!AW$53:AW$1048576,Table10[[#This Row],[Pcode]],'NFI Distributions'!AM$53:AM$1048576)</f>
        <v>0</v>
      </c>
      <c r="I14" s="106">
        <f>SUMIF('NFI Distributions'!AW$53:AW$1048576,Table10[[#This Row],[Pcode]],'NFI Distributions'!AN$53:AN$1048576)</f>
        <v>0</v>
      </c>
      <c r="J14" s="106">
        <f ca="1">MAX(Table10[[#This Row],[HH]]*VLOOKUP("Winter Clothes Adult",NFI,6)-Table10[[#This Row],[Winter Clothes Adult ]],0)</f>
        <v>708</v>
      </c>
      <c r="K14" s="106">
        <f ca="1">MAX(Table10[[#This Row],[HH]]*VLOOKUP("Winter Clothes Children ",NFI,6)-Table10[[#This Row],[Winter Clothes Children ]],0)</f>
        <v>354</v>
      </c>
      <c r="L14" s="106">
        <f ca="1">MAX(Table10[[#This Row],[HH]]*VLOOKUP("Winter Items Other ",NFI,6)-Table10[[#This Row],[Winter Items Other ]],0)</f>
        <v>354</v>
      </c>
      <c r="M14" s="114" t="str">
        <f>IF(OR(Table10[[#This Row],[Winter Clothes Adult ]]&lt;&gt;0,Table10[[#This Row],[Winter Clothes Children ]]&lt;&gt;0,Table10[[#This Row],[Winter Items Other ]]&lt;&gt;0),"No","")</f>
        <v/>
      </c>
      <c r="N14" s="115">
        <f>COUNTIF(A:A,Table10[[#This Row],[Pcode]])-1</f>
        <v>0</v>
      </c>
    </row>
    <row r="15" spans="1:20" x14ac:dyDescent="0.3">
      <c r="A15" s="102" t="s">
        <v>147</v>
      </c>
      <c r="B15" s="7" t="e">
        <f ca="1">OFFSET(#REF!,MATCH(Table10[[#This Row],[Pcode]],CampList[CP_Pcode],0)-1,0,1,1)</f>
        <v>#REF!</v>
      </c>
      <c r="C15" s="7" t="str">
        <f ca="1">OFFSET(CampList[Camp],MATCH(Table10[[#This Row],[Pcode]],CampList[CP_Pcode],0)-1,0,1,1)</f>
        <v xml:space="preserve">Mungji Pa Dabang (Baptist Church)         </v>
      </c>
      <c r="D15" s="7" t="str">
        <f ca="1">OFFSET(CampList[Township],MATCH(Table10[[#This Row],[Pcode]],CampList[CP_Pcode],0)-1,0,1,1)</f>
        <v>Kutkai</v>
      </c>
      <c r="E15" s="7">
        <f ca="1">OFFSET(CampList[HH],MATCH(Table10[[#This Row],[Pcode]],CampList[CP_Pcode],0)-1,0,1,1)</f>
        <v>38</v>
      </c>
      <c r="F15" s="7">
        <f ca="1">OFFSET(CampList[Total],MATCH(Table10[[#This Row],[Pcode]],CampList[CP_Pcode],0)-1,0,1,1)</f>
        <v>208</v>
      </c>
      <c r="G15" s="106">
        <f>SUMIF('NFI Distributions'!AW$53:AW$1048576,Table10[[#This Row],[Pcode]],'NFI Distributions'!AL$53:AL$1048576)</f>
        <v>0</v>
      </c>
      <c r="H15" s="106">
        <f>SUMIF('NFI Distributions'!AW$53:AW$1048576,Table10[[#This Row],[Pcode]],'NFI Distributions'!AM$53:AM$1048576)</f>
        <v>0</v>
      </c>
      <c r="I15" s="106">
        <f>SUMIF('NFI Distributions'!AW$53:AW$1048576,Table10[[#This Row],[Pcode]],'NFI Distributions'!AN$53:AN$1048576)</f>
        <v>0</v>
      </c>
      <c r="J15" s="106">
        <f ca="1">MAX(Table10[[#This Row],[HH]]*VLOOKUP("Winter Clothes Adult",NFI,6)-Table10[[#This Row],[Winter Clothes Adult ]],0)</f>
        <v>76</v>
      </c>
      <c r="K15" s="106">
        <f ca="1">MAX(Table10[[#This Row],[HH]]*VLOOKUP("Winter Clothes Children ",NFI,6)-Table10[[#This Row],[Winter Clothes Children ]],0)</f>
        <v>38</v>
      </c>
      <c r="L15" s="106">
        <f ca="1">MAX(Table10[[#This Row],[HH]]*VLOOKUP("Winter Items Other ",NFI,6)-Table10[[#This Row],[Winter Items Other ]],0)</f>
        <v>38</v>
      </c>
      <c r="M15" s="114" t="str">
        <f>IF(OR(Table10[[#This Row],[Winter Clothes Adult ]]&lt;&gt;0,Table10[[#This Row],[Winter Clothes Children ]]&lt;&gt;0,Table10[[#This Row],[Winter Items Other ]]&lt;&gt;0),"No","")</f>
        <v/>
      </c>
      <c r="N15" s="115">
        <f>COUNTIF(A:A,Table10[[#This Row],[Pcode]])-1</f>
        <v>0</v>
      </c>
    </row>
    <row r="16" spans="1:20" x14ac:dyDescent="0.3">
      <c r="A16" s="102" t="s">
        <v>234</v>
      </c>
      <c r="B16" s="7" t="e">
        <f ca="1">OFFSET(#REF!,MATCH(Table10[[#This Row],[Pcode]],CampList[CP_Pcode],0)-1,0,1,1)</f>
        <v>#REF!</v>
      </c>
      <c r="C16" s="7" t="str">
        <f ca="1">OFFSET(CampList[Camp],MATCH(Table10[[#This Row],[Pcode]],CampList[CP_Pcode],0)-1,0,1,1)</f>
        <v xml:space="preserve">Mung Baw </v>
      </c>
      <c r="D16" s="7" t="str">
        <f ca="1">OFFSET(CampList[Township],MATCH(Table10[[#This Row],[Pcode]],CampList[CP_Pcode],0)-1,0,1,1)</f>
        <v>Muse</v>
      </c>
      <c r="E16" s="7">
        <f ca="1">OFFSET(CampList[HH],MATCH(Table10[[#This Row],[Pcode]],CampList[CP_Pcode],0)-1,0,1,1)</f>
        <v>0</v>
      </c>
      <c r="F16" s="7">
        <f ca="1">OFFSET(CampList[Total],MATCH(Table10[[#This Row],[Pcode]],CampList[CP_Pcode],0)-1,0,1,1)</f>
        <v>0</v>
      </c>
      <c r="G16" s="106">
        <f>SUMIF('NFI Distributions'!AW$53:AW$1048576,Table10[[#This Row],[Pcode]],'NFI Distributions'!AL$53:AL$1048576)</f>
        <v>0</v>
      </c>
      <c r="H16" s="106">
        <f>SUMIF('NFI Distributions'!AW$53:AW$1048576,Table10[[#This Row],[Pcode]],'NFI Distributions'!AM$53:AM$1048576)</f>
        <v>0</v>
      </c>
      <c r="I16" s="106">
        <f>SUMIF('NFI Distributions'!AW$53:AW$1048576,Table10[[#This Row],[Pcode]],'NFI Distributions'!AN$53:AN$1048576)</f>
        <v>0</v>
      </c>
      <c r="J16" s="106">
        <f ca="1">MAX(Table10[[#This Row],[HH]]*VLOOKUP("Winter Clothes Adult",NFI,6)-Table10[[#This Row],[Winter Clothes Adult ]],0)</f>
        <v>0</v>
      </c>
      <c r="K16" s="106">
        <f ca="1">MAX(Table10[[#This Row],[HH]]*VLOOKUP("Winter Clothes Children ",NFI,6)-Table10[[#This Row],[Winter Clothes Children ]],0)</f>
        <v>0</v>
      </c>
      <c r="L16" s="106">
        <f ca="1">MAX(Table10[[#This Row],[HH]]*VLOOKUP("Winter Items Other ",NFI,6)-Table10[[#This Row],[Winter Items Other ]],0)</f>
        <v>0</v>
      </c>
      <c r="M16" s="114" t="str">
        <f>IF(OR(Table10[[#This Row],[Winter Clothes Adult ]]&lt;&gt;0,Table10[[#This Row],[Winter Clothes Children ]]&lt;&gt;0,Table10[[#This Row],[Winter Items Other ]]&lt;&gt;0),"No","")</f>
        <v/>
      </c>
      <c r="N16" s="115">
        <f>COUNTIF(A:A,Table10[[#This Row],[Pcode]])-1</f>
        <v>0</v>
      </c>
      <c r="Q16" s="105" t="s">
        <v>410</v>
      </c>
      <c r="R16" s="300" t="s">
        <v>929</v>
      </c>
      <c r="S16" s="300" t="s">
        <v>930</v>
      </c>
      <c r="T16" s="300" t="s">
        <v>931</v>
      </c>
    </row>
    <row r="17" spans="1:20" x14ac:dyDescent="0.3">
      <c r="A17" s="102" t="s">
        <v>232</v>
      </c>
      <c r="B17" s="7" t="e">
        <f ca="1">OFFSET(#REF!,MATCH(Table10[[#This Row],[Pcode]],CampList[CP_Pcode],0)-1,0,1,1)</f>
        <v>#REF!</v>
      </c>
      <c r="C17" s="7" t="str">
        <f ca="1">OFFSET(CampList[Camp],MATCH(Table10[[#This Row],[Pcode]],CampList[CP_Pcode],0)-1,0,1,1)</f>
        <v xml:space="preserve">Munekoe Pa (Giwang) - Hka San (Mung  Go  Pa ) </v>
      </c>
      <c r="D17" s="7" t="str">
        <f ca="1">OFFSET(CampList[Township],MATCH(Table10[[#This Row],[Pcode]],CampList[CP_Pcode],0)-1,0,1,1)</f>
        <v>Muse</v>
      </c>
      <c r="E17" s="7">
        <f ca="1">OFFSET(CampList[HH],MATCH(Table10[[#This Row],[Pcode]],CampList[CP_Pcode],0)-1,0,1,1)</f>
        <v>0</v>
      </c>
      <c r="F17" s="7">
        <f ca="1">OFFSET(CampList[Total],MATCH(Table10[[#This Row],[Pcode]],CampList[CP_Pcode],0)-1,0,1,1)</f>
        <v>0</v>
      </c>
      <c r="G17" s="106">
        <f>SUMIF('NFI Distributions'!AW$53:AW$1048576,Table10[[#This Row],[Pcode]],'NFI Distributions'!AL$53:AL$1048576)</f>
        <v>0</v>
      </c>
      <c r="H17" s="106">
        <f>SUMIF('NFI Distributions'!AW$53:AW$1048576,Table10[[#This Row],[Pcode]],'NFI Distributions'!AM$53:AM$1048576)</f>
        <v>0</v>
      </c>
      <c r="I17" s="106">
        <f>SUMIF('NFI Distributions'!AW$53:AW$1048576,Table10[[#This Row],[Pcode]],'NFI Distributions'!AN$53:AN$1048576)</f>
        <v>0</v>
      </c>
      <c r="J17" s="106">
        <f ca="1">MAX(Table10[[#This Row],[HH]]*VLOOKUP("Winter Clothes Adult",NFI,6)-Table10[[#This Row],[Winter Clothes Adult ]],0)</f>
        <v>0</v>
      </c>
      <c r="K17" s="106">
        <f ca="1">MAX(Table10[[#This Row],[HH]]*VLOOKUP("Winter Clothes Children ",NFI,6)-Table10[[#This Row],[Winter Clothes Children ]],0)</f>
        <v>0</v>
      </c>
      <c r="L17" s="106">
        <f ca="1">MAX(Table10[[#This Row],[HH]]*VLOOKUP("Winter Items Other ",NFI,6)-Table10[[#This Row],[Winter Items Other ]],0)</f>
        <v>0</v>
      </c>
      <c r="M17" s="114" t="str">
        <f>IF(OR(Table10[[#This Row],[Winter Clothes Adult ]]&lt;&gt;0,Table10[[#This Row],[Winter Clothes Children ]]&lt;&gt;0,Table10[[#This Row],[Winter Items Other ]]&lt;&gt;0),"No","")</f>
        <v/>
      </c>
      <c r="N17" s="115">
        <f>COUNTIF(A:A,Table10[[#This Row],[Pcode]])-1</f>
        <v>0</v>
      </c>
      <c r="Q17" s="104" t="s">
        <v>1534</v>
      </c>
      <c r="R17" s="160" t="e">
        <v>#N/A</v>
      </c>
      <c r="S17" s="160" t="e">
        <v>#N/A</v>
      </c>
      <c r="T17" s="160" t="e">
        <v>#N/A</v>
      </c>
    </row>
    <row r="18" spans="1:20" x14ac:dyDescent="0.3">
      <c r="A18" s="102" t="s">
        <v>187</v>
      </c>
      <c r="B18" s="7" t="e">
        <f ca="1">OFFSET(#REF!,MATCH(Table10[[#This Row],[Pcode]],CampList[CP_Pcode],0)-1,0,1,1)</f>
        <v>#REF!</v>
      </c>
      <c r="C18" s="7" t="str">
        <f ca="1">OFFSET(CampList[Camp],MATCH(Table10[[#This Row],[Pcode]],CampList[CP_Pcode],0)-1,0,1,1)</f>
        <v xml:space="preserve">Bum Tsit Pa </v>
      </c>
      <c r="D18" s="7" t="str">
        <f ca="1">OFFSET(CampList[Township],MATCH(Table10[[#This Row],[Pcode]],CampList[CP_Pcode],0)-1,0,1,1)</f>
        <v>Mansi</v>
      </c>
      <c r="E18" s="7">
        <f ca="1">OFFSET(CampList[HH],MATCH(Table10[[#This Row],[Pcode]],CampList[CP_Pcode],0)-1,0,1,1)</f>
        <v>357</v>
      </c>
      <c r="F18" s="7">
        <f ca="1">OFFSET(CampList[Total],MATCH(Table10[[#This Row],[Pcode]],CampList[CP_Pcode],0)-1,0,1,1)</f>
        <v>1692</v>
      </c>
      <c r="G18" s="106">
        <f>SUMIF('NFI Distributions'!AW$53:AW$1048576,Table10[[#This Row],[Pcode]],'NFI Distributions'!AL$53:AL$1048576)</f>
        <v>0</v>
      </c>
      <c r="H18" s="106">
        <f>SUMIF('NFI Distributions'!AW$53:AW$1048576,Table10[[#This Row],[Pcode]],'NFI Distributions'!AM$53:AM$1048576)</f>
        <v>0</v>
      </c>
      <c r="I18" s="106">
        <f>SUMIF('NFI Distributions'!AW$53:AW$1048576,Table10[[#This Row],[Pcode]],'NFI Distributions'!AN$53:AN$1048576)</f>
        <v>0</v>
      </c>
      <c r="J18" s="106">
        <f ca="1">MAX(Table10[[#This Row],[HH]]*VLOOKUP("Winter Clothes Adult",NFI,6)-Table10[[#This Row],[Winter Clothes Adult ]],0)</f>
        <v>714</v>
      </c>
      <c r="K18" s="106">
        <f ca="1">MAX(Table10[[#This Row],[HH]]*VLOOKUP("Winter Clothes Children ",NFI,6)-Table10[[#This Row],[Winter Clothes Children ]],0)</f>
        <v>357</v>
      </c>
      <c r="L18" s="106">
        <f ca="1">MAX(Table10[[#This Row],[HH]]*VLOOKUP("Winter Items Other ",NFI,6)-Table10[[#This Row],[Winter Items Other ]],0)</f>
        <v>357</v>
      </c>
      <c r="M18" s="114" t="str">
        <f>IF(OR(Table10[[#This Row],[Winter Clothes Adult ]]&lt;&gt;0,Table10[[#This Row],[Winter Clothes Children ]]&lt;&gt;0,Table10[[#This Row],[Winter Items Other ]]&lt;&gt;0),"No","")</f>
        <v/>
      </c>
      <c r="N18" s="115">
        <f>COUNTIF(A:A,Table10[[#This Row],[Pcode]])-1</f>
        <v>0</v>
      </c>
      <c r="Q18" s="104" t="s">
        <v>411</v>
      </c>
      <c r="R18" s="160" t="e">
        <v>#N/A</v>
      </c>
      <c r="S18" s="160" t="e">
        <v>#N/A</v>
      </c>
      <c r="T18" s="160" t="e">
        <v>#N/A</v>
      </c>
    </row>
    <row r="19" spans="1:20" x14ac:dyDescent="0.3">
      <c r="A19" s="102" t="s">
        <v>887</v>
      </c>
      <c r="B19" s="7" t="e">
        <f ca="1">OFFSET(#REF!,MATCH(Table10[[#This Row],[Pcode]],CampList[CP_Pcode],0)-1,0,1,1)</f>
        <v>#REF!</v>
      </c>
      <c r="C19" s="7" t="str">
        <f ca="1">OFFSET(CampList[Camp],MATCH(Table10[[#This Row],[Pcode]],CampList[CP_Pcode],0)-1,0,1,1)</f>
        <v>Bum Tsit Pa Camp II</v>
      </c>
      <c r="D19" s="7" t="str">
        <f ca="1">OFFSET(CampList[Township],MATCH(Table10[[#This Row],[Pcode]],CampList[CP_Pcode],0)-1,0,1,1)</f>
        <v>Mansi</v>
      </c>
      <c r="E19" s="7">
        <f ca="1">OFFSET(CampList[HH],MATCH(Table10[[#This Row],[Pcode]],CampList[CP_Pcode],0)-1,0,1,1)</f>
        <v>0</v>
      </c>
      <c r="F19" s="7">
        <f ca="1">OFFSET(CampList[Total],MATCH(Table10[[#This Row],[Pcode]],CampList[CP_Pcode],0)-1,0,1,1)</f>
        <v>0</v>
      </c>
      <c r="G19" s="106">
        <f>SUMIF('NFI Distributions'!AW$53:AW$1048576,Table10[[#This Row],[Pcode]],'NFI Distributions'!AL$53:AL$1048576)</f>
        <v>0</v>
      </c>
      <c r="H19" s="106">
        <f>SUMIF('NFI Distributions'!AW$53:AW$1048576,Table10[[#This Row],[Pcode]],'NFI Distributions'!AM$53:AM$1048576)</f>
        <v>0</v>
      </c>
      <c r="I19" s="106">
        <f>SUMIF('NFI Distributions'!AW$53:AW$1048576,Table10[[#This Row],[Pcode]],'NFI Distributions'!AN$53:AN$1048576)</f>
        <v>0</v>
      </c>
      <c r="J19" s="106">
        <f ca="1">MAX(Table10[[#This Row],[HH]]*VLOOKUP("Winter Clothes Adult",NFI,6)-Table10[[#This Row],[Winter Clothes Adult ]],0)</f>
        <v>0</v>
      </c>
      <c r="K19" s="106">
        <f ca="1">MAX(Table10[[#This Row],[HH]]*VLOOKUP("Winter Clothes Children ",NFI,6)-Table10[[#This Row],[Winter Clothes Children ]],0)</f>
        <v>0</v>
      </c>
      <c r="L19" s="106">
        <f ca="1">MAX(Table10[[#This Row],[HH]]*VLOOKUP("Winter Items Other ",NFI,6)-Table10[[#This Row],[Winter Items Other ]],0)</f>
        <v>0</v>
      </c>
      <c r="M19" s="114" t="str">
        <f>IF(OR(Table10[[#This Row],[Winter Clothes Adult ]]&lt;&gt;0,Table10[[#This Row],[Winter Clothes Children ]]&lt;&gt;0,Table10[[#This Row],[Winter Items Other ]]&lt;&gt;0),"No","")</f>
        <v/>
      </c>
      <c r="N19" s="115">
        <f>COUNTIF(A:A,Table10[[#This Row],[Pcode]])-1</f>
        <v>0</v>
      </c>
    </row>
    <row r="20" spans="1:20" x14ac:dyDescent="0.3">
      <c r="A20" s="102" t="s">
        <v>197</v>
      </c>
      <c r="B20" s="7" t="e">
        <f ca="1">OFFSET(#REF!,MATCH(Table10[[#This Row],[Pcode]],CampList[CP_Pcode],0)-1,0,1,1)</f>
        <v>#REF!</v>
      </c>
      <c r="C20" s="7" t="str">
        <f ca="1">OFFSET(CampList[Camp],MATCH(Table10[[#This Row],[Pcode]],CampList[CP_Pcode],0)-1,0,1,1)</f>
        <v xml:space="preserve">Lana Zup Ja </v>
      </c>
      <c r="D20" s="7" t="str">
        <f ca="1">OFFSET(CampList[Township],MATCH(Table10[[#This Row],[Pcode]],CampList[CP_Pcode],0)-1,0,1,1)</f>
        <v>Mansi</v>
      </c>
      <c r="E20" s="7">
        <f ca="1">OFFSET(CampList[HH],MATCH(Table10[[#This Row],[Pcode]],CampList[CP_Pcode],0)-1,0,1,1)</f>
        <v>522</v>
      </c>
      <c r="F20" s="7">
        <f ca="1">OFFSET(CampList[Total],MATCH(Table10[[#This Row],[Pcode]],CampList[CP_Pcode],0)-1,0,1,1)</f>
        <v>2536</v>
      </c>
      <c r="G20" s="106">
        <f>SUMIF('NFI Distributions'!AW$53:AW$1048576,Table10[[#This Row],[Pcode]],'NFI Distributions'!AL$53:AL$1048576)</f>
        <v>0</v>
      </c>
      <c r="H20" s="106">
        <f>SUMIF('NFI Distributions'!AW$53:AW$1048576,Table10[[#This Row],[Pcode]],'NFI Distributions'!AM$53:AM$1048576)</f>
        <v>0</v>
      </c>
      <c r="I20" s="106">
        <f>SUMIF('NFI Distributions'!AW$53:AW$1048576,Table10[[#This Row],[Pcode]],'NFI Distributions'!AN$53:AN$1048576)</f>
        <v>0</v>
      </c>
      <c r="J20" s="106">
        <f ca="1">MAX(Table10[[#This Row],[HH]]*VLOOKUP("Winter Clothes Adult",NFI,6)-Table10[[#This Row],[Winter Clothes Adult ]],0)</f>
        <v>1044</v>
      </c>
      <c r="K20" s="106">
        <f ca="1">MAX(Table10[[#This Row],[HH]]*VLOOKUP("Winter Clothes Children ",NFI,6)-Table10[[#This Row],[Winter Clothes Children ]],0)</f>
        <v>522</v>
      </c>
      <c r="L20" s="106">
        <f ca="1">MAX(Table10[[#This Row],[HH]]*VLOOKUP("Winter Items Other ",NFI,6)-Table10[[#This Row],[Winter Items Other ]],0)</f>
        <v>522</v>
      </c>
      <c r="M20" s="114" t="str">
        <f>IF(OR(Table10[[#This Row],[Winter Clothes Adult ]]&lt;&gt;0,Table10[[#This Row],[Winter Clothes Children ]]&lt;&gt;0,Table10[[#This Row],[Winter Items Other ]]&lt;&gt;0),"No","")</f>
        <v/>
      </c>
      <c r="N20" s="115">
        <f>COUNTIF(A:A,Table10[[#This Row],[Pcode]])-1</f>
        <v>0</v>
      </c>
    </row>
    <row r="21" spans="1:20" x14ac:dyDescent="0.3">
      <c r="A21" s="102" t="s">
        <v>157</v>
      </c>
      <c r="B21" s="7" t="e">
        <f ca="1">OFFSET(#REF!,MATCH(Table10[[#This Row],[Pcode]],CampList[CP_Pcode],0)-1,0,1,1)</f>
        <v>#REF!</v>
      </c>
      <c r="C21" s="7" t="str">
        <f ca="1">OFFSET(CampList[Camp],MATCH(Table10[[#This Row],[Pcode]],CampList[CP_Pcode],0)-1,0,1,1)</f>
        <v>Lung Kawk  ( Hka Hkye Zup)</v>
      </c>
      <c r="D21" s="7" t="str">
        <f ca="1">OFFSET(CampList[Township],MATCH(Table10[[#This Row],[Pcode]],CampList[CP_Pcode],0)-1,0,1,1)</f>
        <v>Mansi</v>
      </c>
      <c r="E21" s="7">
        <f ca="1">OFFSET(CampList[HH],MATCH(Table10[[#This Row],[Pcode]],CampList[CP_Pcode],0)-1,0,1,1)</f>
        <v>0</v>
      </c>
      <c r="F21" s="7">
        <f ca="1">OFFSET(CampList[Total],MATCH(Table10[[#This Row],[Pcode]],CampList[CP_Pcode],0)-1,0,1,1)</f>
        <v>0</v>
      </c>
      <c r="G21" s="106">
        <f>SUMIF('NFI Distributions'!AW$53:AW$1048576,Table10[[#This Row],[Pcode]],'NFI Distributions'!AL$53:AL$1048576)</f>
        <v>0</v>
      </c>
      <c r="H21" s="106">
        <f>SUMIF('NFI Distributions'!AW$53:AW$1048576,Table10[[#This Row],[Pcode]],'NFI Distributions'!AM$53:AM$1048576)</f>
        <v>0</v>
      </c>
      <c r="I21" s="106">
        <f>SUMIF('NFI Distributions'!AW$53:AW$1048576,Table10[[#This Row],[Pcode]],'NFI Distributions'!AN$53:AN$1048576)</f>
        <v>0</v>
      </c>
      <c r="J21" s="106">
        <f ca="1">MAX(Table10[[#This Row],[HH]]*VLOOKUP("Winter Clothes Adult",NFI,6)-Table10[[#This Row],[Winter Clothes Adult ]],0)</f>
        <v>0</v>
      </c>
      <c r="K21" s="106">
        <f ca="1">MAX(Table10[[#This Row],[HH]]*VLOOKUP("Winter Clothes Children ",NFI,6)-Table10[[#This Row],[Winter Clothes Children ]],0)</f>
        <v>0</v>
      </c>
      <c r="L21" s="106">
        <f ca="1">MAX(Table10[[#This Row],[HH]]*VLOOKUP("Winter Items Other ",NFI,6)-Table10[[#This Row],[Winter Items Other ]],0)</f>
        <v>0</v>
      </c>
      <c r="M21" s="114" t="str">
        <f>IF(OR(Table10[[#This Row],[Winter Clothes Adult ]]&lt;&gt;0,Table10[[#This Row],[Winter Clothes Children ]]&lt;&gt;0,Table10[[#This Row],[Winter Items Other ]]&lt;&gt;0),"No","")</f>
        <v/>
      </c>
      <c r="N21" s="115">
        <f>COUNTIF(A:A,Table10[[#This Row],[Pcode]])-1</f>
        <v>0</v>
      </c>
    </row>
    <row r="22" spans="1:20" x14ac:dyDescent="0.3">
      <c r="A22" s="102" t="s">
        <v>193</v>
      </c>
      <c r="B22" s="7" t="e">
        <f ca="1">OFFSET(#REF!,MATCH(Table10[[#This Row],[Pcode]],CampList[CP_Pcode],0)-1,0,1,1)</f>
        <v>#REF!</v>
      </c>
      <c r="C22" s="7" t="str">
        <f ca="1">OFFSET(CampList[Camp],MATCH(Table10[[#This Row],[Pcode]],CampList[CP_Pcode],0)-1,0,1,1)</f>
        <v xml:space="preserve">Hpun Lum Yang </v>
      </c>
      <c r="D22" s="7" t="str">
        <f ca="1">OFFSET(CampList[Township],MATCH(Table10[[#This Row],[Pcode]],CampList[CP_Pcode],0)-1,0,1,1)</f>
        <v>Momauk</v>
      </c>
      <c r="E22" s="7">
        <f ca="1">OFFSET(CampList[HH],MATCH(Table10[[#This Row],[Pcode]],CampList[CP_Pcode],0)-1,0,1,1)</f>
        <v>717</v>
      </c>
      <c r="F22" s="7">
        <f ca="1">OFFSET(CampList[Total],MATCH(Table10[[#This Row],[Pcode]],CampList[CP_Pcode],0)-1,0,1,1)</f>
        <v>3658</v>
      </c>
      <c r="G22" s="106">
        <f>SUMIF('NFI Distributions'!AW$53:AW$1048576,Table10[[#This Row],[Pcode]],'NFI Distributions'!AL$53:AL$1048576)</f>
        <v>0</v>
      </c>
      <c r="H22" s="106">
        <f>SUMIF('NFI Distributions'!AW$53:AW$1048576,Table10[[#This Row],[Pcode]],'NFI Distributions'!AM$53:AM$1048576)</f>
        <v>0</v>
      </c>
      <c r="I22" s="106">
        <f>SUMIF('NFI Distributions'!AW$53:AW$1048576,Table10[[#This Row],[Pcode]],'NFI Distributions'!AN$53:AN$1048576)</f>
        <v>0</v>
      </c>
      <c r="J22" s="106">
        <f ca="1">MAX(Table10[[#This Row],[HH]]*VLOOKUP("Winter Clothes Adult",NFI,6)-Table10[[#This Row],[Winter Clothes Adult ]],0)</f>
        <v>1434</v>
      </c>
      <c r="K22" s="106">
        <f ca="1">MAX(Table10[[#This Row],[HH]]*VLOOKUP("Winter Clothes Children ",NFI,6)-Table10[[#This Row],[Winter Clothes Children ]],0)</f>
        <v>717</v>
      </c>
      <c r="L22" s="106">
        <f ca="1">MAX(Table10[[#This Row],[HH]]*VLOOKUP("Winter Items Other ",NFI,6)-Table10[[#This Row],[Winter Items Other ]],0)</f>
        <v>717</v>
      </c>
      <c r="M22" s="114" t="str">
        <f>IF(OR(Table10[[#This Row],[Winter Clothes Adult ]]&lt;&gt;0,Table10[[#This Row],[Winter Clothes Children ]]&lt;&gt;0,Table10[[#This Row],[Winter Items Other ]]&lt;&gt;0),"No","")</f>
        <v/>
      </c>
      <c r="N22" s="115">
        <f>COUNTIF(A:A,Table10[[#This Row],[Pcode]])-1</f>
        <v>0</v>
      </c>
    </row>
    <row r="23" spans="1:20" x14ac:dyDescent="0.3">
      <c r="A23" s="102" t="s">
        <v>195</v>
      </c>
      <c r="B23" s="7" t="e">
        <f ca="1">OFFSET(#REF!,MATCH(Table10[[#This Row],[Pcode]],CampList[CP_Pcode],0)-1,0,1,1)</f>
        <v>#REF!</v>
      </c>
      <c r="C23" s="7" t="str">
        <f ca="1">OFFSET(CampList[Camp],MATCH(Table10[[#This Row],[Pcode]],CampList[CP_Pcode],0)-1,0,1,1)</f>
        <v xml:space="preserve">Je Yang Hka </v>
      </c>
      <c r="D23" s="7" t="str">
        <f ca="1">OFFSET(CampList[Township],MATCH(Table10[[#This Row],[Pcode]],CampList[CP_Pcode],0)-1,0,1,1)</f>
        <v>Momauk</v>
      </c>
      <c r="E23" s="7">
        <f ca="1">OFFSET(CampList[HH],MATCH(Table10[[#This Row],[Pcode]],CampList[CP_Pcode],0)-1,0,1,1)</f>
        <v>1527</v>
      </c>
      <c r="F23" s="7">
        <f ca="1">OFFSET(CampList[Total],MATCH(Table10[[#This Row],[Pcode]],CampList[CP_Pcode],0)-1,0,1,1)</f>
        <v>8721</v>
      </c>
      <c r="G23" s="106">
        <f>SUMIF('NFI Distributions'!AW$53:AW$1048576,Table10[[#This Row],[Pcode]],'NFI Distributions'!AL$53:AL$1048576)</f>
        <v>0</v>
      </c>
      <c r="H23" s="106">
        <f>SUMIF('NFI Distributions'!AW$53:AW$1048576,Table10[[#This Row],[Pcode]],'NFI Distributions'!AM$53:AM$1048576)</f>
        <v>0</v>
      </c>
      <c r="I23" s="106">
        <f>SUMIF('NFI Distributions'!AW$53:AW$1048576,Table10[[#This Row],[Pcode]],'NFI Distributions'!AN$53:AN$1048576)</f>
        <v>0</v>
      </c>
      <c r="J23" s="106">
        <f ca="1">MAX(Table10[[#This Row],[HH]]*VLOOKUP("Winter Clothes Adult",NFI,6)-Table10[[#This Row],[Winter Clothes Adult ]],0)</f>
        <v>3054</v>
      </c>
      <c r="K23" s="106">
        <f ca="1">MAX(Table10[[#This Row],[HH]]*VLOOKUP("Winter Clothes Children ",NFI,6)-Table10[[#This Row],[Winter Clothes Children ]],0)</f>
        <v>1527</v>
      </c>
      <c r="L23" s="106">
        <f ca="1">MAX(Table10[[#This Row],[HH]]*VLOOKUP("Winter Items Other ",NFI,6)-Table10[[#This Row],[Winter Items Other ]],0)</f>
        <v>1527</v>
      </c>
      <c r="M23" s="114" t="str">
        <f>IF(OR(Table10[[#This Row],[Winter Clothes Adult ]]&lt;&gt;0,Table10[[#This Row],[Winter Clothes Children ]]&lt;&gt;0,Table10[[#This Row],[Winter Items Other ]]&lt;&gt;0),"No","")</f>
        <v/>
      </c>
      <c r="N23" s="115">
        <f>COUNTIF(A:A,Table10[[#This Row],[Pcode]])-1</f>
        <v>0</v>
      </c>
    </row>
    <row r="24" spans="1:20" x14ac:dyDescent="0.3">
      <c r="A24" s="102" t="s">
        <v>218</v>
      </c>
      <c r="B24" s="7" t="e">
        <f ca="1">OFFSET(#REF!,MATCH(Table10[[#This Row],[Pcode]],CampList[CP_Pcode],0)-1,0,1,1)</f>
        <v>#REF!</v>
      </c>
      <c r="C24" s="7" t="str">
        <f ca="1">OFFSET(CampList[Camp],MATCH(Table10[[#This Row],[Pcode]],CampList[CP_Pcode],0)-1,0,1,1)</f>
        <v xml:space="preserve">Pa Kahtawng </v>
      </c>
      <c r="D24" s="7" t="str">
        <f ca="1">OFFSET(CampList[Township],MATCH(Table10[[#This Row],[Pcode]],CampList[CP_Pcode],0)-1,0,1,1)</f>
        <v>Momauk</v>
      </c>
      <c r="E24" s="7">
        <f ca="1">OFFSET(CampList[HH],MATCH(Table10[[#This Row],[Pcode]],CampList[CP_Pcode],0)-1,0,1,1)</f>
        <v>632</v>
      </c>
      <c r="F24" s="7">
        <f ca="1">OFFSET(CampList[Total],MATCH(Table10[[#This Row],[Pcode]],CampList[CP_Pcode],0)-1,0,1,1)</f>
        <v>3550</v>
      </c>
      <c r="G24" s="106">
        <f>SUMIF('NFI Distributions'!AW$53:AW$1048576,Table10[[#This Row],[Pcode]],'NFI Distributions'!AL$53:AL$1048576)</f>
        <v>0</v>
      </c>
      <c r="H24" s="106">
        <f>SUMIF('NFI Distributions'!AW$53:AW$1048576,Table10[[#This Row],[Pcode]],'NFI Distributions'!AM$53:AM$1048576)</f>
        <v>0</v>
      </c>
      <c r="I24" s="106">
        <f>SUMIF('NFI Distributions'!AW$53:AW$1048576,Table10[[#This Row],[Pcode]],'NFI Distributions'!AN$53:AN$1048576)</f>
        <v>0</v>
      </c>
      <c r="J24" s="106">
        <f ca="1">MAX(Table10[[#This Row],[HH]]*VLOOKUP("Winter Clothes Adult",NFI,6)-Table10[[#This Row],[Winter Clothes Adult ]],0)</f>
        <v>1264</v>
      </c>
      <c r="K24" s="106">
        <f ca="1">MAX(Table10[[#This Row],[HH]]*VLOOKUP("Winter Clothes Children ",NFI,6)-Table10[[#This Row],[Winter Clothes Children ]],0)</f>
        <v>632</v>
      </c>
      <c r="L24" s="106">
        <f ca="1">MAX(Table10[[#This Row],[HH]]*VLOOKUP("Winter Items Other ",NFI,6)-Table10[[#This Row],[Winter Items Other ]],0)</f>
        <v>632</v>
      </c>
      <c r="M24" s="114" t="str">
        <f>IF(OR(Table10[[#This Row],[Winter Clothes Adult ]]&lt;&gt;0,Table10[[#This Row],[Winter Clothes Children ]]&lt;&gt;0,Table10[[#This Row],[Winter Items Other ]]&lt;&gt;0),"No","")</f>
        <v/>
      </c>
      <c r="N24" s="115">
        <f>COUNTIF(A:A,Table10[[#This Row],[Pcode]])-1</f>
        <v>0</v>
      </c>
    </row>
    <row r="25" spans="1:20" x14ac:dyDescent="0.3">
      <c r="A25" s="102" t="s">
        <v>191</v>
      </c>
      <c r="B25" s="7" t="e">
        <f ca="1">OFFSET(#REF!,MATCH(Table10[[#This Row],[Pcode]],CampList[CP_Pcode],0)-1,0,1,1)</f>
        <v>#REF!</v>
      </c>
      <c r="C25" s="7" t="str">
        <f ca="1">OFFSET(CampList[Camp],MATCH(Table10[[#This Row],[Pcode]],CampList[CP_Pcode],0)-1,0,1,1)</f>
        <v xml:space="preserve">Dum Bung </v>
      </c>
      <c r="D25" s="7" t="str">
        <f ca="1">OFFSET(CampList[Township],MATCH(Table10[[#This Row],[Pcode]],CampList[CP_Pcode],0)-1,0,1,1)</f>
        <v>Momauk</v>
      </c>
      <c r="E25" s="7">
        <f ca="1">OFFSET(CampList[HH],MATCH(Table10[[#This Row],[Pcode]],CampList[CP_Pcode],0)-1,0,1,1)</f>
        <v>80</v>
      </c>
      <c r="F25" s="7">
        <f ca="1">OFFSET(CampList[Total],MATCH(Table10[[#This Row],[Pcode]],CampList[CP_Pcode],0)-1,0,1,1)</f>
        <v>378</v>
      </c>
      <c r="G25" s="106">
        <f>SUMIF('NFI Distributions'!AW$53:AW$1048576,Table10[[#This Row],[Pcode]],'NFI Distributions'!AL$53:AL$1048576)</f>
        <v>0</v>
      </c>
      <c r="H25" s="106">
        <f>SUMIF('NFI Distributions'!AW$53:AW$1048576,Table10[[#This Row],[Pcode]],'NFI Distributions'!AM$53:AM$1048576)</f>
        <v>0</v>
      </c>
      <c r="I25" s="106">
        <f>SUMIF('NFI Distributions'!AW$53:AW$1048576,Table10[[#This Row],[Pcode]],'NFI Distributions'!AN$53:AN$1048576)</f>
        <v>0</v>
      </c>
      <c r="J25" s="106">
        <f ca="1">MAX(Table10[[#This Row],[HH]]*VLOOKUP("Winter Clothes Adult",NFI,6)-Table10[[#This Row],[Winter Clothes Adult ]],0)</f>
        <v>160</v>
      </c>
      <c r="K25" s="106">
        <f ca="1">MAX(Table10[[#This Row],[HH]]*VLOOKUP("Winter Clothes Children ",NFI,6)-Table10[[#This Row],[Winter Clothes Children ]],0)</f>
        <v>80</v>
      </c>
      <c r="L25" s="106">
        <f ca="1">MAX(Table10[[#This Row],[HH]]*VLOOKUP("Winter Items Other ",NFI,6)-Table10[[#This Row],[Winter Items Other ]],0)</f>
        <v>80</v>
      </c>
      <c r="M25" s="114" t="str">
        <f>IF(OR(Table10[[#This Row],[Winter Clothes Adult ]]&lt;&gt;0,Table10[[#This Row],[Winter Clothes Children ]]&lt;&gt;0,Table10[[#This Row],[Winter Items Other ]]&lt;&gt;0),"No","")</f>
        <v/>
      </c>
      <c r="N25" s="115">
        <f>COUNTIF(A:A,Table10[[#This Row],[Pcode]])-1</f>
        <v>0</v>
      </c>
    </row>
    <row r="26" spans="1:20" x14ac:dyDescent="0.3">
      <c r="A26" s="102" t="s">
        <v>752</v>
      </c>
      <c r="B26" s="7" t="e">
        <f ca="1">OFFSET(#REF!,MATCH(Table10[[#This Row],[Pcode]],CampList[CP_Pcode],0)-1,0,1,1)</f>
        <v>#REF!</v>
      </c>
      <c r="C26" s="7" t="str">
        <f ca="1">OFFSET(CampList[Camp],MATCH(Table10[[#This Row],[Pcode]],CampList[CP_Pcode],0)-1,0,1,1)</f>
        <v>IDP Boarding School, A Len Bum</v>
      </c>
      <c r="D26" s="7" t="str">
        <f ca="1">OFFSET(CampList[Township],MATCH(Table10[[#This Row],[Pcode]],CampList[CP_Pcode],0)-1,0,1,1)</f>
        <v>Waingmaw</v>
      </c>
      <c r="E26" s="7">
        <f ca="1">OFFSET(CampList[HH],MATCH(Table10[[#This Row],[Pcode]],CampList[CP_Pcode],0)-1,0,1,1)</f>
        <v>0</v>
      </c>
      <c r="F26" s="7">
        <f ca="1">OFFSET(CampList[Total],MATCH(Table10[[#This Row],[Pcode]],CampList[CP_Pcode],0)-1,0,1,1)</f>
        <v>872</v>
      </c>
      <c r="G26" s="106">
        <f>SUMIF('NFI Distributions'!AW$53:AW$1048576,Table10[[#This Row],[Pcode]],'NFI Distributions'!AL$53:AL$1048576)</f>
        <v>0</v>
      </c>
      <c r="H26" s="106">
        <f>SUMIF('NFI Distributions'!AW$53:AW$1048576,Table10[[#This Row],[Pcode]],'NFI Distributions'!AM$53:AM$1048576)</f>
        <v>0</v>
      </c>
      <c r="I26" s="106">
        <f>SUMIF('NFI Distributions'!AW$53:AW$1048576,Table10[[#This Row],[Pcode]],'NFI Distributions'!AN$53:AN$1048576)</f>
        <v>0</v>
      </c>
      <c r="J26" s="106">
        <f ca="1">MAX(Table10[[#This Row],[HH]]*VLOOKUP("Winter Clothes Adult",NFI,6)-Table10[[#This Row],[Winter Clothes Adult ]],0)</f>
        <v>0</v>
      </c>
      <c r="K26" s="106">
        <f ca="1">MAX(Table10[[#This Row],[HH]]*VLOOKUP("Winter Clothes Children ",NFI,6)-Table10[[#This Row],[Winter Clothes Children ]],0)</f>
        <v>0</v>
      </c>
      <c r="L26" s="106">
        <f ca="1">MAX(Table10[[#This Row],[HH]]*VLOOKUP("Winter Items Other ",NFI,6)-Table10[[#This Row],[Winter Items Other ]],0)</f>
        <v>0</v>
      </c>
      <c r="M26" s="114" t="str">
        <f>IF(OR(Table10[[#This Row],[Winter Clothes Adult ]]&lt;&gt;0,Table10[[#This Row],[Winter Clothes Children ]]&lt;&gt;0,Table10[[#This Row],[Winter Items Other ]]&lt;&gt;0),"No","")</f>
        <v/>
      </c>
      <c r="N26" s="115">
        <f>COUNTIF(A:A,Table10[[#This Row],[Pcode]])-1</f>
        <v>0</v>
      </c>
    </row>
    <row r="27" spans="1:20" x14ac:dyDescent="0.3">
      <c r="A27" s="102" t="s">
        <v>313</v>
      </c>
      <c r="B27" s="7" t="e">
        <f ca="1">OFFSET(#REF!,MATCH(Table10[[#This Row],[Pcode]],CampList[CP_Pcode],0)-1,0,1,1)</f>
        <v>#REF!</v>
      </c>
      <c r="C27" s="7" t="str">
        <f ca="1">OFFSET(CampList[Camp],MATCH(Table10[[#This Row],[Pcode]],CampList[CP_Pcode],0)-1,0,1,1)</f>
        <v>Laiza Market 3 - Laiza Gat</v>
      </c>
      <c r="D27" s="7" t="str">
        <f ca="1">OFFSET(CampList[Township],MATCH(Table10[[#This Row],[Pcode]],CampList[CP_Pcode],0)-1,0,1,1)</f>
        <v>Waingmaw</v>
      </c>
      <c r="E27" s="7">
        <f ca="1">OFFSET(CampList[HH],MATCH(Table10[[#This Row],[Pcode]],CampList[CP_Pcode],0)-1,0,1,1)</f>
        <v>0</v>
      </c>
      <c r="F27" s="7">
        <f ca="1">OFFSET(CampList[Total],MATCH(Table10[[#This Row],[Pcode]],CampList[CP_Pcode],0)-1,0,1,1)</f>
        <v>0</v>
      </c>
      <c r="G27" s="106">
        <f>SUMIF('NFI Distributions'!AW$53:AW$1048576,Table10[[#This Row],[Pcode]],'NFI Distributions'!AL$53:AL$1048576)</f>
        <v>0</v>
      </c>
      <c r="H27" s="106">
        <f>SUMIF('NFI Distributions'!AW$53:AW$1048576,Table10[[#This Row],[Pcode]],'NFI Distributions'!AM$53:AM$1048576)</f>
        <v>0</v>
      </c>
      <c r="I27" s="106">
        <f>SUMIF('NFI Distributions'!AW$53:AW$1048576,Table10[[#This Row],[Pcode]],'NFI Distributions'!AN$53:AN$1048576)</f>
        <v>0</v>
      </c>
      <c r="J27" s="106">
        <f ca="1">MAX(Table10[[#This Row],[HH]]*VLOOKUP("Winter Clothes Adult",NFI,6)-Table10[[#This Row],[Winter Clothes Adult ]],0)</f>
        <v>0</v>
      </c>
      <c r="K27" s="106">
        <f ca="1">MAX(Table10[[#This Row],[HH]]*VLOOKUP("Winter Clothes Children ",NFI,6)-Table10[[#This Row],[Winter Clothes Children ]],0)</f>
        <v>0</v>
      </c>
      <c r="L27" s="106">
        <f ca="1">MAX(Table10[[#This Row],[HH]]*VLOOKUP("Winter Items Other ",NFI,6)-Table10[[#This Row],[Winter Items Other ]],0)</f>
        <v>0</v>
      </c>
      <c r="M27" s="114" t="str">
        <f>IF(OR(Table10[[#This Row],[Winter Clothes Adult ]]&lt;&gt;0,Table10[[#This Row],[Winter Clothes Children ]]&lt;&gt;0,Table10[[#This Row],[Winter Items Other ]]&lt;&gt;0),"No","")</f>
        <v/>
      </c>
      <c r="N27" s="115">
        <f>COUNTIF(A:A,Table10[[#This Row],[Pcode]])-1</f>
        <v>0</v>
      </c>
    </row>
    <row r="28" spans="1:20" x14ac:dyDescent="0.3">
      <c r="A28" s="102" t="s">
        <v>354</v>
      </c>
      <c r="B28" s="7" t="e">
        <f ca="1">OFFSET(#REF!,MATCH(Table10[[#This Row],[Pcode]],CampList[CP_Pcode],0)-1,0,1,1)</f>
        <v>#REF!</v>
      </c>
      <c r="C28" s="7" t="str">
        <f ca="1">OFFSET(CampList[Camp],MATCH(Table10[[#This Row],[Pcode]],CampList[CP_Pcode],0)-1,0,1,1)</f>
        <v>Zai Awng - Mung Ga Zup</v>
      </c>
      <c r="D28" s="7" t="str">
        <f ca="1">OFFSET(CampList[Township],MATCH(Table10[[#This Row],[Pcode]],CampList[CP_Pcode],0)-1,0,1,1)</f>
        <v>Waingmaw</v>
      </c>
      <c r="E28" s="7">
        <f ca="1">OFFSET(CampList[HH],MATCH(Table10[[#This Row],[Pcode]],CampList[CP_Pcode],0)-1,0,1,1)</f>
        <v>0</v>
      </c>
      <c r="F28" s="7">
        <f ca="1">OFFSET(CampList[Total],MATCH(Table10[[#This Row],[Pcode]],CampList[CP_Pcode],0)-1,0,1,1)</f>
        <v>0</v>
      </c>
      <c r="G28" s="106">
        <f>SUMIF('NFI Distributions'!AW$53:AW$1048576,Table10[[#This Row],[Pcode]],'NFI Distributions'!AL$53:AL$1048576)</f>
        <v>0</v>
      </c>
      <c r="H28" s="106">
        <f>SUMIF('NFI Distributions'!AW$53:AW$1048576,Table10[[#This Row],[Pcode]],'NFI Distributions'!AM$53:AM$1048576)</f>
        <v>0</v>
      </c>
      <c r="I28" s="106">
        <f>SUMIF('NFI Distributions'!AW$53:AW$1048576,Table10[[#This Row],[Pcode]],'NFI Distributions'!AN$53:AN$1048576)</f>
        <v>0</v>
      </c>
      <c r="J28" s="106">
        <f ca="1">MAX(Table10[[#This Row],[HH]]*VLOOKUP("Winter Clothes Adult",NFI,6)-Table10[[#This Row],[Winter Clothes Adult ]],0)</f>
        <v>0</v>
      </c>
      <c r="K28" s="106">
        <f ca="1">MAX(Table10[[#This Row],[HH]]*VLOOKUP("Winter Clothes Children ",NFI,6)-Table10[[#This Row],[Winter Clothes Children ]],0)</f>
        <v>0</v>
      </c>
      <c r="L28" s="106">
        <f ca="1">MAX(Table10[[#This Row],[HH]]*VLOOKUP("Winter Items Other ",NFI,6)-Table10[[#This Row],[Winter Items Other ]],0)</f>
        <v>0</v>
      </c>
      <c r="M28" s="114" t="str">
        <f>IF(OR(Table10[[#This Row],[Winter Clothes Adult ]]&lt;&gt;0,Table10[[#This Row],[Winter Clothes Children ]]&lt;&gt;0,Table10[[#This Row],[Winter Items Other ]]&lt;&gt;0),"No","")</f>
        <v/>
      </c>
      <c r="N28" s="115">
        <f>COUNTIF(A:A,Table10[[#This Row],[Pcode]])-1</f>
        <v>0</v>
      </c>
    </row>
    <row r="29" spans="1:20" x14ac:dyDescent="0.3">
      <c r="A29" s="102" t="s">
        <v>320</v>
      </c>
      <c r="B29" s="7" t="e">
        <f ca="1">OFFSET(#REF!,MATCH(Table10[[#This Row],[Pcode]],CampList[CP_Pcode],0)-1,0,1,1)</f>
        <v>#REF!</v>
      </c>
      <c r="C29" s="7" t="str">
        <f ca="1">OFFSET(CampList[Camp],MATCH(Table10[[#This Row],[Pcode]],CampList[CP_Pcode],0)-1,0,1,1)</f>
        <v xml:space="preserve">Maga Yang </v>
      </c>
      <c r="D29" s="7" t="str">
        <f ca="1">OFFSET(CampList[Township],MATCH(Table10[[#This Row],[Pcode]],CampList[CP_Pcode],0)-1,0,1,1)</f>
        <v>Waingmaw</v>
      </c>
      <c r="E29" s="7">
        <f ca="1">OFFSET(CampList[HH],MATCH(Table10[[#This Row],[Pcode]],CampList[CP_Pcode],0)-1,0,1,1)</f>
        <v>407</v>
      </c>
      <c r="F29" s="7">
        <f ca="1">OFFSET(CampList[Total],MATCH(Table10[[#This Row],[Pcode]],CampList[CP_Pcode],0)-1,0,1,1)</f>
        <v>1731</v>
      </c>
      <c r="G29" s="106">
        <f>SUMIF('NFI Distributions'!AW$53:AW$1048576,Table10[[#This Row],[Pcode]],'NFI Distributions'!AL$53:AL$1048576)</f>
        <v>0</v>
      </c>
      <c r="H29" s="106">
        <f>SUMIF('NFI Distributions'!AW$53:AW$1048576,Table10[[#This Row],[Pcode]],'NFI Distributions'!AM$53:AM$1048576)</f>
        <v>0</v>
      </c>
      <c r="I29" s="106">
        <f>SUMIF('NFI Distributions'!AW$53:AW$1048576,Table10[[#This Row],[Pcode]],'NFI Distributions'!AN$53:AN$1048576)</f>
        <v>0</v>
      </c>
      <c r="J29" s="106">
        <f ca="1">MAX(Table10[[#This Row],[HH]]*VLOOKUP("Winter Clothes Adult",NFI,6)-Table10[[#This Row],[Winter Clothes Adult ]],0)</f>
        <v>814</v>
      </c>
      <c r="K29" s="106">
        <f ca="1">MAX(Table10[[#This Row],[HH]]*VLOOKUP("Winter Clothes Children ",NFI,6)-Table10[[#This Row],[Winter Clothes Children ]],0)</f>
        <v>407</v>
      </c>
      <c r="L29" s="106">
        <f ca="1">MAX(Table10[[#This Row],[HH]]*VLOOKUP("Winter Items Other ",NFI,6)-Table10[[#This Row],[Winter Items Other ]],0)</f>
        <v>407</v>
      </c>
      <c r="M29" s="114" t="str">
        <f>IF(OR(Table10[[#This Row],[Winter Clothes Adult ]]&lt;&gt;0,Table10[[#This Row],[Winter Clothes Children ]]&lt;&gt;0,Table10[[#This Row],[Winter Items Other ]]&lt;&gt;0),"No","")</f>
        <v/>
      </c>
      <c r="N29" s="115">
        <f>COUNTIF(A:A,Table10[[#This Row],[Pcode]])-1</f>
        <v>0</v>
      </c>
    </row>
    <row r="30" spans="1:20" x14ac:dyDescent="0.3">
      <c r="A30" s="102" t="s">
        <v>165</v>
      </c>
      <c r="B30" s="7" t="e">
        <f ca="1">OFFSET(#REF!,MATCH(Table10[[#This Row],[Pcode]],CampList[CP_Pcode],0)-1,0,1,1)</f>
        <v>#REF!</v>
      </c>
      <c r="C30" s="7" t="str">
        <f ca="1">OFFSET(CampList[Camp],MATCH(Table10[[#This Row],[Pcode]],CampList[CP_Pcode],0)-1,0,1,1)</f>
        <v>Mandung - Jinghpaw</v>
      </c>
      <c r="D30" s="7" t="str">
        <f ca="1">OFFSET(CampList[Township],MATCH(Table10[[#This Row],[Pcode]],CampList[CP_Pcode],0)-1,0,1,1)</f>
        <v>Manton</v>
      </c>
      <c r="E30" s="7">
        <f ca="1">OFFSET(CampList[HH],MATCH(Table10[[#This Row],[Pcode]],CampList[CP_Pcode],0)-1,0,1,1)</f>
        <v>29</v>
      </c>
      <c r="F30" s="7">
        <f ca="1">OFFSET(CampList[Total],MATCH(Table10[[#This Row],[Pcode]],CampList[CP_Pcode],0)-1,0,1,1)</f>
        <v>158</v>
      </c>
      <c r="G30" s="106">
        <f>SUMIF('NFI Distributions'!AW$53:AW$1048576,Table10[[#This Row],[Pcode]],'NFI Distributions'!AL$53:AL$1048576)</f>
        <v>0</v>
      </c>
      <c r="H30" s="106">
        <f>SUMIF('NFI Distributions'!AW$53:AW$1048576,Table10[[#This Row],[Pcode]],'NFI Distributions'!AM$53:AM$1048576)</f>
        <v>0</v>
      </c>
      <c r="I30" s="106">
        <f>SUMIF('NFI Distributions'!AW$53:AW$1048576,Table10[[#This Row],[Pcode]],'NFI Distributions'!AN$53:AN$1048576)</f>
        <v>0</v>
      </c>
      <c r="J30" s="106">
        <f ca="1">MAX(Table10[[#This Row],[HH]]*VLOOKUP("Winter Clothes Adult",NFI,6)-Table10[[#This Row],[Winter Clothes Adult ]],0)</f>
        <v>58</v>
      </c>
      <c r="K30" s="106">
        <f ca="1">MAX(Table10[[#This Row],[HH]]*VLOOKUP("Winter Clothes Children ",NFI,6)-Table10[[#This Row],[Winter Clothes Children ]],0)</f>
        <v>29</v>
      </c>
      <c r="L30" s="106">
        <f ca="1">MAX(Table10[[#This Row],[HH]]*VLOOKUP("Winter Items Other ",NFI,6)-Table10[[#This Row],[Winter Items Other ]],0)</f>
        <v>29</v>
      </c>
      <c r="M30" s="114" t="str">
        <f>IF(OR(Table10[[#This Row],[Winter Clothes Adult ]]&lt;&gt;0,Table10[[#This Row],[Winter Clothes Children ]]&lt;&gt;0,Table10[[#This Row],[Winter Items Other ]]&lt;&gt;0),"No","")</f>
        <v/>
      </c>
      <c r="N30" s="115">
        <f>COUNTIF(A:A,Table10[[#This Row],[Pcode]])-1</f>
        <v>0</v>
      </c>
    </row>
    <row r="31" spans="1:20" x14ac:dyDescent="0.3">
      <c r="A31" s="102" t="s">
        <v>771</v>
      </c>
      <c r="B31" s="7" t="e">
        <f ca="1">OFFSET(#REF!,MATCH(Table10[[#This Row],[Pcode]],CampList[CP_Pcode],0)-1,0,1,1)</f>
        <v>#REF!</v>
      </c>
      <c r="C31" s="7" t="str">
        <f ca="1">OFFSET(CampList[Camp],MATCH(Table10[[#This Row],[Pcode]],CampList[CP_Pcode],0)-1,0,1,1)</f>
        <v>Nam Hkawng</v>
      </c>
      <c r="D31" s="7" t="str">
        <f ca="1">OFFSET(CampList[Township],MATCH(Table10[[#This Row],[Pcode]],CampList[CP_Pcode],0)-1,0,1,1)</f>
        <v>Muse</v>
      </c>
      <c r="E31" s="7">
        <f ca="1">OFFSET(CampList[HH],MATCH(Table10[[#This Row],[Pcode]],CampList[CP_Pcode],0)-1,0,1,1)</f>
        <v>9</v>
      </c>
      <c r="F31" s="7">
        <f ca="1">OFFSET(CampList[Total],MATCH(Table10[[#This Row],[Pcode]],CampList[CP_Pcode],0)-1,0,1,1)</f>
        <v>44</v>
      </c>
      <c r="G31" s="106">
        <f>SUMIF('NFI Distributions'!AW$53:AW$1048576,Table10[[#This Row],[Pcode]],'NFI Distributions'!AL$53:AL$1048576)</f>
        <v>0</v>
      </c>
      <c r="H31" s="106">
        <f>SUMIF('NFI Distributions'!AW$53:AW$1048576,Table10[[#This Row],[Pcode]],'NFI Distributions'!AM$53:AM$1048576)</f>
        <v>0</v>
      </c>
      <c r="I31" s="106">
        <f>SUMIF('NFI Distributions'!AW$53:AW$1048576,Table10[[#This Row],[Pcode]],'NFI Distributions'!AN$53:AN$1048576)</f>
        <v>0</v>
      </c>
      <c r="J31" s="106">
        <f ca="1">MAX(Table10[[#This Row],[HH]]*VLOOKUP("Winter Clothes Adult",NFI,6)-Table10[[#This Row],[Winter Clothes Adult ]],0)</f>
        <v>18</v>
      </c>
      <c r="K31" s="106">
        <f ca="1">MAX(Table10[[#This Row],[HH]]*VLOOKUP("Winter Clothes Children ",NFI,6)-Table10[[#This Row],[Winter Clothes Children ]],0)</f>
        <v>9</v>
      </c>
      <c r="L31" s="106">
        <f ca="1">MAX(Table10[[#This Row],[HH]]*VLOOKUP("Winter Items Other ",NFI,6)-Table10[[#This Row],[Winter Items Other ]],0)</f>
        <v>9</v>
      </c>
      <c r="M31" s="114" t="str">
        <f>IF(OR(Table10[[#This Row],[Winter Clothes Adult ]]&lt;&gt;0,Table10[[#This Row],[Winter Clothes Children ]]&lt;&gt;0,Table10[[#This Row],[Winter Items Other ]]&lt;&gt;0),"No","")</f>
        <v/>
      </c>
      <c r="N31" s="115">
        <f>COUNTIF(A:A,Table10[[#This Row],[Pcode]])-1</f>
        <v>0</v>
      </c>
    </row>
    <row r="32" spans="1:20" x14ac:dyDescent="0.3">
      <c r="A32" s="102" t="s">
        <v>184</v>
      </c>
      <c r="B32" s="7" t="e">
        <f ca="1">OFFSET(#REF!,MATCH(Table10[[#This Row],[Pcode]],CampList[CP_Pcode],0)-1,0,1,1)</f>
        <v>#REF!</v>
      </c>
      <c r="C32" s="7" t="str">
        <f ca="1">OFFSET(CampList[Camp],MATCH(Table10[[#This Row],[Pcode]],CampList[CP_Pcode],0)-1,0,1,1)</f>
        <v>Loi Je Baptist Church</v>
      </c>
      <c r="D32" s="7" t="str">
        <f ca="1">OFFSET(CampList[Township],MATCH(Table10[[#This Row],[Pcode]],CampList[CP_Pcode],0)-1,0,1,1)</f>
        <v>Momauk</v>
      </c>
      <c r="E32" s="7">
        <f ca="1">OFFSET(CampList[HH],MATCH(Table10[[#This Row],[Pcode]],CampList[CP_Pcode],0)-1,0,1,1)</f>
        <v>38</v>
      </c>
      <c r="F32" s="7">
        <f ca="1">OFFSET(CampList[Total],MATCH(Table10[[#This Row],[Pcode]],CampList[CP_Pcode],0)-1,0,1,1)</f>
        <v>244</v>
      </c>
      <c r="G32" s="106">
        <f>SUMIF('NFI Distributions'!AW$53:AW$1048576,Table10[[#This Row],[Pcode]],'NFI Distributions'!AL$53:AL$1048576)</f>
        <v>0</v>
      </c>
      <c r="H32" s="106">
        <f>SUMIF('NFI Distributions'!AW$53:AW$1048576,Table10[[#This Row],[Pcode]],'NFI Distributions'!AM$53:AM$1048576)</f>
        <v>0</v>
      </c>
      <c r="I32" s="106">
        <f>SUMIF('NFI Distributions'!AW$53:AW$1048576,Table10[[#This Row],[Pcode]],'NFI Distributions'!AN$53:AN$1048576)</f>
        <v>0</v>
      </c>
      <c r="J32" s="106">
        <f ca="1">MAX(Table10[[#This Row],[HH]]*VLOOKUP("Winter Clothes Adult",NFI,6)-Table10[[#This Row],[Winter Clothes Adult ]],0)</f>
        <v>76</v>
      </c>
      <c r="K32" s="106">
        <f ca="1">MAX(Table10[[#This Row],[HH]]*VLOOKUP("Winter Clothes Children ",NFI,6)-Table10[[#This Row],[Winter Clothes Children ]],0)</f>
        <v>38</v>
      </c>
      <c r="L32" s="106">
        <f ca="1">MAX(Table10[[#This Row],[HH]]*VLOOKUP("Winter Items Other ",NFI,6)-Table10[[#This Row],[Winter Items Other ]],0)</f>
        <v>38</v>
      </c>
      <c r="M32" s="114" t="str">
        <f>IF(OR(Table10[[#This Row],[Winter Clothes Adult ]]&lt;&gt;0,Table10[[#This Row],[Winter Clothes Children ]]&lt;&gt;0,Table10[[#This Row],[Winter Items Other ]]&lt;&gt;0),"No","")</f>
        <v/>
      </c>
      <c r="N32" s="115">
        <f>COUNTIF(A:A,Table10[[#This Row],[Pcode]])-1</f>
        <v>0</v>
      </c>
    </row>
    <row r="33" spans="1:14" x14ac:dyDescent="0.3">
      <c r="A33" s="102" t="s">
        <v>222</v>
      </c>
      <c r="B33" s="7" t="e">
        <f ca="1">OFFSET(#REF!,MATCH(Table10[[#This Row],[Pcode]],CampList[CP_Pcode],0)-1,0,1,1)</f>
        <v>#REF!</v>
      </c>
      <c r="C33" s="7" t="str">
        <f ca="1">OFFSET(CampList[Camp],MATCH(Table10[[#This Row],[Pcode]],CampList[CP_Pcode],0)-1,0,1,1)</f>
        <v>Loi Je Catholic Church</v>
      </c>
      <c r="D33" s="7" t="str">
        <f ca="1">OFFSET(CampList[Township],MATCH(Table10[[#This Row],[Pcode]],CampList[CP_Pcode],0)-1,0,1,1)</f>
        <v>Momauk</v>
      </c>
      <c r="E33" s="7">
        <f ca="1">OFFSET(CampList[HH],MATCH(Table10[[#This Row],[Pcode]],CampList[CP_Pcode],0)-1,0,1,1)</f>
        <v>129</v>
      </c>
      <c r="F33" s="7">
        <f ca="1">OFFSET(CampList[Total],MATCH(Table10[[#This Row],[Pcode]],CampList[CP_Pcode],0)-1,0,1,1)</f>
        <v>646</v>
      </c>
      <c r="G33" s="106">
        <f>SUMIF('NFI Distributions'!AW$53:AW$1048576,Table10[[#This Row],[Pcode]],'NFI Distributions'!AL$53:AL$1048576)</f>
        <v>0</v>
      </c>
      <c r="H33" s="106">
        <f>SUMIF('NFI Distributions'!AW$53:AW$1048576,Table10[[#This Row],[Pcode]],'NFI Distributions'!AM$53:AM$1048576)</f>
        <v>0</v>
      </c>
      <c r="I33" s="106">
        <f>SUMIF('NFI Distributions'!AW$53:AW$1048576,Table10[[#This Row],[Pcode]],'NFI Distributions'!AN$53:AN$1048576)</f>
        <v>0</v>
      </c>
      <c r="J33" s="106">
        <f ca="1">MAX(Table10[[#This Row],[HH]]*VLOOKUP("Winter Clothes Adult",NFI,6)-Table10[[#This Row],[Winter Clothes Adult ]],0)</f>
        <v>258</v>
      </c>
      <c r="K33" s="106">
        <f ca="1">MAX(Table10[[#This Row],[HH]]*VLOOKUP("Winter Clothes Children ",NFI,6)-Table10[[#This Row],[Winter Clothes Children ]],0)</f>
        <v>129</v>
      </c>
      <c r="L33" s="106">
        <f ca="1">MAX(Table10[[#This Row],[HH]]*VLOOKUP("Winter Items Other ",NFI,6)-Table10[[#This Row],[Winter Items Other ]],0)</f>
        <v>129</v>
      </c>
      <c r="M33" s="114" t="str">
        <f>IF(OR(Table10[[#This Row],[Winter Clothes Adult ]]&lt;&gt;0,Table10[[#This Row],[Winter Clothes Children ]]&lt;&gt;0,Table10[[#This Row],[Winter Items Other ]]&lt;&gt;0),"No","")</f>
        <v/>
      </c>
      <c r="N33" s="115">
        <f>COUNTIF(A:A,Table10[[#This Row],[Pcode]])-1</f>
        <v>0</v>
      </c>
    </row>
    <row r="34" spans="1:14" x14ac:dyDescent="0.3">
      <c r="A34" s="102" t="s">
        <v>189</v>
      </c>
      <c r="B34" s="7" t="e">
        <f ca="1">OFFSET(#REF!,MATCH(Table10[[#This Row],[Pcode]],CampList[CP_Pcode],0)-1,0,1,1)</f>
        <v>#REF!</v>
      </c>
      <c r="C34" s="7" t="str">
        <f ca="1">OFFSET(CampList[Camp],MATCH(Table10[[#This Row],[Pcode]],CampList[CP_Pcode],0)-1,0,1,1)</f>
        <v>Loi Je Lisu Camp</v>
      </c>
      <c r="D34" s="7" t="str">
        <f ca="1">OFFSET(CampList[Township],MATCH(Table10[[#This Row],[Pcode]],CampList[CP_Pcode],0)-1,0,1,1)</f>
        <v>Momauk</v>
      </c>
      <c r="E34" s="7">
        <f ca="1">OFFSET(CampList[HH],MATCH(Table10[[#This Row],[Pcode]],CampList[CP_Pcode],0)-1,0,1,1)</f>
        <v>210</v>
      </c>
      <c r="F34" s="7">
        <f ca="1">OFFSET(CampList[Total],MATCH(Table10[[#This Row],[Pcode]],CampList[CP_Pcode],0)-1,0,1,1)</f>
        <v>1212</v>
      </c>
      <c r="G34" s="106">
        <f>SUMIF('NFI Distributions'!AW$53:AW$1048576,Table10[[#This Row],[Pcode]],'NFI Distributions'!AL$53:AL$1048576)</f>
        <v>0</v>
      </c>
      <c r="H34" s="106">
        <f>SUMIF('NFI Distributions'!AW$53:AW$1048576,Table10[[#This Row],[Pcode]],'NFI Distributions'!AM$53:AM$1048576)</f>
        <v>0</v>
      </c>
      <c r="I34" s="106">
        <f>SUMIF('NFI Distributions'!AW$53:AW$1048576,Table10[[#This Row],[Pcode]],'NFI Distributions'!AN$53:AN$1048576)</f>
        <v>0</v>
      </c>
      <c r="J34" s="106">
        <f ca="1">MAX(Table10[[#This Row],[HH]]*VLOOKUP("Winter Clothes Adult",NFI,6)-Table10[[#This Row],[Winter Clothes Adult ]],0)</f>
        <v>420</v>
      </c>
      <c r="K34" s="106">
        <f ca="1">MAX(Table10[[#This Row],[HH]]*VLOOKUP("Winter Clothes Children ",NFI,6)-Table10[[#This Row],[Winter Clothes Children ]],0)</f>
        <v>210</v>
      </c>
      <c r="L34" s="106">
        <f ca="1">MAX(Table10[[#This Row],[HH]]*VLOOKUP("Winter Items Other ",NFI,6)-Table10[[#This Row],[Winter Items Other ]],0)</f>
        <v>210</v>
      </c>
      <c r="M34" s="114" t="str">
        <f>IF(OR(Table10[[#This Row],[Winter Clothes Adult ]]&lt;&gt;0,Table10[[#This Row],[Winter Clothes Children ]]&lt;&gt;0,Table10[[#This Row],[Winter Items Other ]]&lt;&gt;0),"No","")</f>
        <v/>
      </c>
      <c r="N34" s="115">
        <f>COUNTIF(A:A,Table10[[#This Row],[Pcode]])-1</f>
        <v>0</v>
      </c>
    </row>
    <row r="35" spans="1:14" x14ac:dyDescent="0.3">
      <c r="A35" s="102" t="s">
        <v>224</v>
      </c>
      <c r="B35" s="7" t="e">
        <f ca="1">OFFSET(#REF!,MATCH(Table10[[#This Row],[Pcode]],CampList[CP_Pcode],0)-1,0,1,1)</f>
        <v>#REF!</v>
      </c>
      <c r="C35" s="7" t="str">
        <f ca="1">OFFSET(CampList[Camp],MATCH(Table10[[#This Row],[Pcode]],CampList[CP_Pcode],0)-1,0,1,1)</f>
        <v xml:space="preserve">Seng Ja </v>
      </c>
      <c r="D35" s="7" t="str">
        <f ca="1">OFFSET(CampList[Township],MATCH(Table10[[#This Row],[Pcode]],CampList[CP_Pcode],0)-1,0,1,1)</f>
        <v>Momauk</v>
      </c>
      <c r="E35" s="7">
        <f ca="1">OFFSET(CampList[HH],MATCH(Table10[[#This Row],[Pcode]],CampList[CP_Pcode],0)-1,0,1,1)</f>
        <v>44</v>
      </c>
      <c r="F35" s="7">
        <f ca="1">OFFSET(CampList[Total],MATCH(Table10[[#This Row],[Pcode]],CampList[CP_Pcode],0)-1,0,1,1)</f>
        <v>276</v>
      </c>
      <c r="G35" s="106">
        <f>SUMIF('NFI Distributions'!AW$53:AW$1048576,Table10[[#This Row],[Pcode]],'NFI Distributions'!AL$53:AL$1048576)</f>
        <v>0</v>
      </c>
      <c r="H35" s="106">
        <f>SUMIF('NFI Distributions'!AW$53:AW$1048576,Table10[[#This Row],[Pcode]],'NFI Distributions'!AM$53:AM$1048576)</f>
        <v>0</v>
      </c>
      <c r="I35" s="106">
        <f>SUMIF('NFI Distributions'!AW$53:AW$1048576,Table10[[#This Row],[Pcode]],'NFI Distributions'!AN$53:AN$1048576)</f>
        <v>0</v>
      </c>
      <c r="J35" s="106">
        <f ca="1">MAX(Table10[[#This Row],[HH]]*VLOOKUP("Winter Clothes Adult",NFI,6)-Table10[[#This Row],[Winter Clothes Adult ]],0)</f>
        <v>88</v>
      </c>
      <c r="K35" s="106">
        <f ca="1">MAX(Table10[[#This Row],[HH]]*VLOOKUP("Winter Clothes Children ",NFI,6)-Table10[[#This Row],[Winter Clothes Children ]],0)</f>
        <v>44</v>
      </c>
      <c r="L35" s="106">
        <f ca="1">MAX(Table10[[#This Row],[HH]]*VLOOKUP("Winter Items Other ",NFI,6)-Table10[[#This Row],[Winter Items Other ]],0)</f>
        <v>44</v>
      </c>
      <c r="M35" s="114" t="str">
        <f>IF(OR(Table10[[#This Row],[Winter Clothes Adult ]]&lt;&gt;0,Table10[[#This Row],[Winter Clothes Children ]]&lt;&gt;0,Table10[[#This Row],[Winter Items Other ]]&lt;&gt;0),"No","")</f>
        <v/>
      </c>
      <c r="N35" s="115">
        <f>COUNTIF(A:A,Table10[[#This Row],[Pcode]])-1</f>
        <v>0</v>
      </c>
    </row>
    <row r="36" spans="1:14" x14ac:dyDescent="0.3">
      <c r="A36" s="102" t="s">
        <v>228</v>
      </c>
      <c r="B36" s="7" t="e">
        <f ca="1">OFFSET(#REF!,MATCH(Table10[[#This Row],[Pcode]],CampList[CP_Pcode],0)-1,0,1,1)</f>
        <v>#REF!</v>
      </c>
      <c r="C36" s="7" t="str">
        <f ca="1">OFFSET(CampList[Camp],MATCH(Table10[[#This Row],[Pcode]],CampList[CP_Pcode],0)-1,0,1,1)</f>
        <v xml:space="preserve">Nyaung Na Pin </v>
      </c>
      <c r="D36" s="7" t="str">
        <f ca="1">OFFSET(CampList[Township],MATCH(Table10[[#This Row],[Pcode]],CampList[CP_Pcode],0)-1,0,1,1)</f>
        <v>Momauk</v>
      </c>
      <c r="E36" s="7">
        <f ca="1">OFFSET(CampList[HH],MATCH(Table10[[#This Row],[Pcode]],CampList[CP_Pcode],0)-1,0,1,1)</f>
        <v>49</v>
      </c>
      <c r="F36" s="7">
        <f ca="1">OFFSET(CampList[Total],MATCH(Table10[[#This Row],[Pcode]],CampList[CP_Pcode],0)-1,0,1,1)</f>
        <v>300</v>
      </c>
      <c r="G36" s="106">
        <f>SUMIF('NFI Distributions'!AW$53:AW$1048576,Table10[[#This Row],[Pcode]],'NFI Distributions'!AL$53:AL$1048576)</f>
        <v>0</v>
      </c>
      <c r="H36" s="106">
        <f>SUMIF('NFI Distributions'!AW$53:AW$1048576,Table10[[#This Row],[Pcode]],'NFI Distributions'!AM$53:AM$1048576)</f>
        <v>0</v>
      </c>
      <c r="I36" s="106">
        <f>SUMIF('NFI Distributions'!AW$53:AW$1048576,Table10[[#This Row],[Pcode]],'NFI Distributions'!AN$53:AN$1048576)</f>
        <v>0</v>
      </c>
      <c r="J36" s="106">
        <f ca="1">MAX(Table10[[#This Row],[HH]]*VLOOKUP("Winter Clothes Adult",NFI,6)-Table10[[#This Row],[Winter Clothes Adult ]],0)</f>
        <v>98</v>
      </c>
      <c r="K36" s="106">
        <f ca="1">MAX(Table10[[#This Row],[HH]]*VLOOKUP("Winter Clothes Children ",NFI,6)-Table10[[#This Row],[Winter Clothes Children ]],0)</f>
        <v>49</v>
      </c>
      <c r="L36" s="106">
        <f ca="1">MAX(Table10[[#This Row],[HH]]*VLOOKUP("Winter Items Other ",NFI,6)-Table10[[#This Row],[Winter Items Other ]],0)</f>
        <v>49</v>
      </c>
      <c r="M36" s="114" t="str">
        <f>IF(OR(Table10[[#This Row],[Winter Clothes Adult ]]&lt;&gt;0,Table10[[#This Row],[Winter Clothes Children ]]&lt;&gt;0,Table10[[#This Row],[Winter Items Other ]]&lt;&gt;0),"No","")</f>
        <v/>
      </c>
      <c r="N36" s="115">
        <f>COUNTIF(A:A,Table10[[#This Row],[Pcode]])-1</f>
        <v>0</v>
      </c>
    </row>
    <row r="37" spans="1:14" x14ac:dyDescent="0.3">
      <c r="A37" s="102" t="s">
        <v>820</v>
      </c>
      <c r="B37" s="7" t="e">
        <f ca="1">OFFSET(#REF!,MATCH(Table10[[#This Row],[Pcode]],CampList[CP_Pcode],0)-1,0,1,1)</f>
        <v>#REF!</v>
      </c>
      <c r="C37" s="7" t="str">
        <f ca="1">OFFSET(CampList[Camp],MATCH(Table10[[#This Row],[Pcode]],CampList[CP_Pcode],0)-1,0,1,1)</f>
        <v>Machanbaw - KBC</v>
      </c>
      <c r="D37" s="7" t="str">
        <f ca="1">OFFSET(CampList[Township],MATCH(Table10[[#This Row],[Pcode]],CampList[CP_Pcode],0)-1,0,1,1)</f>
        <v>Machanbaw</v>
      </c>
      <c r="E37" s="7">
        <f ca="1">OFFSET(CampList[HH],MATCH(Table10[[#This Row],[Pcode]],CampList[CP_Pcode],0)-1,0,1,1)</f>
        <v>0</v>
      </c>
      <c r="F37" s="7">
        <f ca="1">OFFSET(CampList[Total],MATCH(Table10[[#This Row],[Pcode]],CampList[CP_Pcode],0)-1,0,1,1)</f>
        <v>0</v>
      </c>
      <c r="G37" s="106">
        <f>SUMIF('NFI Distributions'!AW$53:AW$1048576,Table10[[#This Row],[Pcode]],'NFI Distributions'!AL$53:AL$1048576)</f>
        <v>0</v>
      </c>
      <c r="H37" s="106">
        <f>SUMIF('NFI Distributions'!AW$53:AW$1048576,Table10[[#This Row],[Pcode]],'NFI Distributions'!AM$53:AM$1048576)</f>
        <v>0</v>
      </c>
      <c r="I37" s="106">
        <f>SUMIF('NFI Distributions'!AW$53:AW$1048576,Table10[[#This Row],[Pcode]],'NFI Distributions'!AN$53:AN$1048576)</f>
        <v>0</v>
      </c>
      <c r="J37" s="106">
        <f ca="1">MAX(Table10[[#This Row],[HH]]*VLOOKUP("Winter Clothes Adult",NFI,6)-Table10[[#This Row],[Winter Clothes Adult ]],0)</f>
        <v>0</v>
      </c>
      <c r="K37" s="106">
        <f ca="1">MAX(Table10[[#This Row],[HH]]*VLOOKUP("Winter Clothes Children ",NFI,6)-Table10[[#This Row],[Winter Clothes Children ]],0)</f>
        <v>0</v>
      </c>
      <c r="L37" s="106">
        <f ca="1">MAX(Table10[[#This Row],[HH]]*VLOOKUP("Winter Items Other ",NFI,6)-Table10[[#This Row],[Winter Items Other ]],0)</f>
        <v>0</v>
      </c>
      <c r="M37" s="114" t="str">
        <f>IF(OR(Table10[[#This Row],[Winter Clothes Adult ]]&lt;&gt;0,Table10[[#This Row],[Winter Clothes Children ]]&lt;&gt;0,Table10[[#This Row],[Winter Items Other ]]&lt;&gt;0),"No","")</f>
        <v/>
      </c>
      <c r="N37" s="115">
        <f>COUNTIF(A:A,Table10[[#This Row],[Pcode]])-1</f>
        <v>0</v>
      </c>
    </row>
    <row r="38" spans="1:14" x14ac:dyDescent="0.3">
      <c r="A38" s="102" t="s">
        <v>891</v>
      </c>
      <c r="B38" s="7" t="e">
        <f ca="1">OFFSET(#REF!,MATCH(Table10[[#This Row],[Pcode]],CampList[CP_Pcode],0)-1,0,1,1)</f>
        <v>#REF!</v>
      </c>
      <c r="C38" s="7" t="str">
        <f ca="1">OFFSET(CampList[Camp],MATCH(Table10[[#This Row],[Pcode]],CampList[CP_Pcode],0)-1,0,1,1)</f>
        <v>Inn Lel Yan - IDPs in Host</v>
      </c>
      <c r="D38" s="7" t="str">
        <f ca="1">OFFSET(CampList[Township],MATCH(Table10[[#This Row],[Pcode]],CampList[CP_Pcode],0)-1,0,1,1)</f>
        <v>Puta-O</v>
      </c>
      <c r="E38" s="7">
        <f ca="1">OFFSET(CampList[HH],MATCH(Table10[[#This Row],[Pcode]],CampList[CP_Pcode],0)-1,0,1,1)</f>
        <v>10</v>
      </c>
      <c r="F38" s="7">
        <f ca="1">OFFSET(CampList[Total],MATCH(Table10[[#This Row],[Pcode]],CampList[CP_Pcode],0)-1,0,1,1)</f>
        <v>56</v>
      </c>
      <c r="G38" s="106">
        <f>SUMIF('NFI Distributions'!AW$53:AW$1048576,Table10[[#This Row],[Pcode]],'NFI Distributions'!AL$53:AL$1048576)</f>
        <v>0</v>
      </c>
      <c r="H38" s="106">
        <f>SUMIF('NFI Distributions'!AW$53:AW$1048576,Table10[[#This Row],[Pcode]],'NFI Distributions'!AM$53:AM$1048576)</f>
        <v>0</v>
      </c>
      <c r="I38" s="106">
        <f>SUMIF('NFI Distributions'!AW$53:AW$1048576,Table10[[#This Row],[Pcode]],'NFI Distributions'!AN$53:AN$1048576)</f>
        <v>0</v>
      </c>
      <c r="J38" s="106">
        <f ca="1">MAX(Table10[[#This Row],[HH]]*VLOOKUP("Winter Clothes Adult",NFI,6)-Table10[[#This Row],[Winter Clothes Adult ]],0)</f>
        <v>20</v>
      </c>
      <c r="K38" s="106">
        <f ca="1">MAX(Table10[[#This Row],[HH]]*VLOOKUP("Winter Clothes Children ",NFI,6)-Table10[[#This Row],[Winter Clothes Children ]],0)</f>
        <v>10</v>
      </c>
      <c r="L38" s="106">
        <f ca="1">MAX(Table10[[#This Row],[HH]]*VLOOKUP("Winter Items Other ",NFI,6)-Table10[[#This Row],[Winter Items Other ]],0)</f>
        <v>10</v>
      </c>
      <c r="M38" s="114" t="str">
        <f>IF(OR(Table10[[#This Row],[Winter Clothes Adult ]]&lt;&gt;0,Table10[[#This Row],[Winter Clothes Children ]]&lt;&gt;0,Table10[[#This Row],[Winter Items Other ]]&lt;&gt;0),"No","")</f>
        <v/>
      </c>
      <c r="N38" s="115">
        <f>COUNTIF(A:A,Table10[[#This Row],[Pcode]])-1</f>
        <v>0</v>
      </c>
    </row>
    <row r="39" spans="1:14" x14ac:dyDescent="0.3">
      <c r="A39" s="102" t="s">
        <v>816</v>
      </c>
      <c r="B39" s="7" t="e">
        <f ca="1">OFFSET(#REF!,MATCH(Table10[[#This Row],[Pcode]],CampList[CP_Pcode],0)-1,0,1,1)</f>
        <v>#REF!</v>
      </c>
      <c r="C39" s="7" t="str">
        <f ca="1">OFFSET(CampList[Camp],MATCH(Table10[[#This Row],[Pcode]],CampList[CP_Pcode],0)-1,0,1,1)</f>
        <v>Naung Khaing</v>
      </c>
      <c r="D39" s="7" t="str">
        <f ca="1">OFFSET(CampList[Township],MATCH(Table10[[#This Row],[Pcode]],CampList[CP_Pcode],0)-1,0,1,1)</f>
        <v>Puta-O</v>
      </c>
      <c r="E39" s="7">
        <f ca="1">OFFSET(CampList[HH],MATCH(Table10[[#This Row],[Pcode]],CampList[CP_Pcode],0)-1,0,1,1)</f>
        <v>0</v>
      </c>
      <c r="F39" s="7">
        <f ca="1">OFFSET(CampList[Total],MATCH(Table10[[#This Row],[Pcode]],CampList[CP_Pcode],0)-1,0,1,1)</f>
        <v>0</v>
      </c>
      <c r="G39" s="106">
        <f>SUMIF('NFI Distributions'!AW$53:AW$1048576,Table10[[#This Row],[Pcode]],'NFI Distributions'!AL$53:AL$1048576)</f>
        <v>0</v>
      </c>
      <c r="H39" s="106">
        <f>SUMIF('NFI Distributions'!AW$53:AW$1048576,Table10[[#This Row],[Pcode]],'NFI Distributions'!AM$53:AM$1048576)</f>
        <v>0</v>
      </c>
      <c r="I39" s="106">
        <f>SUMIF('NFI Distributions'!AW$53:AW$1048576,Table10[[#This Row],[Pcode]],'NFI Distributions'!AN$53:AN$1048576)</f>
        <v>0</v>
      </c>
      <c r="J39" s="106">
        <f ca="1">MAX(Table10[[#This Row],[HH]]*VLOOKUP("Winter Clothes Adult",NFI,6)-Table10[[#This Row],[Winter Clothes Adult ]],0)</f>
        <v>0</v>
      </c>
      <c r="K39" s="106">
        <f ca="1">MAX(Table10[[#This Row],[HH]]*VLOOKUP("Winter Clothes Children ",NFI,6)-Table10[[#This Row],[Winter Clothes Children ]],0)</f>
        <v>0</v>
      </c>
      <c r="L39" s="106">
        <f ca="1">MAX(Table10[[#This Row],[HH]]*VLOOKUP("Winter Items Other ",NFI,6)-Table10[[#This Row],[Winter Items Other ]],0)</f>
        <v>0</v>
      </c>
      <c r="M39" s="114" t="str">
        <f>IF(OR(Table10[[#This Row],[Winter Clothes Adult ]]&lt;&gt;0,Table10[[#This Row],[Winter Clothes Children ]]&lt;&gt;0,Table10[[#This Row],[Winter Items Other ]]&lt;&gt;0),"No","")</f>
        <v/>
      </c>
      <c r="N39" s="115">
        <f>COUNTIF(A:A,Table10[[#This Row],[Pcode]])-1</f>
        <v>0</v>
      </c>
    </row>
    <row r="40" spans="1:14" x14ac:dyDescent="0.3">
      <c r="A40" s="102" t="s">
        <v>298</v>
      </c>
      <c r="B40" s="7" t="e">
        <f ca="1">OFFSET(#REF!,MATCH(Table10[[#This Row],[Pcode]],CampList[CP_Pcode],0)-1,0,1,1)</f>
        <v>#REF!</v>
      </c>
      <c r="C40" s="7" t="str">
        <f ca="1">OFFSET(CampList[Camp],MATCH(Table10[[#This Row],[Pcode]],CampList[CP_Pcode],0)-1,0,1,1)</f>
        <v>Tote Tan Ward</v>
      </c>
      <c r="D40" s="7" t="str">
        <f ca="1">OFFSET(CampList[Township],MATCH(Table10[[#This Row],[Pcode]],CampList[CP_Pcode],0)-1,0,1,1)</f>
        <v>Puta-O</v>
      </c>
      <c r="E40" s="7">
        <f ca="1">OFFSET(CampList[HH],MATCH(Table10[[#This Row],[Pcode]],CampList[CP_Pcode],0)-1,0,1,1)</f>
        <v>17</v>
      </c>
      <c r="F40" s="7">
        <f ca="1">OFFSET(CampList[Total],MATCH(Table10[[#This Row],[Pcode]],CampList[CP_Pcode],0)-1,0,1,1)</f>
        <v>92</v>
      </c>
      <c r="G40" s="106">
        <f>SUMIF('NFI Distributions'!AW$53:AW$1048576,Table10[[#This Row],[Pcode]],'NFI Distributions'!AL$53:AL$1048576)</f>
        <v>0</v>
      </c>
      <c r="H40" s="106">
        <f>SUMIF('NFI Distributions'!AW$53:AW$1048576,Table10[[#This Row],[Pcode]],'NFI Distributions'!AM$53:AM$1048576)</f>
        <v>0</v>
      </c>
      <c r="I40" s="106">
        <f>SUMIF('NFI Distributions'!AW$53:AW$1048576,Table10[[#This Row],[Pcode]],'NFI Distributions'!AN$53:AN$1048576)</f>
        <v>0</v>
      </c>
      <c r="J40" s="106">
        <f ca="1">MAX(Table10[[#This Row],[HH]]*VLOOKUP("Winter Clothes Adult",NFI,6)-Table10[[#This Row],[Winter Clothes Adult ]],0)</f>
        <v>34</v>
      </c>
      <c r="K40" s="106">
        <f ca="1">MAX(Table10[[#This Row],[HH]]*VLOOKUP("Winter Clothes Children ",NFI,6)-Table10[[#This Row],[Winter Clothes Children ]],0)</f>
        <v>17</v>
      </c>
      <c r="L40" s="106">
        <f ca="1">MAX(Table10[[#This Row],[HH]]*VLOOKUP("Winter Items Other ",NFI,6)-Table10[[#This Row],[Winter Items Other ]],0)</f>
        <v>17</v>
      </c>
      <c r="M40" s="114" t="str">
        <f>IF(OR(Table10[[#This Row],[Winter Clothes Adult ]]&lt;&gt;0,Table10[[#This Row],[Winter Clothes Children ]]&lt;&gt;0,Table10[[#This Row],[Winter Items Other ]]&lt;&gt;0),"No","")</f>
        <v/>
      </c>
      <c r="N40" s="115">
        <f>COUNTIF(A:A,Table10[[#This Row],[Pcode]])-1</f>
        <v>0</v>
      </c>
    </row>
    <row r="41" spans="1:14" x14ac:dyDescent="0.3">
      <c r="A41" s="102" t="s">
        <v>380</v>
      </c>
      <c r="B41" s="7" t="e">
        <f ca="1">OFFSET(#REF!,MATCH(Table10[[#This Row],[Pcode]],CampList[CP_Pcode],0)-1,0,1,1)</f>
        <v>#REF!</v>
      </c>
      <c r="C41" s="7" t="str">
        <f ca="1">OFFSET(CampList[Camp],MATCH(Table10[[#This Row],[Pcode]],CampList[CP_Pcode],0)-1,0,1,1)</f>
        <v>Kone Khem Camp</v>
      </c>
      <c r="D41" s="7" t="str">
        <f ca="1">OFFSET(CampList[Township],MATCH(Table10[[#This Row],[Pcode]],CampList[CP_Pcode],0)-1,0,1,1)</f>
        <v>Kutkai</v>
      </c>
      <c r="E41" s="7">
        <f ca="1">OFFSET(CampList[HH],MATCH(Table10[[#This Row],[Pcode]],CampList[CP_Pcode],0)-1,0,1,1)</f>
        <v>0</v>
      </c>
      <c r="F41" s="7">
        <f ca="1">OFFSET(CampList[Total],MATCH(Table10[[#This Row],[Pcode]],CampList[CP_Pcode],0)-1,0,1,1)</f>
        <v>0</v>
      </c>
      <c r="G41" s="106">
        <f>SUMIF('NFI Distributions'!AW$53:AW$1048576,Table10[[#This Row],[Pcode]],'NFI Distributions'!AL$53:AL$1048576)</f>
        <v>0</v>
      </c>
      <c r="H41" s="106">
        <f>SUMIF('NFI Distributions'!AW$53:AW$1048576,Table10[[#This Row],[Pcode]],'NFI Distributions'!AM$53:AM$1048576)</f>
        <v>0</v>
      </c>
      <c r="I41" s="106">
        <f>SUMIF('NFI Distributions'!AW$53:AW$1048576,Table10[[#This Row],[Pcode]],'NFI Distributions'!AN$53:AN$1048576)</f>
        <v>0</v>
      </c>
      <c r="J41" s="106">
        <f ca="1">MAX(Table10[[#This Row],[HH]]*VLOOKUP("Winter Clothes Adult",NFI,6)-Table10[[#This Row],[Winter Clothes Adult ]],0)</f>
        <v>0</v>
      </c>
      <c r="K41" s="106">
        <f ca="1">MAX(Table10[[#This Row],[HH]]*VLOOKUP("Winter Clothes Children ",NFI,6)-Table10[[#This Row],[Winter Clothes Children ]],0)</f>
        <v>0</v>
      </c>
      <c r="L41" s="106">
        <f ca="1">MAX(Table10[[#This Row],[HH]]*VLOOKUP("Winter Items Other ",NFI,6)-Table10[[#This Row],[Winter Items Other ]],0)</f>
        <v>0</v>
      </c>
      <c r="M41" s="114" t="str">
        <f>IF(OR(Table10[[#This Row],[Winter Clothes Adult ]]&lt;&gt;0,Table10[[#This Row],[Winter Clothes Children ]]&lt;&gt;0,Table10[[#This Row],[Winter Items Other ]]&lt;&gt;0),"No","")</f>
        <v/>
      </c>
      <c r="N41" s="115">
        <f>COUNTIF(A:A,Table10[[#This Row],[Pcode]])-1</f>
        <v>0</v>
      </c>
    </row>
    <row r="42" spans="1:14" x14ac:dyDescent="0.3">
      <c r="A42" s="102" t="s">
        <v>381</v>
      </c>
      <c r="B42" s="7" t="e">
        <f ca="1">OFFSET(#REF!,MATCH(Table10[[#This Row],[Pcode]],CampList[CP_Pcode],0)-1,0,1,1)</f>
        <v>#REF!</v>
      </c>
      <c r="C42" s="7" t="str">
        <f ca="1">OFFSET(CampList[Camp],MATCH(Table10[[#This Row],[Pcode]],CampList[CP_Pcode],0)-1,0,1,1)</f>
        <v>Kutkai downtown (KBC Church)</v>
      </c>
      <c r="D42" s="7" t="str">
        <f ca="1">OFFSET(CampList[Township],MATCH(Table10[[#This Row],[Pcode]],CampList[CP_Pcode],0)-1,0,1,1)</f>
        <v>Kutkai</v>
      </c>
      <c r="E42" s="7">
        <f ca="1">OFFSET(CampList[HH],MATCH(Table10[[#This Row],[Pcode]],CampList[CP_Pcode],0)-1,0,1,1)</f>
        <v>53</v>
      </c>
      <c r="F42" s="7">
        <f ca="1">OFFSET(CampList[Total],MATCH(Table10[[#This Row],[Pcode]],CampList[CP_Pcode],0)-1,0,1,1)</f>
        <v>261</v>
      </c>
      <c r="G42" s="106">
        <f>SUMIF('NFI Distributions'!AW$53:AW$1048576,Table10[[#This Row],[Pcode]],'NFI Distributions'!AL$53:AL$1048576)</f>
        <v>0</v>
      </c>
      <c r="H42" s="106">
        <f>SUMIF('NFI Distributions'!AW$53:AW$1048576,Table10[[#This Row],[Pcode]],'NFI Distributions'!AM$53:AM$1048576)</f>
        <v>0</v>
      </c>
      <c r="I42" s="106">
        <f>SUMIF('NFI Distributions'!AW$53:AW$1048576,Table10[[#This Row],[Pcode]],'NFI Distributions'!AN$53:AN$1048576)</f>
        <v>0</v>
      </c>
      <c r="J42" s="106">
        <f ca="1">MAX(Table10[[#This Row],[HH]]*VLOOKUP("Winter Clothes Adult",NFI,6)-Table10[[#This Row],[Winter Clothes Adult ]],0)</f>
        <v>106</v>
      </c>
      <c r="K42" s="106">
        <f ca="1">MAX(Table10[[#This Row],[HH]]*VLOOKUP("Winter Clothes Children ",NFI,6)-Table10[[#This Row],[Winter Clothes Children ]],0)</f>
        <v>53</v>
      </c>
      <c r="L42" s="106">
        <f ca="1">MAX(Table10[[#This Row],[HH]]*VLOOKUP("Winter Items Other ",NFI,6)-Table10[[#This Row],[Winter Items Other ]],0)</f>
        <v>53</v>
      </c>
      <c r="M42" s="114" t="str">
        <f>IF(OR(Table10[[#This Row],[Winter Clothes Adult ]]&lt;&gt;0,Table10[[#This Row],[Winter Clothes Children ]]&lt;&gt;0,Table10[[#This Row],[Winter Items Other ]]&lt;&gt;0),"No","")</f>
        <v/>
      </c>
      <c r="N42" s="115">
        <f>COUNTIF(A:A,Table10[[#This Row],[Pcode]])-1</f>
        <v>0</v>
      </c>
    </row>
    <row r="43" spans="1:14" x14ac:dyDescent="0.3">
      <c r="A43" s="102" t="s">
        <v>382</v>
      </c>
      <c r="B43" s="7" t="e">
        <f ca="1">OFFSET(#REF!,MATCH(Table10[[#This Row],[Pcode]],CampList[CP_Pcode],0)-1,0,1,1)</f>
        <v>#REF!</v>
      </c>
      <c r="C43" s="7" t="str">
        <f ca="1">OFFSET(CampList[Camp],MATCH(Table10[[#This Row],[Pcode]],CampList[CP_Pcode],0)-1,0,1,1)</f>
        <v>Kutkai downtown (RC Church)</v>
      </c>
      <c r="D43" s="7" t="str">
        <f ca="1">OFFSET(CampList[Township],MATCH(Table10[[#This Row],[Pcode]],CampList[CP_Pcode],0)-1,0,1,1)</f>
        <v>Kutkai</v>
      </c>
      <c r="E43" s="7">
        <f ca="1">OFFSET(CampList[HH],MATCH(Table10[[#This Row],[Pcode]],CampList[CP_Pcode],0)-1,0,1,1)</f>
        <v>28</v>
      </c>
      <c r="F43" s="7">
        <f ca="1">OFFSET(CampList[Total],MATCH(Table10[[#This Row],[Pcode]],CampList[CP_Pcode],0)-1,0,1,1)</f>
        <v>135</v>
      </c>
      <c r="G43" s="106">
        <f>SUMIF('NFI Distributions'!AW$53:AW$1048576,Table10[[#This Row],[Pcode]],'NFI Distributions'!AL$53:AL$1048576)</f>
        <v>0</v>
      </c>
      <c r="H43" s="106">
        <f>SUMIF('NFI Distributions'!AW$53:AW$1048576,Table10[[#This Row],[Pcode]],'NFI Distributions'!AM$53:AM$1048576)</f>
        <v>0</v>
      </c>
      <c r="I43" s="106">
        <f>SUMIF('NFI Distributions'!AW$53:AW$1048576,Table10[[#This Row],[Pcode]],'NFI Distributions'!AN$53:AN$1048576)</f>
        <v>0</v>
      </c>
      <c r="J43" s="106">
        <f ca="1">MAX(Table10[[#This Row],[HH]]*VLOOKUP("Winter Clothes Adult",NFI,6)-Table10[[#This Row],[Winter Clothes Adult ]],0)</f>
        <v>56</v>
      </c>
      <c r="K43" s="106">
        <f ca="1">MAX(Table10[[#This Row],[HH]]*VLOOKUP("Winter Clothes Children ",NFI,6)-Table10[[#This Row],[Winter Clothes Children ]],0)</f>
        <v>28</v>
      </c>
      <c r="L43" s="106">
        <f ca="1">MAX(Table10[[#This Row],[HH]]*VLOOKUP("Winter Items Other ",NFI,6)-Table10[[#This Row],[Winter Items Other ]],0)</f>
        <v>28</v>
      </c>
      <c r="M43" s="114" t="str">
        <f>IF(OR(Table10[[#This Row],[Winter Clothes Adult ]]&lt;&gt;0,Table10[[#This Row],[Winter Clothes Children ]]&lt;&gt;0,Table10[[#This Row],[Winter Items Other ]]&lt;&gt;0),"No","")</f>
        <v/>
      </c>
      <c r="N43" s="115">
        <f>COUNTIF(A:A,Table10[[#This Row],[Pcode]])-1</f>
        <v>0</v>
      </c>
    </row>
    <row r="44" spans="1:14" x14ac:dyDescent="0.3">
      <c r="A44" s="102" t="s">
        <v>383</v>
      </c>
      <c r="B44" s="7" t="e">
        <f ca="1">OFFSET(#REF!,MATCH(Table10[[#This Row],[Pcode]],CampList[CP_Pcode],0)-1,0,1,1)</f>
        <v>#REF!</v>
      </c>
      <c r="C44" s="7" t="str">
        <f ca="1">OFFSET(CampList[Camp],MATCH(Table10[[#This Row],[Pcode]],CampList[CP_Pcode],0)-1,0,1,1)</f>
        <v>Mine Yu Lay village ( Old)</v>
      </c>
      <c r="D44" s="7" t="str">
        <f ca="1">OFFSET(CampList[Township],MATCH(Table10[[#This Row],[Pcode]],CampList[CP_Pcode],0)-1,0,1,1)</f>
        <v>Kutkai</v>
      </c>
      <c r="E44" s="7">
        <f ca="1">OFFSET(CampList[HH],MATCH(Table10[[#This Row],[Pcode]],CampList[CP_Pcode],0)-1,0,1,1)</f>
        <v>76</v>
      </c>
      <c r="F44" s="7">
        <f ca="1">OFFSET(CampList[Total],MATCH(Table10[[#This Row],[Pcode]],CampList[CP_Pcode],0)-1,0,1,1)</f>
        <v>344</v>
      </c>
      <c r="G44" s="106">
        <f>SUMIF('NFI Distributions'!AW$53:AW$1048576,Table10[[#This Row],[Pcode]],'NFI Distributions'!AL$53:AL$1048576)</f>
        <v>0</v>
      </c>
      <c r="H44" s="106">
        <f>SUMIF('NFI Distributions'!AW$53:AW$1048576,Table10[[#This Row],[Pcode]],'NFI Distributions'!AM$53:AM$1048576)</f>
        <v>0</v>
      </c>
      <c r="I44" s="106">
        <f>SUMIF('NFI Distributions'!AW$53:AW$1048576,Table10[[#This Row],[Pcode]],'NFI Distributions'!AN$53:AN$1048576)</f>
        <v>0</v>
      </c>
      <c r="J44" s="106">
        <f ca="1">MAX(Table10[[#This Row],[HH]]*VLOOKUP("Winter Clothes Adult",NFI,6)-Table10[[#This Row],[Winter Clothes Adult ]],0)</f>
        <v>152</v>
      </c>
      <c r="K44" s="106">
        <f ca="1">MAX(Table10[[#This Row],[HH]]*VLOOKUP("Winter Clothes Children ",NFI,6)-Table10[[#This Row],[Winter Clothes Children ]],0)</f>
        <v>76</v>
      </c>
      <c r="L44" s="106">
        <f ca="1">MAX(Table10[[#This Row],[HH]]*VLOOKUP("Winter Items Other ",NFI,6)-Table10[[#This Row],[Winter Items Other ]],0)</f>
        <v>76</v>
      </c>
      <c r="M44" s="114" t="str">
        <f>IF(OR(Table10[[#This Row],[Winter Clothes Adult ]]&lt;&gt;0,Table10[[#This Row],[Winter Clothes Children ]]&lt;&gt;0,Table10[[#This Row],[Winter Items Other ]]&lt;&gt;0),"No","")</f>
        <v/>
      </c>
      <c r="N44" s="115">
        <f>COUNTIF(A:A,Table10[[#This Row],[Pcode]])-1</f>
        <v>0</v>
      </c>
    </row>
    <row r="45" spans="1:14" x14ac:dyDescent="0.3">
      <c r="A45" s="102" t="s">
        <v>148</v>
      </c>
      <c r="B45" s="7" t="e">
        <f ca="1">OFFSET(#REF!,MATCH(Table10[[#This Row],[Pcode]],CampList[CP_Pcode],0)-1,0,1,1)</f>
        <v>#REF!</v>
      </c>
      <c r="C45" s="7" t="str">
        <f ca="1">OFFSET(CampList[Camp],MATCH(Table10[[#This Row],[Pcode]],CampList[CP_Pcode],0)-1,0,1,1)</f>
        <v xml:space="preserve">Nam Hpak Ka Mare </v>
      </c>
      <c r="D45" s="7" t="str">
        <f ca="1">OFFSET(CampList[Township],MATCH(Table10[[#This Row],[Pcode]],CampList[CP_Pcode],0)-1,0,1,1)</f>
        <v>Kutkai</v>
      </c>
      <c r="E45" s="7">
        <f ca="1">OFFSET(CampList[HH],MATCH(Table10[[#This Row],[Pcode]],CampList[CP_Pcode],0)-1,0,1,1)</f>
        <v>56</v>
      </c>
      <c r="F45" s="7">
        <f ca="1">OFFSET(CampList[Total],MATCH(Table10[[#This Row],[Pcode]],CampList[CP_Pcode],0)-1,0,1,1)</f>
        <v>263</v>
      </c>
      <c r="G45" s="106">
        <f>SUMIF('NFI Distributions'!AW$53:AW$1048576,Table10[[#This Row],[Pcode]],'NFI Distributions'!AL$53:AL$1048576)</f>
        <v>0</v>
      </c>
      <c r="H45" s="106">
        <f>SUMIF('NFI Distributions'!AW$53:AW$1048576,Table10[[#This Row],[Pcode]],'NFI Distributions'!AM$53:AM$1048576)</f>
        <v>0</v>
      </c>
      <c r="I45" s="106">
        <f>SUMIF('NFI Distributions'!AW$53:AW$1048576,Table10[[#This Row],[Pcode]],'NFI Distributions'!AN$53:AN$1048576)</f>
        <v>0</v>
      </c>
      <c r="J45" s="106">
        <f ca="1">MAX(Table10[[#This Row],[HH]]*VLOOKUP("Winter Clothes Adult",NFI,6)-Table10[[#This Row],[Winter Clothes Adult ]],0)</f>
        <v>112</v>
      </c>
      <c r="K45" s="106">
        <f ca="1">MAX(Table10[[#This Row],[HH]]*VLOOKUP("Winter Clothes Children ",NFI,6)-Table10[[#This Row],[Winter Clothes Children ]],0)</f>
        <v>56</v>
      </c>
      <c r="L45" s="106">
        <f ca="1">MAX(Table10[[#This Row],[HH]]*VLOOKUP("Winter Items Other ",NFI,6)-Table10[[#This Row],[Winter Items Other ]],0)</f>
        <v>56</v>
      </c>
      <c r="M45" s="114" t="str">
        <f>IF(OR(Table10[[#This Row],[Winter Clothes Adult ]]&lt;&gt;0,Table10[[#This Row],[Winter Clothes Children ]]&lt;&gt;0,Table10[[#This Row],[Winter Items Other ]]&lt;&gt;0),"No","")</f>
        <v/>
      </c>
      <c r="N45" s="115">
        <f>COUNTIF(A:A,Table10[[#This Row],[Pcode]])-1</f>
        <v>0</v>
      </c>
    </row>
    <row r="46" spans="1:14" x14ac:dyDescent="0.3">
      <c r="A46" s="102" t="s">
        <v>385</v>
      </c>
      <c r="B46" s="7" t="e">
        <f ca="1">OFFSET(#REF!,MATCH(Table10[[#This Row],[Pcode]],CampList[CP_Pcode],0)-1,0,1,1)</f>
        <v>#REF!</v>
      </c>
      <c r="C46" s="7" t="str">
        <f ca="1">OFFSET(CampList[Camp],MATCH(Table10[[#This Row],[Pcode]],CampList[CP_Pcode],0)-1,0,1,1)</f>
        <v>Zup Aung Camp</v>
      </c>
      <c r="D46" s="7" t="str">
        <f ca="1">OFFSET(CampList[Township],MATCH(Table10[[#This Row],[Pcode]],CampList[CP_Pcode],0)-1,0,1,1)</f>
        <v>Kutkai</v>
      </c>
      <c r="E46" s="7">
        <f ca="1">OFFSET(CampList[HH],MATCH(Table10[[#This Row],[Pcode]],CampList[CP_Pcode],0)-1,0,1,1)</f>
        <v>205</v>
      </c>
      <c r="F46" s="7">
        <f ca="1">OFFSET(CampList[Total],MATCH(Table10[[#This Row],[Pcode]],CampList[CP_Pcode],0)-1,0,1,1)</f>
        <v>1053</v>
      </c>
      <c r="G46" s="106">
        <f>SUMIF('NFI Distributions'!AW$53:AW$1048576,Table10[[#This Row],[Pcode]],'NFI Distributions'!AL$53:AL$1048576)</f>
        <v>0</v>
      </c>
      <c r="H46" s="106">
        <f>SUMIF('NFI Distributions'!AW$53:AW$1048576,Table10[[#This Row],[Pcode]],'NFI Distributions'!AM$53:AM$1048576)</f>
        <v>0</v>
      </c>
      <c r="I46" s="106">
        <f>SUMIF('NFI Distributions'!AW$53:AW$1048576,Table10[[#This Row],[Pcode]],'NFI Distributions'!AN$53:AN$1048576)</f>
        <v>0</v>
      </c>
      <c r="J46" s="106">
        <f ca="1">MAX(Table10[[#This Row],[HH]]*VLOOKUP("Winter Clothes Adult",NFI,6)-Table10[[#This Row],[Winter Clothes Adult ]],0)</f>
        <v>410</v>
      </c>
      <c r="K46" s="106">
        <f ca="1">MAX(Table10[[#This Row],[HH]]*VLOOKUP("Winter Clothes Children ",NFI,6)-Table10[[#This Row],[Winter Clothes Children ]],0)</f>
        <v>205</v>
      </c>
      <c r="L46" s="106">
        <f ca="1">MAX(Table10[[#This Row],[HH]]*VLOOKUP("Winter Items Other ",NFI,6)-Table10[[#This Row],[Winter Items Other ]],0)</f>
        <v>205</v>
      </c>
      <c r="M46" s="114" t="str">
        <f>IF(OR(Table10[[#This Row],[Winter Clothes Adult ]]&lt;&gt;0,Table10[[#This Row],[Winter Clothes Children ]]&lt;&gt;0,Table10[[#This Row],[Winter Items Other ]]&lt;&gt;0),"No","")</f>
        <v/>
      </c>
      <c r="N46" s="115">
        <f>COUNTIF(A:A,Table10[[#This Row],[Pcode]])-1</f>
        <v>0</v>
      </c>
    </row>
    <row r="47" spans="1:14" x14ac:dyDescent="0.3">
      <c r="A47" s="102" t="s">
        <v>761</v>
      </c>
      <c r="B47" s="7" t="e">
        <f ca="1">OFFSET(#REF!,MATCH(Table10[[#This Row],[Pcode]],CampList[CP_Pcode],0)-1,0,1,1)</f>
        <v>#REF!</v>
      </c>
      <c r="C47" s="7" t="str">
        <f ca="1">OFFSET(CampList[Camp],MATCH(Table10[[#This Row],[Pcode]],CampList[CP_Pcode],0)-1,0,1,1)</f>
        <v>Mandung - RC</v>
      </c>
      <c r="D47" s="7" t="str">
        <f ca="1">OFFSET(CampList[Township],MATCH(Table10[[#This Row],[Pcode]],CampList[CP_Pcode],0)-1,0,1,1)</f>
        <v>Manton</v>
      </c>
      <c r="E47" s="7">
        <f ca="1">OFFSET(CampList[HH],MATCH(Table10[[#This Row],[Pcode]],CampList[CP_Pcode],0)-1,0,1,1)</f>
        <v>30</v>
      </c>
      <c r="F47" s="7">
        <f ca="1">OFFSET(CampList[Total],MATCH(Table10[[#This Row],[Pcode]],CampList[CP_Pcode],0)-1,0,1,1)</f>
        <v>155</v>
      </c>
      <c r="G47" s="106">
        <f>SUMIF('NFI Distributions'!AW$53:AW$1048576,Table10[[#This Row],[Pcode]],'NFI Distributions'!AL$53:AL$1048576)</f>
        <v>0</v>
      </c>
      <c r="H47" s="106">
        <f>SUMIF('NFI Distributions'!AW$53:AW$1048576,Table10[[#This Row],[Pcode]],'NFI Distributions'!AM$53:AM$1048576)</f>
        <v>0</v>
      </c>
      <c r="I47" s="106">
        <f>SUMIF('NFI Distributions'!AW$53:AW$1048576,Table10[[#This Row],[Pcode]],'NFI Distributions'!AN$53:AN$1048576)</f>
        <v>0</v>
      </c>
      <c r="J47" s="106">
        <f ca="1">MAX(Table10[[#This Row],[HH]]*VLOOKUP("Winter Clothes Adult",NFI,6)-Table10[[#This Row],[Winter Clothes Adult ]],0)</f>
        <v>60</v>
      </c>
      <c r="K47" s="106">
        <f ca="1">MAX(Table10[[#This Row],[HH]]*VLOOKUP("Winter Clothes Children ",NFI,6)-Table10[[#This Row],[Winter Clothes Children ]],0)</f>
        <v>30</v>
      </c>
      <c r="L47" s="106">
        <f ca="1">MAX(Table10[[#This Row],[HH]]*VLOOKUP("Winter Items Other ",NFI,6)-Table10[[#This Row],[Winter Items Other ]],0)</f>
        <v>30</v>
      </c>
      <c r="M47" s="114" t="str">
        <f>IF(OR(Table10[[#This Row],[Winter Clothes Adult ]]&lt;&gt;0,Table10[[#This Row],[Winter Clothes Children ]]&lt;&gt;0,Table10[[#This Row],[Winter Items Other ]]&lt;&gt;0),"No","")</f>
        <v/>
      </c>
      <c r="N47" s="115">
        <f>COUNTIF(A:A,Table10[[#This Row],[Pcode]])-1</f>
        <v>0</v>
      </c>
    </row>
    <row r="48" spans="1:14" x14ac:dyDescent="0.3">
      <c r="A48" s="102" t="s">
        <v>168</v>
      </c>
      <c r="B48" s="7" t="e">
        <f ca="1">OFFSET(#REF!,MATCH(Table10[[#This Row],[Pcode]],CampList[CP_Pcode],0)-1,0,1,1)</f>
        <v>#REF!</v>
      </c>
      <c r="C48" s="7" t="str">
        <f ca="1">OFFSET(CampList[Camp],MATCH(Table10[[#This Row],[Pcode]],CampList[CP_Pcode],0)-1,0,1,1)</f>
        <v>Howa</v>
      </c>
      <c r="D48" s="7" t="str">
        <f ca="1">OFFSET(CampList[Township],MATCH(Table10[[#This Row],[Pcode]],CampList[CP_Pcode],0)-1,0,1,1)</f>
        <v>Muse</v>
      </c>
      <c r="E48" s="7">
        <f ca="1">OFFSET(CampList[HH],MATCH(Table10[[#This Row],[Pcode]],CampList[CP_Pcode],0)-1,0,1,1)</f>
        <v>0</v>
      </c>
      <c r="F48" s="7">
        <f ca="1">OFFSET(CampList[Total],MATCH(Table10[[#This Row],[Pcode]],CampList[CP_Pcode],0)-1,0,1,1)</f>
        <v>0</v>
      </c>
      <c r="G48" s="106">
        <f>SUMIF('NFI Distributions'!AW$53:AW$1048576,Table10[[#This Row],[Pcode]],'NFI Distributions'!AL$53:AL$1048576)</f>
        <v>0</v>
      </c>
      <c r="H48" s="106">
        <f>SUMIF('NFI Distributions'!AW$53:AW$1048576,Table10[[#This Row],[Pcode]],'NFI Distributions'!AM$53:AM$1048576)</f>
        <v>0</v>
      </c>
      <c r="I48" s="106">
        <f>SUMIF('NFI Distributions'!AW$53:AW$1048576,Table10[[#This Row],[Pcode]],'NFI Distributions'!AN$53:AN$1048576)</f>
        <v>0</v>
      </c>
      <c r="J48" s="106">
        <f ca="1">MAX(Table10[[#This Row],[HH]]*VLOOKUP("Winter Clothes Adult",NFI,6)-Table10[[#This Row],[Winter Clothes Adult ]],0)</f>
        <v>0</v>
      </c>
      <c r="K48" s="106">
        <f ca="1">MAX(Table10[[#This Row],[HH]]*VLOOKUP("Winter Clothes Children ",NFI,6)-Table10[[#This Row],[Winter Clothes Children ]],0)</f>
        <v>0</v>
      </c>
      <c r="L48" s="106">
        <f ca="1">MAX(Table10[[#This Row],[HH]]*VLOOKUP("Winter Items Other ",NFI,6)-Table10[[#This Row],[Winter Items Other ]],0)</f>
        <v>0</v>
      </c>
      <c r="M48" s="114" t="str">
        <f>IF(OR(Table10[[#This Row],[Winter Clothes Adult ]]&lt;&gt;0,Table10[[#This Row],[Winter Clothes Children ]]&lt;&gt;0,Table10[[#This Row],[Winter Items Other ]]&lt;&gt;0),"No","")</f>
        <v/>
      </c>
      <c r="N48" s="115">
        <f>COUNTIF(A:A,Table10[[#This Row],[Pcode]])-1</f>
        <v>0</v>
      </c>
    </row>
    <row r="49" spans="1:14" x14ac:dyDescent="0.3">
      <c r="A49" s="102" t="s">
        <v>170</v>
      </c>
      <c r="B49" s="7" t="e">
        <f ca="1">OFFSET(#REF!,MATCH(Table10[[#This Row],[Pcode]],CampList[CP_Pcode],0)-1,0,1,1)</f>
        <v>#REF!</v>
      </c>
      <c r="C49" s="7" t="str">
        <f ca="1">OFFSET(CampList[Camp],MATCH(Table10[[#This Row],[Pcode]],CampList[CP_Pcode],0)-1,0,1,1)</f>
        <v>Nam Hkyet</v>
      </c>
      <c r="D49" s="7" t="str">
        <f ca="1">OFFSET(CampList[Township],MATCH(Table10[[#This Row],[Pcode]],CampList[CP_Pcode],0)-1,0,1,1)</f>
        <v>Muse</v>
      </c>
      <c r="E49" s="7">
        <f ca="1">OFFSET(CampList[HH],MATCH(Table10[[#This Row],[Pcode]],CampList[CP_Pcode],0)-1,0,1,1)</f>
        <v>0</v>
      </c>
      <c r="F49" s="7">
        <f ca="1">OFFSET(CampList[Total],MATCH(Table10[[#This Row],[Pcode]],CampList[CP_Pcode],0)-1,0,1,1)</f>
        <v>0</v>
      </c>
      <c r="G49" s="106">
        <f>SUMIF('NFI Distributions'!AW$53:AW$1048576,Table10[[#This Row],[Pcode]],'NFI Distributions'!AL$53:AL$1048576)</f>
        <v>0</v>
      </c>
      <c r="H49" s="106">
        <f>SUMIF('NFI Distributions'!AW$53:AW$1048576,Table10[[#This Row],[Pcode]],'NFI Distributions'!AM$53:AM$1048576)</f>
        <v>0</v>
      </c>
      <c r="I49" s="106">
        <f>SUMIF('NFI Distributions'!AW$53:AW$1048576,Table10[[#This Row],[Pcode]],'NFI Distributions'!AN$53:AN$1048576)</f>
        <v>0</v>
      </c>
      <c r="J49" s="106">
        <f ca="1">MAX(Table10[[#This Row],[HH]]*VLOOKUP("Winter Clothes Adult",NFI,6)-Table10[[#This Row],[Winter Clothes Adult ]],0)</f>
        <v>0</v>
      </c>
      <c r="K49" s="106">
        <f ca="1">MAX(Table10[[#This Row],[HH]]*VLOOKUP("Winter Clothes Children ",NFI,6)-Table10[[#This Row],[Winter Clothes Children ]],0)</f>
        <v>0</v>
      </c>
      <c r="L49" s="106">
        <f ca="1">MAX(Table10[[#This Row],[HH]]*VLOOKUP("Winter Items Other ",NFI,6)-Table10[[#This Row],[Winter Items Other ]],0)</f>
        <v>0</v>
      </c>
      <c r="M49" s="114" t="str">
        <f>IF(OR(Table10[[#This Row],[Winter Clothes Adult ]]&lt;&gt;0,Table10[[#This Row],[Winter Clothes Children ]]&lt;&gt;0,Table10[[#This Row],[Winter Items Other ]]&lt;&gt;0),"No","")</f>
        <v/>
      </c>
      <c r="N49" s="115">
        <f>COUNTIF(A:A,Table10[[#This Row],[Pcode]])-1</f>
        <v>0</v>
      </c>
    </row>
    <row r="50" spans="1:14" x14ac:dyDescent="0.3">
      <c r="A50" s="102" t="s">
        <v>290</v>
      </c>
      <c r="B50" s="7" t="e">
        <f ca="1">OFFSET(#REF!,MATCH(Table10[[#This Row],[Pcode]],CampList[CP_Pcode],0)-1,0,1,1)</f>
        <v>#REF!</v>
      </c>
      <c r="C50" s="7" t="str">
        <f ca="1">OFFSET(CampList[Camp],MATCH(Table10[[#This Row],[Pcode]],CampList[CP_Pcode],0)-1,0,1,1)</f>
        <v>Nam Hkam - Nay Win Ni (Palawng)</v>
      </c>
      <c r="D50" s="7" t="str">
        <f ca="1">OFFSET(CampList[Township],MATCH(Table10[[#This Row],[Pcode]],CampList[CP_Pcode],0)-1,0,1,1)</f>
        <v>Namhkan</v>
      </c>
      <c r="E50" s="7">
        <f ca="1">OFFSET(CampList[HH],MATCH(Table10[[#This Row],[Pcode]],CampList[CP_Pcode],0)-1,0,1,1)</f>
        <v>76</v>
      </c>
      <c r="F50" s="7">
        <f ca="1">OFFSET(CampList[Total],MATCH(Table10[[#This Row],[Pcode]],CampList[CP_Pcode],0)-1,0,1,1)</f>
        <v>385</v>
      </c>
      <c r="G50" s="106">
        <f>SUMIF('NFI Distributions'!AW$53:AW$1048576,Table10[[#This Row],[Pcode]],'NFI Distributions'!AL$53:AL$1048576)</f>
        <v>0</v>
      </c>
      <c r="H50" s="106">
        <f>SUMIF('NFI Distributions'!AW$53:AW$1048576,Table10[[#This Row],[Pcode]],'NFI Distributions'!AM$53:AM$1048576)</f>
        <v>0</v>
      </c>
      <c r="I50" s="106">
        <f>SUMIF('NFI Distributions'!AW$53:AW$1048576,Table10[[#This Row],[Pcode]],'NFI Distributions'!AN$53:AN$1048576)</f>
        <v>0</v>
      </c>
      <c r="J50" s="106">
        <f ca="1">MAX(Table10[[#This Row],[HH]]*VLOOKUP("Winter Clothes Adult",NFI,6)-Table10[[#This Row],[Winter Clothes Adult ]],0)</f>
        <v>152</v>
      </c>
      <c r="K50" s="106">
        <f ca="1">MAX(Table10[[#This Row],[HH]]*VLOOKUP("Winter Clothes Children ",NFI,6)-Table10[[#This Row],[Winter Clothes Children ]],0)</f>
        <v>76</v>
      </c>
      <c r="L50" s="106">
        <f ca="1">MAX(Table10[[#This Row],[HH]]*VLOOKUP("Winter Items Other ",NFI,6)-Table10[[#This Row],[Winter Items Other ]],0)</f>
        <v>76</v>
      </c>
      <c r="M50" s="114" t="str">
        <f>IF(OR(Table10[[#This Row],[Winter Clothes Adult ]]&lt;&gt;0,Table10[[#This Row],[Winter Clothes Children ]]&lt;&gt;0,Table10[[#This Row],[Winter Items Other ]]&lt;&gt;0),"No","")</f>
        <v/>
      </c>
      <c r="N50" s="115">
        <f>COUNTIF(A:A,Table10[[#This Row],[Pcode]])-1</f>
        <v>0</v>
      </c>
    </row>
    <row r="51" spans="1:14" x14ac:dyDescent="0.3">
      <c r="A51" s="102" t="s">
        <v>287</v>
      </c>
      <c r="B51" s="7" t="e">
        <f ca="1">OFFSET(#REF!,MATCH(Table10[[#This Row],[Pcode]],CampList[CP_Pcode],0)-1,0,1,1)</f>
        <v>#REF!</v>
      </c>
      <c r="C51" s="7" t="str">
        <f ca="1">OFFSET(CampList[Camp],MATCH(Table10[[#This Row],[Pcode]],CampList[CP_Pcode],0)-1,0,1,1)</f>
        <v>Nam Hkam (KBC Jaw Wang)</v>
      </c>
      <c r="D51" s="7" t="str">
        <f ca="1">OFFSET(CampList[Township],MATCH(Table10[[#This Row],[Pcode]],CampList[CP_Pcode],0)-1,0,1,1)</f>
        <v>Namhkan</v>
      </c>
      <c r="E51" s="7">
        <f ca="1">OFFSET(CampList[HH],MATCH(Table10[[#This Row],[Pcode]],CampList[CP_Pcode],0)-1,0,1,1)</f>
        <v>64</v>
      </c>
      <c r="F51" s="7">
        <f ca="1">OFFSET(CampList[Total],MATCH(Table10[[#This Row],[Pcode]],CampList[CP_Pcode],0)-1,0,1,1)</f>
        <v>349</v>
      </c>
      <c r="G51" s="106">
        <f>SUMIF('NFI Distributions'!AW$53:AW$1048576,Table10[[#This Row],[Pcode]],'NFI Distributions'!AL$53:AL$1048576)</f>
        <v>0</v>
      </c>
      <c r="H51" s="106">
        <f>SUMIF('NFI Distributions'!AW$53:AW$1048576,Table10[[#This Row],[Pcode]],'NFI Distributions'!AM$53:AM$1048576)</f>
        <v>0</v>
      </c>
      <c r="I51" s="106">
        <f>SUMIF('NFI Distributions'!AW$53:AW$1048576,Table10[[#This Row],[Pcode]],'NFI Distributions'!AN$53:AN$1048576)</f>
        <v>0</v>
      </c>
      <c r="J51" s="106">
        <f ca="1">MAX(Table10[[#This Row],[HH]]*VLOOKUP("Winter Clothes Adult",NFI,6)-Table10[[#This Row],[Winter Clothes Adult ]],0)</f>
        <v>128</v>
      </c>
      <c r="K51" s="106">
        <f ca="1">MAX(Table10[[#This Row],[HH]]*VLOOKUP("Winter Clothes Children ",NFI,6)-Table10[[#This Row],[Winter Clothes Children ]],0)</f>
        <v>64</v>
      </c>
      <c r="L51" s="106">
        <f ca="1">MAX(Table10[[#This Row],[HH]]*VLOOKUP("Winter Items Other ",NFI,6)-Table10[[#This Row],[Winter Items Other ]],0)</f>
        <v>64</v>
      </c>
      <c r="M51" s="114" t="str">
        <f>IF(OR(Table10[[#This Row],[Winter Clothes Adult ]]&lt;&gt;0,Table10[[#This Row],[Winter Clothes Children ]]&lt;&gt;0,Table10[[#This Row],[Winter Items Other ]]&lt;&gt;0),"No","")</f>
        <v/>
      </c>
      <c r="N51" s="115">
        <f>COUNTIF(A:A,Table10[[#This Row],[Pcode]])-1</f>
        <v>0</v>
      </c>
    </row>
    <row r="52" spans="1:14" x14ac:dyDescent="0.3">
      <c r="A52" s="102" t="s">
        <v>294</v>
      </c>
      <c r="B52" s="7" t="e">
        <f ca="1">OFFSET(#REF!,MATCH(Table10[[#This Row],[Pcode]],CampList[CP_Pcode],0)-1,0,1,1)</f>
        <v>#REF!</v>
      </c>
      <c r="C52" s="7" t="str">
        <f ca="1">OFFSET(CampList[Camp],MATCH(Table10[[#This Row],[Pcode]],CampList[CP_Pcode],0)-1,0,1,1)</f>
        <v>Nam Hkam Catholic Church ( St. Thomas I)</v>
      </c>
      <c r="D52" s="7" t="str">
        <f ca="1">OFFSET(CampList[Township],MATCH(Table10[[#This Row],[Pcode]],CampList[CP_Pcode],0)-1,0,1,1)</f>
        <v>Namhkan</v>
      </c>
      <c r="E52" s="7">
        <f ca="1">OFFSET(CampList[HH],MATCH(Table10[[#This Row],[Pcode]],CampList[CP_Pcode],0)-1,0,1,1)</f>
        <v>43</v>
      </c>
      <c r="F52" s="7">
        <f ca="1">OFFSET(CampList[Total],MATCH(Table10[[#This Row],[Pcode]],CampList[CP_Pcode],0)-1,0,1,1)</f>
        <v>218</v>
      </c>
      <c r="G52" s="106">
        <f>SUMIF('NFI Distributions'!AW$53:AW$1048576,Table10[[#This Row],[Pcode]],'NFI Distributions'!AL$53:AL$1048576)</f>
        <v>0</v>
      </c>
      <c r="H52" s="106">
        <f>SUMIF('NFI Distributions'!AW$53:AW$1048576,Table10[[#This Row],[Pcode]],'NFI Distributions'!AM$53:AM$1048576)</f>
        <v>0</v>
      </c>
      <c r="I52" s="106">
        <f>SUMIF('NFI Distributions'!AW$53:AW$1048576,Table10[[#This Row],[Pcode]],'NFI Distributions'!AN$53:AN$1048576)</f>
        <v>0</v>
      </c>
      <c r="J52" s="106">
        <f ca="1">MAX(Table10[[#This Row],[HH]]*VLOOKUP("Winter Clothes Adult",NFI,6)-Table10[[#This Row],[Winter Clothes Adult ]],0)</f>
        <v>86</v>
      </c>
      <c r="K52" s="106">
        <f ca="1">MAX(Table10[[#This Row],[HH]]*VLOOKUP("Winter Clothes Children ",NFI,6)-Table10[[#This Row],[Winter Clothes Children ]],0)</f>
        <v>43</v>
      </c>
      <c r="L52" s="106">
        <f ca="1">MAX(Table10[[#This Row],[HH]]*VLOOKUP("Winter Items Other ",NFI,6)-Table10[[#This Row],[Winter Items Other ]],0)</f>
        <v>43</v>
      </c>
      <c r="M52" s="114" t="str">
        <f>IF(OR(Table10[[#This Row],[Winter Clothes Adult ]]&lt;&gt;0,Table10[[#This Row],[Winter Clothes Children ]]&lt;&gt;0,Table10[[#This Row],[Winter Items Other ]]&lt;&gt;0),"No","")</f>
        <v/>
      </c>
      <c r="N52" s="115">
        <f>COUNTIF(A:A,Table10[[#This Row],[Pcode]])-1</f>
        <v>0</v>
      </c>
    </row>
    <row r="53" spans="1:14" x14ac:dyDescent="0.3">
      <c r="A53" s="102" t="s">
        <v>296</v>
      </c>
      <c r="B53" s="7" t="e">
        <f ca="1">OFFSET(#REF!,MATCH(Table10[[#This Row],[Pcode]],CampList[CP_Pcode],0)-1,0,1,1)</f>
        <v>#REF!</v>
      </c>
      <c r="C53" s="7" t="str">
        <f ca="1">OFFSET(CampList[Camp],MATCH(Table10[[#This Row],[Pcode]],CampList[CP_Pcode],0)-1,0,1,1)</f>
        <v>Nam Tu Baptist</v>
      </c>
      <c r="D53" s="7" t="str">
        <f ca="1">OFFSET(CampList[Township],MATCH(Table10[[#This Row],[Pcode]],CampList[CP_Pcode],0)-1,0,1,1)</f>
        <v>Namtu</v>
      </c>
      <c r="E53" s="7">
        <f ca="1">OFFSET(CampList[HH],MATCH(Table10[[#This Row],[Pcode]],CampList[CP_Pcode],0)-1,0,1,1)</f>
        <v>38</v>
      </c>
      <c r="F53" s="7">
        <f ca="1">OFFSET(CampList[Total],MATCH(Table10[[#This Row],[Pcode]],CampList[CP_Pcode],0)-1,0,1,1)</f>
        <v>159</v>
      </c>
      <c r="G53" s="106">
        <f>SUMIF('NFI Distributions'!AW$53:AW$1048576,Table10[[#This Row],[Pcode]],'NFI Distributions'!AL$53:AL$1048576)</f>
        <v>0</v>
      </c>
      <c r="H53" s="106">
        <f>SUMIF('NFI Distributions'!AW$53:AW$1048576,Table10[[#This Row],[Pcode]],'NFI Distributions'!AM$53:AM$1048576)</f>
        <v>0</v>
      </c>
      <c r="I53" s="106">
        <f>SUMIF('NFI Distributions'!AW$53:AW$1048576,Table10[[#This Row],[Pcode]],'NFI Distributions'!AN$53:AN$1048576)</f>
        <v>0</v>
      </c>
      <c r="J53" s="106">
        <f ca="1">MAX(Table10[[#This Row],[HH]]*VLOOKUP("Winter Clothes Adult",NFI,6)-Table10[[#This Row],[Winter Clothes Adult ]],0)</f>
        <v>76</v>
      </c>
      <c r="K53" s="106">
        <f ca="1">MAX(Table10[[#This Row],[HH]]*VLOOKUP("Winter Clothes Children ",NFI,6)-Table10[[#This Row],[Winter Clothes Children ]],0)</f>
        <v>38</v>
      </c>
      <c r="L53" s="106">
        <f ca="1">MAX(Table10[[#This Row],[HH]]*VLOOKUP("Winter Items Other ",NFI,6)-Table10[[#This Row],[Winter Items Other ]],0)</f>
        <v>38</v>
      </c>
      <c r="M53" s="114" t="str">
        <f>IF(OR(Table10[[#This Row],[Winter Clothes Adult ]]&lt;&gt;0,Table10[[#This Row],[Winter Clothes Children ]]&lt;&gt;0,Table10[[#This Row],[Winter Items Other ]]&lt;&gt;0),"No","")</f>
        <v/>
      </c>
      <c r="N53" s="115">
        <f>COUNTIF(A:A,Table10[[#This Row],[Pcode]])-1</f>
        <v>0</v>
      </c>
    </row>
    <row r="54" spans="1:14" x14ac:dyDescent="0.3">
      <c r="A54" s="102" t="s">
        <v>762</v>
      </c>
      <c r="B54" s="7" t="e">
        <f ca="1">OFFSET(#REF!,MATCH(Table10[[#This Row],[Pcode]],CampList[CP_Pcode],0)-1,0,1,1)</f>
        <v>#REF!</v>
      </c>
      <c r="C54" s="7" t="str">
        <f ca="1">OFFSET(CampList[Camp],MATCH(Table10[[#This Row],[Pcode]],CampList[CP_Pcode],0)-1,0,1,1)</f>
        <v>Nam Tu RC</v>
      </c>
      <c r="D54" s="7" t="str">
        <f ca="1">OFFSET(CampList[Township],MATCH(Table10[[#This Row],[Pcode]],CampList[CP_Pcode],0)-1,0,1,1)</f>
        <v>Namtu</v>
      </c>
      <c r="E54" s="7">
        <f ca="1">OFFSET(CampList[HH],MATCH(Table10[[#This Row],[Pcode]],CampList[CP_Pcode],0)-1,0,1,1)</f>
        <v>118</v>
      </c>
      <c r="F54" s="7">
        <f ca="1">OFFSET(CampList[Total],MATCH(Table10[[#This Row],[Pcode]],CampList[CP_Pcode],0)-1,0,1,1)</f>
        <v>520</v>
      </c>
      <c r="G54" s="106">
        <f>SUMIF('NFI Distributions'!AW$53:AW$1048576,Table10[[#This Row],[Pcode]],'NFI Distributions'!AL$53:AL$1048576)</f>
        <v>0</v>
      </c>
      <c r="H54" s="106">
        <f>SUMIF('NFI Distributions'!AW$53:AW$1048576,Table10[[#This Row],[Pcode]],'NFI Distributions'!AM$53:AM$1048576)</f>
        <v>0</v>
      </c>
      <c r="I54" s="106">
        <f>SUMIF('NFI Distributions'!AW$53:AW$1048576,Table10[[#This Row],[Pcode]],'NFI Distributions'!AN$53:AN$1048576)</f>
        <v>0</v>
      </c>
      <c r="J54" s="106">
        <f ca="1">MAX(Table10[[#This Row],[HH]]*VLOOKUP("Winter Clothes Adult",NFI,6)-Table10[[#This Row],[Winter Clothes Adult ]],0)</f>
        <v>236</v>
      </c>
      <c r="K54" s="106">
        <f ca="1">MAX(Table10[[#This Row],[HH]]*VLOOKUP("Winter Clothes Children ",NFI,6)-Table10[[#This Row],[Winter Clothes Children ]],0)</f>
        <v>118</v>
      </c>
      <c r="L54" s="106">
        <f ca="1">MAX(Table10[[#This Row],[HH]]*VLOOKUP("Winter Items Other ",NFI,6)-Table10[[#This Row],[Winter Items Other ]],0)</f>
        <v>118</v>
      </c>
      <c r="M54" s="114" t="str">
        <f>IF(OR(Table10[[#This Row],[Winter Clothes Adult ]]&lt;&gt;0,Table10[[#This Row],[Winter Clothes Children ]]&lt;&gt;0,Table10[[#This Row],[Winter Items Other ]]&lt;&gt;0),"No","")</f>
        <v/>
      </c>
      <c r="N54" s="115">
        <f>COUNTIF(A:A,Table10[[#This Row],[Pcode]])-1</f>
        <v>0</v>
      </c>
    </row>
    <row r="55" spans="1:14" x14ac:dyDescent="0.3">
      <c r="A55" s="102" t="s">
        <v>61</v>
      </c>
      <c r="B55" s="7" t="e">
        <f ca="1">OFFSET(#REF!,MATCH(Table10[[#This Row],[Pcode]],CampList[CP_Pcode],0)-1,0,1,1)</f>
        <v>#REF!</v>
      </c>
      <c r="C55" s="7" t="str">
        <f ca="1">OFFSET(CampList[Camp],MATCH(Table10[[#This Row],[Pcode]],CampList[CP_Pcode],0)-1,0,1,1)</f>
        <v>5 Ward Baptist Church(lon Khin)</v>
      </c>
      <c r="D55" s="7" t="str">
        <f ca="1">OFFSET(CampList[Township],MATCH(Table10[[#This Row],[Pcode]],CampList[CP_Pcode],0)-1,0,1,1)</f>
        <v>Hpakant</v>
      </c>
      <c r="E55" s="106">
        <f ca="1">OFFSET(CampList[HH],MATCH(Table10[[#This Row],[Pcode]],CampList[CP_Pcode],0)-1,0,1,1)</f>
        <v>0</v>
      </c>
      <c r="F55" s="106">
        <f ca="1">OFFSET(CampList[Total],MATCH(Table10[[#This Row],[Pcode]],CampList[CP_Pcode],0)-1,0,1,1)</f>
        <v>0</v>
      </c>
      <c r="G55" s="106">
        <f>SUMIF('NFI Distributions'!AW$53:AW$1048576,Table10[[#This Row],[Pcode]],'NFI Distributions'!AL$53:AL$1048576)</f>
        <v>0</v>
      </c>
      <c r="H55" s="106">
        <f>SUMIF('NFI Distributions'!AW$53:AW$1048576,Table10[[#This Row],[Pcode]],'NFI Distributions'!AM$53:AM$1048576)</f>
        <v>0</v>
      </c>
      <c r="I55" s="106">
        <f>SUMIF('NFI Distributions'!AW$53:AW$1048576,Table10[[#This Row],[Pcode]],'NFI Distributions'!AN$53:AN$1048576)</f>
        <v>0</v>
      </c>
      <c r="J55" s="106">
        <f ca="1">MAX(Table10[[#This Row],[HH]]*VLOOKUP("Winter Clothes Adult",NFI,6)-Table10[[#This Row],[Winter Clothes Adult ]],0)</f>
        <v>0</v>
      </c>
      <c r="K55" s="106">
        <f ca="1">MAX(Table10[[#This Row],[HH]]*VLOOKUP("Winter Clothes Children ",NFI,6)-Table10[[#This Row],[Winter Clothes Children ]],0)</f>
        <v>0</v>
      </c>
      <c r="L55" s="106">
        <f ca="1">MAX(Table10[[#This Row],[HH]]*VLOOKUP("Winter Items Other ",NFI,6)-Table10[[#This Row],[Winter Items Other ]],0)</f>
        <v>0</v>
      </c>
      <c r="M55" s="114" t="str">
        <f>IF(OR(Table10[[#This Row],[Winter Clothes Adult ]]&lt;&gt;0,Table10[[#This Row],[Winter Clothes Children ]]&lt;&gt;0,Table10[[#This Row],[Winter Items Other ]]&lt;&gt;0),"No","")</f>
        <v/>
      </c>
      <c r="N55" s="115">
        <f>COUNTIF(A:A,Table10[[#This Row],[Pcode]])-1</f>
        <v>0</v>
      </c>
    </row>
    <row r="56" spans="1:14" x14ac:dyDescent="0.3">
      <c r="A56" s="102" t="s">
        <v>119</v>
      </c>
      <c r="B56" s="7" t="e">
        <f ca="1">OFFSET(#REF!,MATCH(Table10[[#This Row],[Pcode]],CampList[CP_Pcode],0)-1,0,1,1)</f>
        <v>#REF!</v>
      </c>
      <c r="C56" s="7" t="str">
        <f ca="1">OFFSET(CampList[Camp],MATCH(Table10[[#This Row],[Pcode]],CampList[CP_Pcode],0)-1,0,1,1)</f>
        <v>5 Ward RC Church(lon Khin)</v>
      </c>
      <c r="D56" s="7" t="str">
        <f ca="1">OFFSET(CampList[Township],MATCH(Table10[[#This Row],[Pcode]],CampList[CP_Pcode],0)-1,0,1,1)</f>
        <v>Hpakant</v>
      </c>
      <c r="E56" s="106">
        <f ca="1">OFFSET(CampList[HH],MATCH(Table10[[#This Row],[Pcode]],CampList[CP_Pcode],0)-1,0,1,1)</f>
        <v>68</v>
      </c>
      <c r="F56" s="106">
        <f ca="1">OFFSET(CampList[Total],MATCH(Table10[[#This Row],[Pcode]],CampList[CP_Pcode],0)-1,0,1,1)</f>
        <v>343</v>
      </c>
      <c r="G56" s="106">
        <f>SUMIF('NFI Distributions'!AW$53:AW$1048576,Table10[[#This Row],[Pcode]],'NFI Distributions'!AL$53:AL$1048576)</f>
        <v>0</v>
      </c>
      <c r="H56" s="106">
        <f>SUMIF('NFI Distributions'!AW$53:AW$1048576,Table10[[#This Row],[Pcode]],'NFI Distributions'!AM$53:AM$1048576)</f>
        <v>0</v>
      </c>
      <c r="I56" s="106">
        <f>SUMIF('NFI Distributions'!AW$53:AW$1048576,Table10[[#This Row],[Pcode]],'NFI Distributions'!AN$53:AN$1048576)</f>
        <v>0</v>
      </c>
      <c r="J56" s="106">
        <f ca="1">MAX(Table10[[#This Row],[HH]]*VLOOKUP("Winter Clothes Adult",NFI,6)-Table10[[#This Row],[Winter Clothes Adult ]],0)</f>
        <v>136</v>
      </c>
      <c r="K56" s="106">
        <f ca="1">MAX(Table10[[#This Row],[HH]]*VLOOKUP("Winter Clothes Children ",NFI,6)-Table10[[#This Row],[Winter Clothes Children ]],0)</f>
        <v>68</v>
      </c>
      <c r="L56" s="106">
        <f ca="1">MAX(Table10[[#This Row],[HH]]*VLOOKUP("Winter Items Other ",NFI,6)-Table10[[#This Row],[Winter Items Other ]],0)</f>
        <v>68</v>
      </c>
      <c r="M56" s="114" t="str">
        <f>IF(OR(Table10[[#This Row],[Winter Clothes Adult ]]&lt;&gt;0,Table10[[#This Row],[Winter Clothes Children ]]&lt;&gt;0,Table10[[#This Row],[Winter Items Other ]]&lt;&gt;0),"No","")</f>
        <v/>
      </c>
      <c r="N56" s="115">
        <f>COUNTIF(A:A,Table10[[#This Row],[Pcode]])-1</f>
        <v>0</v>
      </c>
    </row>
    <row r="57" spans="1:14" x14ac:dyDescent="0.3">
      <c r="A57" s="102" t="s">
        <v>4</v>
      </c>
      <c r="B57" s="7" t="e">
        <f ca="1">OFFSET(#REF!,MATCH(Table10[[#This Row],[Pcode]],CampList[CP_Pcode],0)-1,0,1,1)</f>
        <v>#REF!</v>
      </c>
      <c r="C57" s="7" t="str">
        <f ca="1">OFFSET(CampList[Camp],MATCH(Table10[[#This Row],[Pcode]],CampList[CP_Pcode],0)-1,0,1,1)</f>
        <v>AD-2000 Tharthana Compound</v>
      </c>
      <c r="D57" s="7" t="str">
        <f ca="1">OFFSET(CampList[Township],MATCH(Table10[[#This Row],[Pcode]],CampList[CP_Pcode],0)-1,0,1,1)</f>
        <v>Bhamo</v>
      </c>
      <c r="E57" s="106">
        <f ca="1">OFFSET(CampList[HH],MATCH(Table10[[#This Row],[Pcode]],CampList[CP_Pcode],0)-1,0,1,1)</f>
        <v>218</v>
      </c>
      <c r="F57" s="106">
        <f ca="1">OFFSET(CampList[Total],MATCH(Table10[[#This Row],[Pcode]],CampList[CP_Pcode],0)-1,0,1,1)</f>
        <v>1067</v>
      </c>
      <c r="G57" s="106">
        <f>SUMIF('NFI Distributions'!AW$53:AW$1048576,Table10[[#This Row],[Pcode]],'NFI Distributions'!AL$53:AL$1048576)</f>
        <v>0</v>
      </c>
      <c r="H57" s="106">
        <f>SUMIF('NFI Distributions'!AW$53:AW$1048576,Table10[[#This Row],[Pcode]],'NFI Distributions'!AM$53:AM$1048576)</f>
        <v>0</v>
      </c>
      <c r="I57" s="106">
        <f>SUMIF('NFI Distributions'!AW$53:AW$1048576,Table10[[#This Row],[Pcode]],'NFI Distributions'!AN$53:AN$1048576)</f>
        <v>0</v>
      </c>
      <c r="J57" s="106">
        <f ca="1">MAX(Table10[[#This Row],[HH]]*VLOOKUP("Winter Clothes Adult",NFI,6)-Table10[[#This Row],[Winter Clothes Adult ]],0)</f>
        <v>436</v>
      </c>
      <c r="K57" s="106">
        <f ca="1">MAX(Table10[[#This Row],[HH]]*VLOOKUP("Winter Clothes Children ",NFI,6)-Table10[[#This Row],[Winter Clothes Children ]],0)</f>
        <v>218</v>
      </c>
      <c r="L57" s="106">
        <f ca="1">MAX(Table10[[#This Row],[HH]]*VLOOKUP("Winter Items Other ",NFI,6)-Table10[[#This Row],[Winter Items Other ]],0)</f>
        <v>218</v>
      </c>
      <c r="M57" s="114" t="str">
        <f>IF(OR(Table10[[#This Row],[Winter Clothes Adult ]]&lt;&gt;0,Table10[[#This Row],[Winter Clothes Children ]]&lt;&gt;0,Table10[[#This Row],[Winter Items Other ]]&lt;&gt;0),"No","")</f>
        <v/>
      </c>
      <c r="N57" s="115">
        <f>COUNTIF(A:A,Table10[[#This Row],[Pcode]])-1</f>
        <v>0</v>
      </c>
    </row>
    <row r="58" spans="1:14" x14ac:dyDescent="0.3">
      <c r="A58" s="102" t="s">
        <v>40</v>
      </c>
      <c r="B58" s="7" t="e">
        <f ca="1">OFFSET(#REF!,MATCH(Table10[[#This Row],[Pcode]],CampList[CP_Pcode],0)-1,0,1,1)</f>
        <v>#REF!</v>
      </c>
      <c r="C58" s="7" t="str">
        <f ca="1">OFFSET(CampList[Camp],MATCH(Table10[[#This Row],[Pcode]],CampList[CP_Pcode],0)-1,0,1,1)</f>
        <v>AG Church, Hmaw Si Sa</v>
      </c>
      <c r="D58" s="7" t="str">
        <f ca="1">OFFSET(CampList[Township],MATCH(Table10[[#This Row],[Pcode]],CampList[CP_Pcode],0)-1,0,1,1)</f>
        <v>Hpakant</v>
      </c>
      <c r="E58" s="106">
        <f ca="1">OFFSET(CampList[HH],MATCH(Table10[[#This Row],[Pcode]],CampList[CP_Pcode],0)-1,0,1,1)</f>
        <v>70</v>
      </c>
      <c r="F58" s="106">
        <f ca="1">OFFSET(CampList[Total],MATCH(Table10[[#This Row],[Pcode]],CampList[CP_Pcode],0)-1,0,1,1)</f>
        <v>372</v>
      </c>
      <c r="G58" s="106">
        <f>SUMIF('NFI Distributions'!AW$53:AW$1048576,Table10[[#This Row],[Pcode]],'NFI Distributions'!AL$53:AL$1048576)</f>
        <v>0</v>
      </c>
      <c r="H58" s="106">
        <f>SUMIF('NFI Distributions'!AW$53:AW$1048576,Table10[[#This Row],[Pcode]],'NFI Distributions'!AM$53:AM$1048576)</f>
        <v>0</v>
      </c>
      <c r="I58" s="106">
        <f>SUMIF('NFI Distributions'!AW$53:AW$1048576,Table10[[#This Row],[Pcode]],'NFI Distributions'!AN$53:AN$1048576)</f>
        <v>0</v>
      </c>
      <c r="J58" s="106">
        <f ca="1">MAX(Table10[[#This Row],[HH]]*VLOOKUP("Winter Clothes Adult",NFI,6)-Table10[[#This Row],[Winter Clothes Adult ]],0)</f>
        <v>140</v>
      </c>
      <c r="K58" s="106">
        <f ca="1">MAX(Table10[[#This Row],[HH]]*VLOOKUP("Winter Clothes Children ",NFI,6)-Table10[[#This Row],[Winter Clothes Children ]],0)</f>
        <v>70</v>
      </c>
      <c r="L58" s="106">
        <f ca="1">MAX(Table10[[#This Row],[HH]]*VLOOKUP("Winter Items Other ",NFI,6)-Table10[[#This Row],[Winter Items Other ]],0)</f>
        <v>70</v>
      </c>
      <c r="M58" s="114" t="str">
        <f>IF(OR(Table10[[#This Row],[Winter Clothes Adult ]]&lt;&gt;0,Table10[[#This Row],[Winter Clothes Children ]]&lt;&gt;0,Table10[[#This Row],[Winter Items Other ]]&lt;&gt;0),"No","")</f>
        <v/>
      </c>
      <c r="N58" s="115">
        <f>COUNTIF(A:A,Table10[[#This Row],[Pcode]])-1</f>
        <v>0</v>
      </c>
    </row>
    <row r="59" spans="1:14" x14ac:dyDescent="0.3">
      <c r="A59" s="102" t="s">
        <v>42</v>
      </c>
      <c r="B59" s="7" t="e">
        <f ca="1">OFFSET(#REF!,MATCH(Table10[[#This Row],[Pcode]],CampList[CP_Pcode],0)-1,0,1,1)</f>
        <v>#REF!</v>
      </c>
      <c r="C59" s="7" t="str">
        <f ca="1">OFFSET(CampList[Camp],MATCH(Table10[[#This Row],[Pcode]],CampList[CP_Pcode],0)-1,0,1,1)</f>
        <v>AG Church, Maw Wan</v>
      </c>
      <c r="D59" s="7" t="str">
        <f ca="1">OFFSET(CampList[Township],MATCH(Table10[[#This Row],[Pcode]],CampList[CP_Pcode],0)-1,0,1,1)</f>
        <v>Hpakant</v>
      </c>
      <c r="E59" s="106">
        <f ca="1">OFFSET(CampList[HH],MATCH(Table10[[#This Row],[Pcode]],CampList[CP_Pcode],0)-1,0,1,1)</f>
        <v>13</v>
      </c>
      <c r="F59" s="106">
        <f ca="1">OFFSET(CampList[Total],MATCH(Table10[[#This Row],[Pcode]],CampList[CP_Pcode],0)-1,0,1,1)</f>
        <v>84</v>
      </c>
      <c r="G59" s="106">
        <f>SUMIF('NFI Distributions'!AW$53:AW$1048576,Table10[[#This Row],[Pcode]],'NFI Distributions'!AL$53:AL$1048576)</f>
        <v>0</v>
      </c>
      <c r="H59" s="106">
        <f>SUMIF('NFI Distributions'!AW$53:AW$1048576,Table10[[#This Row],[Pcode]],'NFI Distributions'!AM$53:AM$1048576)</f>
        <v>0</v>
      </c>
      <c r="I59" s="106">
        <f>SUMIF('NFI Distributions'!AW$53:AW$1048576,Table10[[#This Row],[Pcode]],'NFI Distributions'!AN$53:AN$1048576)</f>
        <v>0</v>
      </c>
      <c r="J59" s="106">
        <f ca="1">MAX(Table10[[#This Row],[HH]]*VLOOKUP("Winter Clothes Adult",NFI,6)-Table10[[#This Row],[Winter Clothes Adult ]],0)</f>
        <v>26</v>
      </c>
      <c r="K59" s="106">
        <f ca="1">MAX(Table10[[#This Row],[HH]]*VLOOKUP("Winter Clothes Children ",NFI,6)-Table10[[#This Row],[Winter Clothes Children ]],0)</f>
        <v>13</v>
      </c>
      <c r="L59" s="106">
        <f ca="1">MAX(Table10[[#This Row],[HH]]*VLOOKUP("Winter Items Other ",NFI,6)-Table10[[#This Row],[Winter Items Other ]],0)</f>
        <v>13</v>
      </c>
      <c r="M59" s="114" t="str">
        <f>IF(OR(Table10[[#This Row],[Winter Clothes Adult ]]&lt;&gt;0,Table10[[#This Row],[Winter Clothes Children ]]&lt;&gt;0,Table10[[#This Row],[Winter Items Other ]]&lt;&gt;0),"No","")</f>
        <v/>
      </c>
      <c r="N59" s="115">
        <f>COUNTIF(A:A,Table10[[#This Row],[Pcode]])-1</f>
        <v>0</v>
      </c>
    </row>
    <row r="60" spans="1:14" x14ac:dyDescent="0.3">
      <c r="A60" s="102" t="s">
        <v>375</v>
      </c>
      <c r="B60" s="7" t="e">
        <f ca="1">OFFSET(#REF!,MATCH(Table10[[#This Row],[Pcode]],CampList[CP_Pcode],0)-1,0,1,1)</f>
        <v>#REF!</v>
      </c>
      <c r="C60" s="7" t="str">
        <f ca="1">OFFSET(CampList[Camp],MATCH(Table10[[#This Row],[Pcode]],CampList[CP_Pcode],0)-1,0,1,1)</f>
        <v>Aung Thar Church</v>
      </c>
      <c r="D60" s="7" t="str">
        <f ca="1">OFFSET(CampList[Township],MATCH(Table10[[#This Row],[Pcode]],CampList[CP_Pcode],0)-1,0,1,1)</f>
        <v>Bhamo</v>
      </c>
      <c r="E60" s="106">
        <f ca="1">OFFSET(CampList[HH],MATCH(Table10[[#This Row],[Pcode]],CampList[CP_Pcode],0)-1,0,1,1)</f>
        <v>12</v>
      </c>
      <c r="F60" s="106">
        <f ca="1">OFFSET(CampList[Total],MATCH(Table10[[#This Row],[Pcode]],CampList[CP_Pcode],0)-1,0,1,1)</f>
        <v>52</v>
      </c>
      <c r="G60" s="106">
        <f>SUMIF('NFI Distributions'!AW$53:AW$1048576,Table10[[#This Row],[Pcode]],'NFI Distributions'!AL$53:AL$1048576)</f>
        <v>0</v>
      </c>
      <c r="H60" s="106">
        <f>SUMIF('NFI Distributions'!AW$53:AW$1048576,Table10[[#This Row],[Pcode]],'NFI Distributions'!AM$53:AM$1048576)</f>
        <v>0</v>
      </c>
      <c r="I60" s="106">
        <f>SUMIF('NFI Distributions'!AW$53:AW$1048576,Table10[[#This Row],[Pcode]],'NFI Distributions'!AN$53:AN$1048576)</f>
        <v>0</v>
      </c>
      <c r="J60" s="106">
        <f ca="1">MAX(Table10[[#This Row],[HH]]*VLOOKUP("Winter Clothes Adult",NFI,6)-Table10[[#This Row],[Winter Clothes Adult ]],0)</f>
        <v>24</v>
      </c>
      <c r="K60" s="106">
        <f ca="1">MAX(Table10[[#This Row],[HH]]*VLOOKUP("Winter Clothes Children ",NFI,6)-Table10[[#This Row],[Winter Clothes Children ]],0)</f>
        <v>12</v>
      </c>
      <c r="L60" s="106">
        <f ca="1">MAX(Table10[[#This Row],[HH]]*VLOOKUP("Winter Items Other ",NFI,6)-Table10[[#This Row],[Winter Items Other ]],0)</f>
        <v>12</v>
      </c>
      <c r="M60" s="114" t="str">
        <f>IF(OR(Table10[[#This Row],[Winter Clothes Adult ]]&lt;&gt;0,Table10[[#This Row],[Winter Clothes Children ]]&lt;&gt;0,Table10[[#This Row],[Winter Items Other ]]&lt;&gt;0),"No","")</f>
        <v/>
      </c>
      <c r="N60" s="115">
        <f>COUNTIF(A:A,Table10[[#This Row],[Pcode]])-1</f>
        <v>0</v>
      </c>
    </row>
    <row r="61" spans="1:14" x14ac:dyDescent="0.3">
      <c r="A61" s="102" t="s">
        <v>807</v>
      </c>
      <c r="B61" s="7" t="e">
        <f ca="1">OFFSET(#REF!,MATCH(Table10[[#This Row],[Pcode]],CampList[CP_Pcode],0)-1,0,1,1)</f>
        <v>#REF!</v>
      </c>
      <c r="C61" s="7" t="str">
        <f ca="1">OFFSET(CampList[Camp],MATCH(Table10[[#This Row],[Pcode]],CampList[CP_Pcode],0)-1,0,1,1)</f>
        <v>Ban Hkung Yang</v>
      </c>
      <c r="D61" s="7" t="str">
        <f ca="1">OFFSET(CampList[Township],MATCH(Table10[[#This Row],[Pcode]],CampList[CP_Pcode],0)-1,0,1,1)</f>
        <v>Mansi</v>
      </c>
      <c r="E61" s="106">
        <f ca="1">OFFSET(CampList[HH],MATCH(Table10[[#This Row],[Pcode]],CampList[CP_Pcode],0)-1,0,1,1)</f>
        <v>0</v>
      </c>
      <c r="F61" s="106">
        <f ca="1">OFFSET(CampList[Total],MATCH(Table10[[#This Row],[Pcode]],CampList[CP_Pcode],0)-1,0,1,1)</f>
        <v>0</v>
      </c>
      <c r="G61" s="106">
        <f>SUMIF('NFI Distributions'!AW$53:AW$1048576,Table10[[#This Row],[Pcode]],'NFI Distributions'!AL$53:AL$1048576)</f>
        <v>0</v>
      </c>
      <c r="H61" s="106">
        <f>SUMIF('NFI Distributions'!AW$53:AW$1048576,Table10[[#This Row],[Pcode]],'NFI Distributions'!AM$53:AM$1048576)</f>
        <v>0</v>
      </c>
      <c r="I61" s="106">
        <f>SUMIF('NFI Distributions'!AW$53:AW$1048576,Table10[[#This Row],[Pcode]],'NFI Distributions'!AN$53:AN$1048576)</f>
        <v>0</v>
      </c>
      <c r="J61" s="106">
        <f ca="1">MAX(Table10[[#This Row],[HH]]*VLOOKUP("Winter Clothes Adult",NFI,6)-Table10[[#This Row],[Winter Clothes Adult ]],0)</f>
        <v>0</v>
      </c>
      <c r="K61" s="106">
        <f ca="1">MAX(Table10[[#This Row],[HH]]*VLOOKUP("Winter Clothes Children ",NFI,6)-Table10[[#This Row],[Winter Clothes Children ]],0)</f>
        <v>0</v>
      </c>
      <c r="L61" s="106">
        <f ca="1">MAX(Table10[[#This Row],[HH]]*VLOOKUP("Winter Items Other ",NFI,6)-Table10[[#This Row],[Winter Items Other ]],0)</f>
        <v>0</v>
      </c>
      <c r="M61" s="114" t="str">
        <f>IF(OR(Table10[[#This Row],[Winter Clothes Adult ]]&lt;&gt;0,Table10[[#This Row],[Winter Clothes Children ]]&lt;&gt;0,Table10[[#This Row],[Winter Items Other ]]&lt;&gt;0),"No","")</f>
        <v/>
      </c>
      <c r="N61" s="115">
        <f>COUNTIF(A:A,Table10[[#This Row],[Pcode]])-1</f>
        <v>0</v>
      </c>
    </row>
    <row r="62" spans="1:14" x14ac:dyDescent="0.3">
      <c r="A62" s="102" t="s">
        <v>51</v>
      </c>
      <c r="B62" s="7" t="e">
        <f ca="1">OFFSET(#REF!,MATCH(Table10[[#This Row],[Pcode]],CampList[CP_Pcode],0)-1,0,1,1)</f>
        <v>#REF!</v>
      </c>
      <c r="C62" s="7" t="str">
        <f ca="1">OFFSET(CampList[Camp],MATCH(Table10[[#This Row],[Pcode]],CampList[CP_Pcode],0)-1,0,1,1)</f>
        <v>Baptist Church, Hmaw Si Sar(Lon Khin)</v>
      </c>
      <c r="D62" s="7" t="str">
        <f ca="1">OFFSET(CampList[Township],MATCH(Table10[[#This Row],[Pcode]],CampList[CP_Pcode],0)-1,0,1,1)</f>
        <v>Hpakant</v>
      </c>
      <c r="E62" s="106">
        <f ca="1">OFFSET(CampList[HH],MATCH(Table10[[#This Row],[Pcode]],CampList[CP_Pcode],0)-1,0,1,1)</f>
        <v>36</v>
      </c>
      <c r="F62" s="106">
        <f ca="1">OFFSET(CampList[Total],MATCH(Table10[[#This Row],[Pcode]],CampList[CP_Pcode],0)-1,0,1,1)</f>
        <v>227</v>
      </c>
      <c r="G62" s="106">
        <f>SUMIF('NFI Distributions'!AW$53:AW$1048576,Table10[[#This Row],[Pcode]],'NFI Distributions'!AL$53:AL$1048576)</f>
        <v>0</v>
      </c>
      <c r="H62" s="106">
        <f>SUMIF('NFI Distributions'!AW$53:AW$1048576,Table10[[#This Row],[Pcode]],'NFI Distributions'!AM$53:AM$1048576)</f>
        <v>0</v>
      </c>
      <c r="I62" s="106">
        <f>SUMIF('NFI Distributions'!AW$53:AW$1048576,Table10[[#This Row],[Pcode]],'NFI Distributions'!AN$53:AN$1048576)</f>
        <v>0</v>
      </c>
      <c r="J62" s="106">
        <f ca="1">MAX(Table10[[#This Row],[HH]]*VLOOKUP("Winter Clothes Adult",NFI,6)-Table10[[#This Row],[Winter Clothes Adult ]],0)</f>
        <v>72</v>
      </c>
      <c r="K62" s="106">
        <f ca="1">MAX(Table10[[#This Row],[HH]]*VLOOKUP("Winter Clothes Children ",NFI,6)-Table10[[#This Row],[Winter Clothes Children ]],0)</f>
        <v>36</v>
      </c>
      <c r="L62" s="106">
        <f ca="1">MAX(Table10[[#This Row],[HH]]*VLOOKUP("Winter Items Other ",NFI,6)-Table10[[#This Row],[Winter Items Other ]],0)</f>
        <v>36</v>
      </c>
      <c r="M62" s="114" t="str">
        <f>IF(OR(Table10[[#This Row],[Winter Clothes Adult ]]&lt;&gt;0,Table10[[#This Row],[Winter Clothes Children ]]&lt;&gt;0,Table10[[#This Row],[Winter Items Other ]]&lt;&gt;0),"No","")</f>
        <v/>
      </c>
      <c r="N62" s="115">
        <f>COUNTIF(A:A,Table10[[#This Row],[Pcode]])-1</f>
        <v>0</v>
      </c>
    </row>
    <row r="63" spans="1:14" x14ac:dyDescent="0.3">
      <c r="A63" s="102" t="s">
        <v>57</v>
      </c>
      <c r="B63" s="7" t="e">
        <f ca="1">OFFSET(#REF!,MATCH(Table10[[#This Row],[Pcode]],CampList[CP_Pcode],0)-1,0,1,1)</f>
        <v>#REF!</v>
      </c>
      <c r="C63" s="7" t="str">
        <f ca="1">OFFSET(CampList[Camp],MATCH(Table10[[#This Row],[Pcode]],CampList[CP_Pcode],0)-1,0,1,1)</f>
        <v>Baptist Church, Naung Hmee VT</v>
      </c>
      <c r="D63" s="7" t="str">
        <f ca="1">OFFSET(CampList[Township],MATCH(Table10[[#This Row],[Pcode]],CampList[CP_Pcode],0)-1,0,1,1)</f>
        <v>Hpakant</v>
      </c>
      <c r="E63" s="106">
        <f ca="1">OFFSET(CampList[HH],MATCH(Table10[[#This Row],[Pcode]],CampList[CP_Pcode],0)-1,0,1,1)</f>
        <v>0</v>
      </c>
      <c r="F63" s="106">
        <f ca="1">OFFSET(CampList[Total],MATCH(Table10[[#This Row],[Pcode]],CampList[CP_Pcode],0)-1,0,1,1)</f>
        <v>0</v>
      </c>
      <c r="G63" s="106">
        <f>SUMIF('NFI Distributions'!AW$53:AW$1048576,Table10[[#This Row],[Pcode]],'NFI Distributions'!AL$53:AL$1048576)</f>
        <v>0</v>
      </c>
      <c r="H63" s="106">
        <f>SUMIF('NFI Distributions'!AW$53:AW$1048576,Table10[[#This Row],[Pcode]],'NFI Distributions'!AM$53:AM$1048576)</f>
        <v>0</v>
      </c>
      <c r="I63" s="106">
        <f>SUMIF('NFI Distributions'!AW$53:AW$1048576,Table10[[#This Row],[Pcode]],'NFI Distributions'!AN$53:AN$1048576)</f>
        <v>0</v>
      </c>
      <c r="J63" s="106">
        <f ca="1">MAX(Table10[[#This Row],[HH]]*VLOOKUP("Winter Clothes Adult",NFI,6)-Table10[[#This Row],[Winter Clothes Adult ]],0)</f>
        <v>0</v>
      </c>
      <c r="K63" s="106">
        <f ca="1">MAX(Table10[[#This Row],[HH]]*VLOOKUP("Winter Clothes Children ",NFI,6)-Table10[[#This Row],[Winter Clothes Children ]],0)</f>
        <v>0</v>
      </c>
      <c r="L63" s="106">
        <f ca="1">MAX(Table10[[#This Row],[HH]]*VLOOKUP("Winter Items Other ",NFI,6)-Table10[[#This Row],[Winter Items Other ]],0)</f>
        <v>0</v>
      </c>
      <c r="M63" s="114" t="str">
        <f>IF(OR(Table10[[#This Row],[Winter Clothes Adult ]]&lt;&gt;0,Table10[[#This Row],[Winter Clothes Children ]]&lt;&gt;0,Table10[[#This Row],[Winter Items Other ]]&lt;&gt;0),"No","")</f>
        <v/>
      </c>
      <c r="N63" s="115">
        <f>COUNTIF(A:A,Table10[[#This Row],[Pcode]])-1</f>
        <v>0</v>
      </c>
    </row>
    <row r="64" spans="1:14" x14ac:dyDescent="0.3">
      <c r="A64" s="102" t="s">
        <v>71</v>
      </c>
      <c r="B64" s="7" t="e">
        <f ca="1">OFFSET(#REF!,MATCH(Table10[[#This Row],[Pcode]],CampList[CP_Pcode],0)-1,0,1,1)</f>
        <v>#REF!</v>
      </c>
      <c r="C64" s="7" t="str">
        <f ca="1">OFFSET(CampList[Camp],MATCH(Table10[[#This Row],[Pcode]],CampList[CP_Pcode],0)-1,0,1,1)</f>
        <v>Chin Church, Seik Mu</v>
      </c>
      <c r="D64" s="7" t="str">
        <f ca="1">OFFSET(CampList[Township],MATCH(Table10[[#This Row],[Pcode]],CampList[CP_Pcode],0)-1,0,1,1)</f>
        <v>Hpakant</v>
      </c>
      <c r="E64" s="106">
        <f ca="1">OFFSET(CampList[HH],MATCH(Table10[[#This Row],[Pcode]],CampList[CP_Pcode],0)-1,0,1,1)</f>
        <v>6</v>
      </c>
      <c r="F64" s="106">
        <f ca="1">OFFSET(CampList[Total],MATCH(Table10[[#This Row],[Pcode]],CampList[CP_Pcode],0)-1,0,1,1)</f>
        <v>31</v>
      </c>
      <c r="G64" s="106">
        <f>SUMIF('NFI Distributions'!AW$53:AW$1048576,Table10[[#This Row],[Pcode]],'NFI Distributions'!AL$53:AL$1048576)</f>
        <v>0</v>
      </c>
      <c r="H64" s="106">
        <f>SUMIF('NFI Distributions'!AW$53:AW$1048576,Table10[[#This Row],[Pcode]],'NFI Distributions'!AM$53:AM$1048576)</f>
        <v>0</v>
      </c>
      <c r="I64" s="106">
        <f>SUMIF('NFI Distributions'!AW$53:AW$1048576,Table10[[#This Row],[Pcode]],'NFI Distributions'!AN$53:AN$1048576)</f>
        <v>0</v>
      </c>
      <c r="J64" s="106">
        <f ca="1">MAX(Table10[[#This Row],[HH]]*VLOOKUP("Winter Clothes Adult",NFI,6)-Table10[[#This Row],[Winter Clothes Adult ]],0)</f>
        <v>12</v>
      </c>
      <c r="K64" s="106">
        <f ca="1">MAX(Table10[[#This Row],[HH]]*VLOOKUP("Winter Clothes Children ",NFI,6)-Table10[[#This Row],[Winter Clothes Children ]],0)</f>
        <v>6</v>
      </c>
      <c r="L64" s="106">
        <f ca="1">MAX(Table10[[#This Row],[HH]]*VLOOKUP("Winter Items Other ",NFI,6)-Table10[[#This Row],[Winter Items Other ]],0)</f>
        <v>6</v>
      </c>
      <c r="M64" s="114" t="str">
        <f>IF(OR(Table10[[#This Row],[Winter Clothes Adult ]]&lt;&gt;0,Table10[[#This Row],[Winter Clothes Children ]]&lt;&gt;0,Table10[[#This Row],[Winter Items Other ]]&lt;&gt;0),"No","")</f>
        <v/>
      </c>
      <c r="N64" s="115">
        <f>COUNTIF(A:A,Table10[[#This Row],[Pcode]])-1</f>
        <v>0</v>
      </c>
    </row>
    <row r="65" spans="1:14" x14ac:dyDescent="0.3">
      <c r="A65" s="102" t="s">
        <v>75</v>
      </c>
      <c r="B65" s="7" t="e">
        <f ca="1">OFFSET(#REF!,MATCH(Table10[[#This Row],[Pcode]],CampList[CP_Pcode],0)-1,0,1,1)</f>
        <v>#REF!</v>
      </c>
      <c r="C65" s="7" t="str">
        <f ca="1">OFFSET(CampList[Camp],MATCH(Table10[[#This Row],[Pcode]],CampList[CP_Pcode],0)-1,0,1,1)</f>
        <v>Dhama Rakhita, Nyein Chan Tar Yar Ward(Lon Khin)</v>
      </c>
      <c r="D65" s="7" t="str">
        <f ca="1">OFFSET(CampList[Township],MATCH(Table10[[#This Row],[Pcode]],CampList[CP_Pcode],0)-1,0,1,1)</f>
        <v>Hpakant</v>
      </c>
      <c r="E65" s="106">
        <f ca="1">OFFSET(CampList[HH],MATCH(Table10[[#This Row],[Pcode]],CampList[CP_Pcode],0)-1,0,1,1)</f>
        <v>70</v>
      </c>
      <c r="F65" s="106">
        <f ca="1">OFFSET(CampList[Total],MATCH(Table10[[#This Row],[Pcode]],CampList[CP_Pcode],0)-1,0,1,1)</f>
        <v>376</v>
      </c>
      <c r="G65" s="106">
        <f>SUMIF('NFI Distributions'!AW$53:AW$1048576,Table10[[#This Row],[Pcode]],'NFI Distributions'!AL$53:AL$1048576)</f>
        <v>0</v>
      </c>
      <c r="H65" s="106">
        <f>SUMIF('NFI Distributions'!AW$53:AW$1048576,Table10[[#This Row],[Pcode]],'NFI Distributions'!AM$53:AM$1048576)</f>
        <v>0</v>
      </c>
      <c r="I65" s="106">
        <f>SUMIF('NFI Distributions'!AW$53:AW$1048576,Table10[[#This Row],[Pcode]],'NFI Distributions'!AN$53:AN$1048576)</f>
        <v>0</v>
      </c>
      <c r="J65" s="106">
        <f ca="1">MAX(Table10[[#This Row],[HH]]*VLOOKUP("Winter Clothes Adult",NFI,6)-Table10[[#This Row],[Winter Clothes Adult ]],0)</f>
        <v>140</v>
      </c>
      <c r="K65" s="106">
        <f ca="1">MAX(Table10[[#This Row],[HH]]*VLOOKUP("Winter Clothes Children ",NFI,6)-Table10[[#This Row],[Winter Clothes Children ]],0)</f>
        <v>70</v>
      </c>
      <c r="L65" s="106">
        <f ca="1">MAX(Table10[[#This Row],[HH]]*VLOOKUP("Winter Items Other ",NFI,6)-Table10[[#This Row],[Winter Items Other ]],0)</f>
        <v>70</v>
      </c>
      <c r="M65" s="114" t="str">
        <f>IF(OR(Table10[[#This Row],[Winter Clothes Adult ]]&lt;&gt;0,Table10[[#This Row],[Winter Clothes Children ]]&lt;&gt;0,Table10[[#This Row],[Winter Items Other ]]&lt;&gt;0),"No","")</f>
        <v/>
      </c>
      <c r="N65" s="115">
        <f>COUNTIF(A:A,Table10[[#This Row],[Pcode]])-1</f>
        <v>0</v>
      </c>
    </row>
    <row r="66" spans="1:14" x14ac:dyDescent="0.3">
      <c r="A66" s="102" t="s">
        <v>242</v>
      </c>
      <c r="B66" s="7" t="e">
        <f ca="1">OFFSET(#REF!,MATCH(Table10[[#This Row],[Pcode]],CampList[CP_Pcode],0)-1,0,1,1)</f>
        <v>#REF!</v>
      </c>
      <c r="C66" s="7" t="e">
        <f ca="1">OFFSET(CampList[Camp],MATCH(Table10[[#This Row],[Pcode]],CampList[CP_Pcode],0)-1,0,1,1)</f>
        <v>#N/A</v>
      </c>
      <c r="D66" s="7" t="e">
        <f ca="1">OFFSET(CampList[Township],MATCH(Table10[[#This Row],[Pcode]],CampList[CP_Pcode],0)-1,0,1,1)</f>
        <v>#N/A</v>
      </c>
      <c r="E66" s="106" t="e">
        <f ca="1">OFFSET(CampList[HH],MATCH(Table10[[#This Row],[Pcode]],CampList[CP_Pcode],0)-1,0,1,1)</f>
        <v>#N/A</v>
      </c>
      <c r="F66" s="106" t="e">
        <f ca="1">OFFSET(CampList[Total],MATCH(Table10[[#This Row],[Pcode]],CampList[CP_Pcode],0)-1,0,1,1)</f>
        <v>#N/A</v>
      </c>
      <c r="G66" s="106">
        <f>SUMIF('NFI Distributions'!AW$53:AW$1048576,Table10[[#This Row],[Pcode]],'NFI Distributions'!AL$53:AL$1048576)</f>
        <v>0</v>
      </c>
      <c r="H66" s="106">
        <f>SUMIF('NFI Distributions'!AW$53:AW$1048576,Table10[[#This Row],[Pcode]],'NFI Distributions'!AM$53:AM$1048576)</f>
        <v>0</v>
      </c>
      <c r="I66" s="106">
        <f>SUMIF('NFI Distributions'!AW$53:AW$1048576,Table10[[#This Row],[Pcode]],'NFI Distributions'!AN$53:AN$1048576)</f>
        <v>0</v>
      </c>
      <c r="J66" s="106" t="e">
        <f ca="1">MAX(Table10[[#This Row],[HH]]*VLOOKUP("Winter Clothes Adult",NFI,6)-Table10[[#This Row],[Winter Clothes Adult ]],0)</f>
        <v>#N/A</v>
      </c>
      <c r="K66" s="106" t="e">
        <f ca="1">MAX(Table10[[#This Row],[HH]]*VLOOKUP("Winter Clothes Children ",NFI,6)-Table10[[#This Row],[Winter Clothes Children ]],0)</f>
        <v>#N/A</v>
      </c>
      <c r="L66" s="106" t="e">
        <f ca="1">MAX(Table10[[#This Row],[HH]]*VLOOKUP("Winter Items Other ",NFI,6)-Table10[[#This Row],[Winter Items Other ]],0)</f>
        <v>#N/A</v>
      </c>
      <c r="M66" s="114" t="str">
        <f>IF(OR(Table10[[#This Row],[Winter Clothes Adult ]]&lt;&gt;0,Table10[[#This Row],[Winter Clothes Children ]]&lt;&gt;0,Table10[[#This Row],[Winter Items Other ]]&lt;&gt;0),"No","")</f>
        <v/>
      </c>
      <c r="N66" s="115">
        <f>COUNTIF(A:A,Table10[[#This Row],[Pcode]])-1</f>
        <v>0</v>
      </c>
    </row>
    <row r="67" spans="1:14" x14ac:dyDescent="0.3">
      <c r="A67" s="102" t="s">
        <v>244</v>
      </c>
      <c r="B67" s="7" t="e">
        <f ca="1">OFFSET(#REF!,MATCH(Table10[[#This Row],[Pcode]],CampList[CP_Pcode],0)-1,0,1,1)</f>
        <v>#REF!</v>
      </c>
      <c r="C67" s="7" t="str">
        <f ca="1">OFFSET(CampList[Camp],MATCH(Table10[[#This Row],[Pcode]],CampList[CP_Pcode],0)-1,0,1,1)</f>
        <v>Du Kahtawng Baptist</v>
      </c>
      <c r="D67" s="7" t="str">
        <f ca="1">OFFSET(CampList[Township],MATCH(Table10[[#This Row],[Pcode]],CampList[CP_Pcode],0)-1,0,1,1)</f>
        <v>Myitkyina</v>
      </c>
      <c r="E67" s="106">
        <f ca="1">OFFSET(CampList[HH],MATCH(Table10[[#This Row],[Pcode]],CampList[CP_Pcode],0)-1,0,1,1)</f>
        <v>44</v>
      </c>
      <c r="F67" s="106">
        <f ca="1">OFFSET(CampList[Total],MATCH(Table10[[#This Row],[Pcode]],CampList[CP_Pcode],0)-1,0,1,1)</f>
        <v>197</v>
      </c>
      <c r="G67" s="106">
        <f>SUMIF('NFI Distributions'!AW$53:AW$1048576,Table10[[#This Row],[Pcode]],'NFI Distributions'!AL$53:AL$1048576)</f>
        <v>0</v>
      </c>
      <c r="H67" s="106">
        <f>SUMIF('NFI Distributions'!AW$53:AW$1048576,Table10[[#This Row],[Pcode]],'NFI Distributions'!AM$53:AM$1048576)</f>
        <v>0</v>
      </c>
      <c r="I67" s="106">
        <f>SUMIF('NFI Distributions'!AW$53:AW$1048576,Table10[[#This Row],[Pcode]],'NFI Distributions'!AN$53:AN$1048576)</f>
        <v>0</v>
      </c>
      <c r="J67" s="106">
        <f ca="1">MAX(Table10[[#This Row],[HH]]*VLOOKUP("Winter Clothes Adult",NFI,6)-Table10[[#This Row],[Winter Clothes Adult ]],0)</f>
        <v>88</v>
      </c>
      <c r="K67" s="106">
        <f ca="1">MAX(Table10[[#This Row],[HH]]*VLOOKUP("Winter Clothes Children ",NFI,6)-Table10[[#This Row],[Winter Clothes Children ]],0)</f>
        <v>44</v>
      </c>
      <c r="L67" s="106">
        <f ca="1">MAX(Table10[[#This Row],[HH]]*VLOOKUP("Winter Items Other ",NFI,6)-Table10[[#This Row],[Winter Items Other ]],0)</f>
        <v>44</v>
      </c>
      <c r="M67" s="114" t="str">
        <f>IF(OR(Table10[[#This Row],[Winter Clothes Adult ]]&lt;&gt;0,Table10[[#This Row],[Winter Clothes Children ]]&lt;&gt;0,Table10[[#This Row],[Winter Items Other ]]&lt;&gt;0),"No","")</f>
        <v/>
      </c>
      <c r="N67" s="115">
        <f>COUNTIF(A:A,Table10[[#This Row],[Pcode]])-1</f>
        <v>0</v>
      </c>
    </row>
    <row r="68" spans="1:14" x14ac:dyDescent="0.3">
      <c r="A68" s="102" t="s">
        <v>245</v>
      </c>
      <c r="B68" s="7" t="e">
        <f ca="1">OFFSET(#REF!,MATCH(Table10[[#This Row],[Pcode]],CampList[CP_Pcode],0)-1,0,1,1)</f>
        <v>#REF!</v>
      </c>
      <c r="C68" s="7" t="e">
        <f ca="1">OFFSET(CampList[Camp],MATCH(Table10[[#This Row],[Pcode]],CampList[CP_Pcode],0)-1,0,1,1)</f>
        <v>#N/A</v>
      </c>
      <c r="D68" s="7" t="e">
        <f ca="1">OFFSET(CampList[Township],MATCH(Table10[[#This Row],[Pcode]],CampList[CP_Pcode],0)-1,0,1,1)</f>
        <v>#N/A</v>
      </c>
      <c r="E68" s="106" t="e">
        <f ca="1">OFFSET(CampList[HH],MATCH(Table10[[#This Row],[Pcode]],CampList[CP_Pcode],0)-1,0,1,1)</f>
        <v>#N/A</v>
      </c>
      <c r="F68" s="106" t="e">
        <f ca="1">OFFSET(CampList[Total],MATCH(Table10[[#This Row],[Pcode]],CampList[CP_Pcode],0)-1,0,1,1)</f>
        <v>#N/A</v>
      </c>
      <c r="G68" s="106">
        <f>SUMIF('NFI Distributions'!AW$53:AW$1048576,Table10[[#This Row],[Pcode]],'NFI Distributions'!AL$53:AL$1048576)</f>
        <v>0</v>
      </c>
      <c r="H68" s="106">
        <f>SUMIF('NFI Distributions'!AW$53:AW$1048576,Table10[[#This Row],[Pcode]],'NFI Distributions'!AM$53:AM$1048576)</f>
        <v>0</v>
      </c>
      <c r="I68" s="106">
        <f>SUMIF('NFI Distributions'!AW$53:AW$1048576,Table10[[#This Row],[Pcode]],'NFI Distributions'!AN$53:AN$1048576)</f>
        <v>0</v>
      </c>
      <c r="J68" s="106" t="e">
        <f ca="1">MAX(Table10[[#This Row],[HH]]*VLOOKUP("Winter Clothes Adult",NFI,6)-Table10[[#This Row],[Winter Clothes Adult ]],0)</f>
        <v>#N/A</v>
      </c>
      <c r="K68" s="106" t="e">
        <f ca="1">MAX(Table10[[#This Row],[HH]]*VLOOKUP("Winter Clothes Children ",NFI,6)-Table10[[#This Row],[Winter Clothes Children ]],0)</f>
        <v>#N/A</v>
      </c>
      <c r="L68" s="106" t="e">
        <f ca="1">MAX(Table10[[#This Row],[HH]]*VLOOKUP("Winter Items Other ",NFI,6)-Table10[[#This Row],[Winter Items Other ]],0)</f>
        <v>#N/A</v>
      </c>
      <c r="M68" s="114" t="str">
        <f>IF(OR(Table10[[#This Row],[Winter Clothes Adult ]]&lt;&gt;0,Table10[[#This Row],[Winter Clothes Children ]]&lt;&gt;0,Table10[[#This Row],[Winter Items Other ]]&lt;&gt;0),"No","")</f>
        <v/>
      </c>
      <c r="N68" s="115">
        <f>COUNTIF(A:A,Table10[[#This Row],[Pcode]])-1</f>
        <v>0</v>
      </c>
    </row>
    <row r="69" spans="1:14" x14ac:dyDescent="0.3">
      <c r="A69" s="102" t="s">
        <v>311</v>
      </c>
      <c r="B69" s="7" t="e">
        <f ca="1">OFFSET(#REF!,MATCH(Table10[[#This Row],[Pcode]],CampList[CP_Pcode],0)-1,0,1,1)</f>
        <v>#REF!</v>
      </c>
      <c r="C69" s="7" t="str">
        <f ca="1">OFFSET(CampList[Camp],MATCH(Table10[[#This Row],[Pcode]],CampList[CP_Pcode],0)-1,0,1,1)</f>
        <v xml:space="preserve">Hkat Cho </v>
      </c>
      <c r="D69" s="7" t="str">
        <f ca="1">OFFSET(CampList[Township],MATCH(Table10[[#This Row],[Pcode]],CampList[CP_Pcode],0)-1,0,1,1)</f>
        <v>Waingmaw</v>
      </c>
      <c r="E69" s="106">
        <f ca="1">OFFSET(CampList[HH],MATCH(Table10[[#This Row],[Pcode]],CampList[CP_Pcode],0)-1,0,1,1)</f>
        <v>92</v>
      </c>
      <c r="F69" s="106">
        <f ca="1">OFFSET(CampList[Total],MATCH(Table10[[#This Row],[Pcode]],CampList[CP_Pcode],0)-1,0,1,1)</f>
        <v>448</v>
      </c>
      <c r="G69" s="106">
        <f>SUMIF('NFI Distributions'!AW$53:AW$1048576,Table10[[#This Row],[Pcode]],'NFI Distributions'!AL$53:AL$1048576)</f>
        <v>0</v>
      </c>
      <c r="H69" s="106">
        <f>SUMIF('NFI Distributions'!AW$53:AW$1048576,Table10[[#This Row],[Pcode]],'NFI Distributions'!AM$53:AM$1048576)</f>
        <v>0</v>
      </c>
      <c r="I69" s="106">
        <f>SUMIF('NFI Distributions'!AW$53:AW$1048576,Table10[[#This Row],[Pcode]],'NFI Distributions'!AN$53:AN$1048576)</f>
        <v>0</v>
      </c>
      <c r="J69" s="106">
        <f ca="1">MAX(Table10[[#This Row],[HH]]*VLOOKUP("Winter Clothes Adult",NFI,6)-Table10[[#This Row],[Winter Clothes Adult ]],0)</f>
        <v>184</v>
      </c>
      <c r="K69" s="106">
        <f ca="1">MAX(Table10[[#This Row],[HH]]*VLOOKUP("Winter Clothes Children ",NFI,6)-Table10[[#This Row],[Winter Clothes Children ]],0)</f>
        <v>92</v>
      </c>
      <c r="L69" s="106">
        <f ca="1">MAX(Table10[[#This Row],[HH]]*VLOOKUP("Winter Items Other ",NFI,6)-Table10[[#This Row],[Winter Items Other ]],0)</f>
        <v>92</v>
      </c>
      <c r="M69" s="114" t="str">
        <f>IF(OR(Table10[[#This Row],[Winter Clothes Adult ]]&lt;&gt;0,Table10[[#This Row],[Winter Clothes Children ]]&lt;&gt;0,Table10[[#This Row],[Winter Items Other ]]&lt;&gt;0),"No","")</f>
        <v/>
      </c>
      <c r="N69" s="115">
        <f>COUNTIF(A:A,Table10[[#This Row],[Pcode]])-1</f>
        <v>0</v>
      </c>
    </row>
    <row r="70" spans="1:14" x14ac:dyDescent="0.3">
      <c r="A70" s="102" t="s">
        <v>87</v>
      </c>
      <c r="B70" s="7" t="e">
        <f ca="1">OFFSET(#REF!,MATCH(Table10[[#This Row],[Pcode]],CampList[CP_Pcode],0)-1,0,1,1)</f>
        <v>#REF!</v>
      </c>
      <c r="C70" s="7" t="str">
        <f ca="1">OFFSET(CampList[Camp],MATCH(Table10[[#This Row],[Pcode]],CampList[CP_Pcode],0)-1,0,1,1)</f>
        <v>Hlaing Naung Baptist</v>
      </c>
      <c r="D70" s="7" t="str">
        <f ca="1">OFFSET(CampList[Township],MATCH(Table10[[#This Row],[Pcode]],CampList[CP_Pcode],0)-1,0,1,1)</f>
        <v>Hpakant</v>
      </c>
      <c r="E70" s="106">
        <f ca="1">OFFSET(CampList[HH],MATCH(Table10[[#This Row],[Pcode]],CampList[CP_Pcode],0)-1,0,1,1)</f>
        <v>34</v>
      </c>
      <c r="F70" s="106">
        <f ca="1">OFFSET(CampList[Total],MATCH(Table10[[#This Row],[Pcode]],CampList[CP_Pcode],0)-1,0,1,1)</f>
        <v>137</v>
      </c>
      <c r="G70" s="106">
        <f>SUMIF('NFI Distributions'!AW$53:AW$1048576,Table10[[#This Row],[Pcode]],'NFI Distributions'!AL$53:AL$1048576)</f>
        <v>0</v>
      </c>
      <c r="H70" s="106">
        <f>SUMIF('NFI Distributions'!AW$53:AW$1048576,Table10[[#This Row],[Pcode]],'NFI Distributions'!AM$53:AM$1048576)</f>
        <v>0</v>
      </c>
      <c r="I70" s="106">
        <f>SUMIF('NFI Distributions'!AW$53:AW$1048576,Table10[[#This Row],[Pcode]],'NFI Distributions'!AN$53:AN$1048576)</f>
        <v>0</v>
      </c>
      <c r="J70" s="106">
        <f ca="1">MAX(Table10[[#This Row],[HH]]*VLOOKUP("Winter Clothes Adult",NFI,6)-Table10[[#This Row],[Winter Clothes Adult ]],0)</f>
        <v>68</v>
      </c>
      <c r="K70" s="106">
        <f ca="1">MAX(Table10[[#This Row],[HH]]*VLOOKUP("Winter Clothes Children ",NFI,6)-Table10[[#This Row],[Winter Clothes Children ]],0)</f>
        <v>34</v>
      </c>
      <c r="L70" s="106">
        <f ca="1">MAX(Table10[[#This Row],[HH]]*VLOOKUP("Winter Items Other ",NFI,6)-Table10[[#This Row],[Winter Items Other ]],0)</f>
        <v>34</v>
      </c>
      <c r="M70" s="114" t="str">
        <f>IF(OR(Table10[[#This Row],[Winter Clothes Adult ]]&lt;&gt;0,Table10[[#This Row],[Winter Clothes Children ]]&lt;&gt;0,Table10[[#This Row],[Winter Items Other ]]&lt;&gt;0),"No","")</f>
        <v/>
      </c>
      <c r="N70" s="115">
        <f>COUNTIF(A:A,Table10[[#This Row],[Pcode]])-1</f>
        <v>0</v>
      </c>
    </row>
    <row r="71" spans="1:14" x14ac:dyDescent="0.3">
      <c r="A71" s="102" t="s">
        <v>45</v>
      </c>
      <c r="B71" s="7" t="e">
        <f ca="1">OFFSET(#REF!,MATCH(Table10[[#This Row],[Pcode]],CampList[CP_Pcode],0)-1,0,1,1)</f>
        <v>#REF!</v>
      </c>
      <c r="C71" s="7" t="str">
        <f ca="1">OFFSET(CampList[Camp],MATCH(Table10[[#This Row],[Pcode]],CampList[CP_Pcode],0)-1,0,1,1)</f>
        <v>Hmaw Wan, Anglican</v>
      </c>
      <c r="D71" s="7" t="str">
        <f ca="1">OFFSET(CampList[Township],MATCH(Table10[[#This Row],[Pcode]],CampList[CP_Pcode],0)-1,0,1,1)</f>
        <v>Hpakant</v>
      </c>
      <c r="E71" s="106">
        <f ca="1">OFFSET(CampList[HH],MATCH(Table10[[#This Row],[Pcode]],CampList[CP_Pcode],0)-1,0,1,1)</f>
        <v>2</v>
      </c>
      <c r="F71" s="106">
        <f ca="1">OFFSET(CampList[Total],MATCH(Table10[[#This Row],[Pcode]],CampList[CP_Pcode],0)-1,0,1,1)</f>
        <v>14</v>
      </c>
      <c r="G71" s="106">
        <f>SUMIF('NFI Distributions'!AW$53:AW$1048576,Table10[[#This Row],[Pcode]],'NFI Distributions'!AL$53:AL$1048576)</f>
        <v>0</v>
      </c>
      <c r="H71" s="106">
        <f>SUMIF('NFI Distributions'!AW$53:AW$1048576,Table10[[#This Row],[Pcode]],'NFI Distributions'!AM$53:AM$1048576)</f>
        <v>0</v>
      </c>
      <c r="I71" s="106">
        <f>SUMIF('NFI Distributions'!AW$53:AW$1048576,Table10[[#This Row],[Pcode]],'NFI Distributions'!AN$53:AN$1048576)</f>
        <v>0</v>
      </c>
      <c r="J71" s="106">
        <f ca="1">MAX(Table10[[#This Row],[HH]]*VLOOKUP("Winter Clothes Adult",NFI,6)-Table10[[#This Row],[Winter Clothes Adult ]],0)</f>
        <v>4</v>
      </c>
      <c r="K71" s="106">
        <f ca="1">MAX(Table10[[#This Row],[HH]]*VLOOKUP("Winter Clothes Children ",NFI,6)-Table10[[#This Row],[Winter Clothes Children ]],0)</f>
        <v>2</v>
      </c>
      <c r="L71" s="106">
        <f ca="1">MAX(Table10[[#This Row],[HH]]*VLOOKUP("Winter Items Other ",NFI,6)-Table10[[#This Row],[Winter Items Other ]],0)</f>
        <v>2</v>
      </c>
      <c r="M71" s="114" t="str">
        <f>IF(OR(Table10[[#This Row],[Winter Clothes Adult ]]&lt;&gt;0,Table10[[#This Row],[Winter Clothes Children ]]&lt;&gt;0,Table10[[#This Row],[Winter Items Other ]]&lt;&gt;0),"No","")</f>
        <v/>
      </c>
      <c r="N71" s="115">
        <f>COUNTIF(A:A,Table10[[#This Row],[Pcode]])-1</f>
        <v>0</v>
      </c>
    </row>
    <row r="72" spans="1:14" x14ac:dyDescent="0.3">
      <c r="A72" s="102" t="s">
        <v>11</v>
      </c>
      <c r="B72" s="7" t="e">
        <f ca="1">OFFSET(#REF!,MATCH(Table10[[#This Row],[Pcode]],CampList[CP_Pcode],0)-1,0,1,1)</f>
        <v>#REF!</v>
      </c>
      <c r="C72" s="7" t="str">
        <f ca="1">OFFSET(CampList[Camp],MATCH(Table10[[#This Row],[Pcode]],CampList[CP_Pcode],0)-1,0,1,1)</f>
        <v xml:space="preserve">IDPs in Host </v>
      </c>
      <c r="D72" s="7" t="str">
        <f ca="1">OFFSET(CampList[Township],MATCH(Table10[[#This Row],[Pcode]],CampList[CP_Pcode],0)-1,0,1,1)</f>
        <v>Bhamo</v>
      </c>
      <c r="E72" s="106">
        <f ca="1">OFFSET(CampList[HH],MATCH(Table10[[#This Row],[Pcode]],CampList[CP_Pcode],0)-1,0,1,1)</f>
        <v>181</v>
      </c>
      <c r="F72" s="106">
        <f ca="1">OFFSET(CampList[Total],MATCH(Table10[[#This Row],[Pcode]],CampList[CP_Pcode],0)-1,0,1,1)</f>
        <v>906</v>
      </c>
      <c r="G72" s="106">
        <f>SUMIF('NFI Distributions'!AW$53:AW$1048576,Table10[[#This Row],[Pcode]],'NFI Distributions'!AL$53:AL$1048576)</f>
        <v>0</v>
      </c>
      <c r="H72" s="106">
        <f>SUMIF('NFI Distributions'!AW$53:AW$1048576,Table10[[#This Row],[Pcode]],'NFI Distributions'!AM$53:AM$1048576)</f>
        <v>0</v>
      </c>
      <c r="I72" s="106">
        <f>SUMIF('NFI Distributions'!AW$53:AW$1048576,Table10[[#This Row],[Pcode]],'NFI Distributions'!AN$53:AN$1048576)</f>
        <v>0</v>
      </c>
      <c r="J72" s="106">
        <f ca="1">MAX(Table10[[#This Row],[HH]]*VLOOKUP("Winter Clothes Adult",NFI,6)-Table10[[#This Row],[Winter Clothes Adult ]],0)</f>
        <v>362</v>
      </c>
      <c r="K72" s="106">
        <f ca="1">MAX(Table10[[#This Row],[HH]]*VLOOKUP("Winter Clothes Children ",NFI,6)-Table10[[#This Row],[Winter Clothes Children ]],0)</f>
        <v>181</v>
      </c>
      <c r="L72" s="106">
        <f ca="1">MAX(Table10[[#This Row],[HH]]*VLOOKUP("Winter Items Other ",NFI,6)-Table10[[#This Row],[Winter Items Other ]],0)</f>
        <v>181</v>
      </c>
      <c r="M72" s="114" t="str">
        <f>IF(OR(Table10[[#This Row],[Winter Clothes Adult ]]&lt;&gt;0,Table10[[#This Row],[Winter Clothes Children ]]&lt;&gt;0,Table10[[#This Row],[Winter Items Other ]]&lt;&gt;0),"No","")</f>
        <v/>
      </c>
      <c r="N72" s="115">
        <f>COUNTIF(A:A,Table10[[#This Row],[Pcode]])-1</f>
        <v>0</v>
      </c>
    </row>
    <row r="73" spans="1:14" x14ac:dyDescent="0.3">
      <c r="A73" s="102" t="s">
        <v>388</v>
      </c>
      <c r="B73" s="7" t="e">
        <f ca="1">OFFSET(#REF!,MATCH(Table10[[#This Row],[Pcode]],CampList[CP_Pcode],0)-1,0,1,1)</f>
        <v>#REF!</v>
      </c>
      <c r="C73" s="7" t="str">
        <f ca="1">OFFSET(CampList[Camp],MATCH(Table10[[#This Row],[Pcode]],CampList[CP_Pcode],0)-1,0,1,1)</f>
        <v>IDPs in Host</v>
      </c>
      <c r="D73" s="7" t="str">
        <f ca="1">OFFSET(CampList[Township],MATCH(Table10[[#This Row],[Pcode]],CampList[CP_Pcode],0)-1,0,1,1)</f>
        <v>Mansi</v>
      </c>
      <c r="E73" s="106">
        <f ca="1">OFFSET(CampList[HH],MATCH(Table10[[#This Row],[Pcode]],CampList[CP_Pcode],0)-1,0,1,1)</f>
        <v>67</v>
      </c>
      <c r="F73" s="106">
        <f ca="1">OFFSET(CampList[Total],MATCH(Table10[[#This Row],[Pcode]],CampList[CP_Pcode],0)-1,0,1,1)</f>
        <v>324</v>
      </c>
      <c r="G73" s="106">
        <f>SUMIF('NFI Distributions'!AW$53:AW$1048576,Table10[[#This Row],[Pcode]],'NFI Distributions'!AL$53:AL$1048576)</f>
        <v>0</v>
      </c>
      <c r="H73" s="106">
        <f>SUMIF('NFI Distributions'!AW$53:AW$1048576,Table10[[#This Row],[Pcode]],'NFI Distributions'!AM$53:AM$1048576)</f>
        <v>0</v>
      </c>
      <c r="I73" s="106">
        <f>SUMIF('NFI Distributions'!AW$53:AW$1048576,Table10[[#This Row],[Pcode]],'NFI Distributions'!AN$53:AN$1048576)</f>
        <v>0</v>
      </c>
      <c r="J73" s="106">
        <f ca="1">MAX(Table10[[#This Row],[HH]]*VLOOKUP("Winter Clothes Adult",NFI,6)-Table10[[#This Row],[Winter Clothes Adult ]],0)</f>
        <v>134</v>
      </c>
      <c r="K73" s="106">
        <f ca="1">MAX(Table10[[#This Row],[HH]]*VLOOKUP("Winter Clothes Children ",NFI,6)-Table10[[#This Row],[Winter Clothes Children ]],0)</f>
        <v>67</v>
      </c>
      <c r="L73" s="106">
        <f ca="1">MAX(Table10[[#This Row],[HH]]*VLOOKUP("Winter Items Other ",NFI,6)-Table10[[#This Row],[Winter Items Other ]],0)</f>
        <v>67</v>
      </c>
      <c r="M73" s="114" t="str">
        <f>IF(OR(Table10[[#This Row],[Winter Clothes Adult ]]&lt;&gt;0,Table10[[#This Row],[Winter Clothes Children ]]&lt;&gt;0,Table10[[#This Row],[Winter Items Other ]]&lt;&gt;0),"No","")</f>
        <v/>
      </c>
      <c r="N73" s="115">
        <f>COUNTIF(A:A,Table10[[#This Row],[Pcode]])-1</f>
        <v>0</v>
      </c>
    </row>
    <row r="74" spans="1:14" x14ac:dyDescent="0.3">
      <c r="A74" s="102" t="s">
        <v>389</v>
      </c>
      <c r="B74" s="7" t="e">
        <f ca="1">OFFSET(#REF!,MATCH(Table10[[#This Row],[Pcode]],CampList[CP_Pcode],0)-1,0,1,1)</f>
        <v>#REF!</v>
      </c>
      <c r="C74" s="7" t="str">
        <f ca="1">OFFSET(CampList[Camp],MATCH(Table10[[#This Row],[Pcode]],CampList[CP_Pcode],0)-1,0,1,1)</f>
        <v>IDPs in Host</v>
      </c>
      <c r="D74" s="7" t="str">
        <f ca="1">OFFSET(CampList[Township],MATCH(Table10[[#This Row],[Pcode]],CampList[CP_Pcode],0)-1,0,1,1)</f>
        <v>Momauk</v>
      </c>
      <c r="E74" s="106">
        <f ca="1">OFFSET(CampList[HH],MATCH(Table10[[#This Row],[Pcode]],CampList[CP_Pcode],0)-1,0,1,1)</f>
        <v>223</v>
      </c>
      <c r="F74" s="106">
        <f ca="1">OFFSET(CampList[Total],MATCH(Table10[[#This Row],[Pcode]],CampList[CP_Pcode],0)-1,0,1,1)</f>
        <v>1067</v>
      </c>
      <c r="G74" s="106">
        <f>SUMIF('NFI Distributions'!AW$53:AW$1048576,Table10[[#This Row],[Pcode]],'NFI Distributions'!AL$53:AL$1048576)</f>
        <v>0</v>
      </c>
      <c r="H74" s="106">
        <f>SUMIF('NFI Distributions'!AW$53:AW$1048576,Table10[[#This Row],[Pcode]],'NFI Distributions'!AM$53:AM$1048576)</f>
        <v>0</v>
      </c>
      <c r="I74" s="106">
        <f>SUMIF('NFI Distributions'!AW$53:AW$1048576,Table10[[#This Row],[Pcode]],'NFI Distributions'!AN$53:AN$1048576)</f>
        <v>0</v>
      </c>
      <c r="J74" s="106">
        <f ca="1">MAX(Table10[[#This Row],[HH]]*VLOOKUP("Winter Clothes Adult",NFI,6)-Table10[[#This Row],[Winter Clothes Adult ]],0)</f>
        <v>446</v>
      </c>
      <c r="K74" s="106">
        <f ca="1">MAX(Table10[[#This Row],[HH]]*VLOOKUP("Winter Clothes Children ",NFI,6)-Table10[[#This Row],[Winter Clothes Children ]],0)</f>
        <v>223</v>
      </c>
      <c r="L74" s="106">
        <f ca="1">MAX(Table10[[#This Row],[HH]]*VLOOKUP("Winter Items Other ",NFI,6)-Table10[[#This Row],[Winter Items Other ]],0)</f>
        <v>223</v>
      </c>
      <c r="M74" s="114" t="str">
        <f>IF(OR(Table10[[#This Row],[Winter Clothes Adult ]]&lt;&gt;0,Table10[[#This Row],[Winter Clothes Children ]]&lt;&gt;0,Table10[[#This Row],[Winter Items Other ]]&lt;&gt;0),"No","")</f>
        <v/>
      </c>
      <c r="N74" s="115">
        <f>COUNTIF(A:A,Table10[[#This Row],[Pcode]])-1</f>
        <v>0</v>
      </c>
    </row>
    <row r="75" spans="1:14" x14ac:dyDescent="0.3">
      <c r="A75" s="102" t="s">
        <v>391</v>
      </c>
      <c r="B75" s="7" t="e">
        <f ca="1">OFFSET(#REF!,MATCH(Table10[[#This Row],[Pcode]],CampList[CP_Pcode],0)-1,0,1,1)</f>
        <v>#REF!</v>
      </c>
      <c r="C75" s="7" t="str">
        <f ca="1">OFFSET(CampList[Camp],MATCH(Table10[[#This Row],[Pcode]],CampList[CP_Pcode],0)-1,0,1,1)</f>
        <v>Host Families</v>
      </c>
      <c r="D75" s="7" t="str">
        <f ca="1">OFFSET(CampList[Township],MATCH(Table10[[#This Row],[Pcode]],CampList[CP_Pcode],0)-1,0,1,1)</f>
        <v>Shwegu</v>
      </c>
      <c r="E75" s="106">
        <f ca="1">OFFSET(CampList[HH],MATCH(Table10[[#This Row],[Pcode]],CampList[CP_Pcode],0)-1,0,1,1)</f>
        <v>0</v>
      </c>
      <c r="F75" s="106">
        <f ca="1">OFFSET(CampList[Total],MATCH(Table10[[#This Row],[Pcode]],CampList[CP_Pcode],0)-1,0,1,1)</f>
        <v>0</v>
      </c>
      <c r="G75" s="106">
        <f>SUMIF('NFI Distributions'!AW$53:AW$1048576,Table10[[#This Row],[Pcode]],'NFI Distributions'!AL$53:AL$1048576)</f>
        <v>0</v>
      </c>
      <c r="H75" s="106">
        <f>SUMIF('NFI Distributions'!AW$53:AW$1048576,Table10[[#This Row],[Pcode]],'NFI Distributions'!AM$53:AM$1048576)</f>
        <v>0</v>
      </c>
      <c r="I75" s="106">
        <f>SUMIF('NFI Distributions'!AW$53:AW$1048576,Table10[[#This Row],[Pcode]],'NFI Distributions'!AN$53:AN$1048576)</f>
        <v>0</v>
      </c>
      <c r="J75" s="106">
        <f ca="1">MAX(Table10[[#This Row],[HH]]*VLOOKUP("Winter Clothes Adult",NFI,6)-Table10[[#This Row],[Winter Clothes Adult ]],0)</f>
        <v>0</v>
      </c>
      <c r="K75" s="106">
        <f ca="1">MAX(Table10[[#This Row],[HH]]*VLOOKUP("Winter Clothes Children ",NFI,6)-Table10[[#This Row],[Winter Clothes Children ]],0)</f>
        <v>0</v>
      </c>
      <c r="L75" s="106">
        <f ca="1">MAX(Table10[[#This Row],[HH]]*VLOOKUP("Winter Items Other ",NFI,6)-Table10[[#This Row],[Winter Items Other ]],0)</f>
        <v>0</v>
      </c>
      <c r="M75" s="114" t="str">
        <f>IF(OR(Table10[[#This Row],[Winter Clothes Adult ]]&lt;&gt;0,Table10[[#This Row],[Winter Clothes Children ]]&lt;&gt;0,Table10[[#This Row],[Winter Items Other ]]&lt;&gt;0),"No","")</f>
        <v/>
      </c>
      <c r="N75" s="115">
        <f>COUNTIF(A:A,Table10[[#This Row],[Pcode]])-1</f>
        <v>0</v>
      </c>
    </row>
    <row r="76" spans="1:14" x14ac:dyDescent="0.3">
      <c r="A76" s="102" t="s">
        <v>386</v>
      </c>
      <c r="B76" s="7" t="e">
        <f ca="1">OFFSET(#REF!,MATCH(Table10[[#This Row],[Pcode]],CampList[CP_Pcode],0)-1,0,1,1)</f>
        <v>#REF!</v>
      </c>
      <c r="C76" s="7" t="str">
        <f ca="1">OFFSET(CampList[Camp],MATCH(Table10[[#This Row],[Pcode]],CampList[CP_Pcode],0)-1,0,1,1)</f>
        <v>Hpai Kawng Mare</v>
      </c>
      <c r="D76" s="7" t="str">
        <f ca="1">OFFSET(CampList[Township],MATCH(Table10[[#This Row],[Pcode]],CampList[CP_Pcode],0)-1,0,1,1)</f>
        <v>Muse</v>
      </c>
      <c r="E76" s="106">
        <f ca="1">OFFSET(CampList[HH],MATCH(Table10[[#This Row],[Pcode]],CampList[CP_Pcode],0)-1,0,1,1)</f>
        <v>32</v>
      </c>
      <c r="F76" s="106">
        <f ca="1">OFFSET(CampList[Total],MATCH(Table10[[#This Row],[Pcode]],CampList[CP_Pcode],0)-1,0,1,1)</f>
        <v>187</v>
      </c>
      <c r="G76" s="106">
        <f>SUMIF('NFI Distributions'!AW$53:AW$1048576,Table10[[#This Row],[Pcode]],'NFI Distributions'!AL$53:AL$1048576)</f>
        <v>0</v>
      </c>
      <c r="H76" s="106">
        <f>SUMIF('NFI Distributions'!AW$53:AW$1048576,Table10[[#This Row],[Pcode]],'NFI Distributions'!AM$53:AM$1048576)</f>
        <v>0</v>
      </c>
      <c r="I76" s="106">
        <f>SUMIF('NFI Distributions'!AW$53:AW$1048576,Table10[[#This Row],[Pcode]],'NFI Distributions'!AN$53:AN$1048576)</f>
        <v>0</v>
      </c>
      <c r="J76" s="106">
        <f ca="1">MAX(Table10[[#This Row],[HH]]*VLOOKUP("Winter Clothes Adult",NFI,6)-Table10[[#This Row],[Winter Clothes Adult ]],0)</f>
        <v>64</v>
      </c>
      <c r="K76" s="106">
        <f ca="1">MAX(Table10[[#This Row],[HH]]*VLOOKUP("Winter Clothes Children ",NFI,6)-Table10[[#This Row],[Winter Clothes Children ]],0)</f>
        <v>32</v>
      </c>
      <c r="L76" s="106">
        <f ca="1">MAX(Table10[[#This Row],[HH]]*VLOOKUP("Winter Items Other ",NFI,6)-Table10[[#This Row],[Winter Items Other ]],0)</f>
        <v>32</v>
      </c>
      <c r="M76" s="114" t="str">
        <f>IF(OR(Table10[[#This Row],[Winter Clothes Adult ]]&lt;&gt;0,Table10[[#This Row],[Winter Clothes Children ]]&lt;&gt;0,Table10[[#This Row],[Winter Items Other ]]&lt;&gt;0),"No","")</f>
        <v/>
      </c>
      <c r="N76" s="115">
        <f>COUNTIF(A:A,Table10[[#This Row],[Pcode]])-1</f>
        <v>0</v>
      </c>
    </row>
    <row r="77" spans="1:14" x14ac:dyDescent="0.3">
      <c r="A77" s="102" t="s">
        <v>914</v>
      </c>
      <c r="B77" s="7" t="e">
        <f ca="1">OFFSET(#REF!,MATCH(Table10[[#This Row],[Pcode]],CampList[CP_Pcode],0)-1,0,1,1)</f>
        <v>#REF!</v>
      </c>
      <c r="C77" s="7" t="str">
        <f ca="1">OFFSET(CampList[Camp],MATCH(Table10[[#This Row],[Pcode]],CampList[CP_Pcode],0)-1,0,1,1)</f>
        <v>Hpakant Baptist Church, Nam Ma Hpit</v>
      </c>
      <c r="D77" s="7" t="str">
        <f ca="1">OFFSET(CampList[Township],MATCH(Table10[[#This Row],[Pcode]],CampList[CP_Pcode],0)-1,0,1,1)</f>
        <v>Hpakant</v>
      </c>
      <c r="E77" s="106">
        <f ca="1">OFFSET(CampList[HH],MATCH(Table10[[#This Row],[Pcode]],CampList[CP_Pcode],0)-1,0,1,1)</f>
        <v>107</v>
      </c>
      <c r="F77" s="106">
        <f ca="1">OFFSET(CampList[Total],MATCH(Table10[[#This Row],[Pcode]],CampList[CP_Pcode],0)-1,0,1,1)</f>
        <v>519</v>
      </c>
      <c r="G77" s="106">
        <f>SUMIF('NFI Distributions'!AW$53:AW$1048576,Table10[[#This Row],[Pcode]],'NFI Distributions'!AL$53:AL$1048576)</f>
        <v>0</v>
      </c>
      <c r="H77" s="106">
        <f>SUMIF('NFI Distributions'!AW$53:AW$1048576,Table10[[#This Row],[Pcode]],'NFI Distributions'!AM$53:AM$1048576)</f>
        <v>0</v>
      </c>
      <c r="I77" s="106">
        <f>SUMIF('NFI Distributions'!AW$53:AW$1048576,Table10[[#This Row],[Pcode]],'NFI Distributions'!AN$53:AN$1048576)</f>
        <v>0</v>
      </c>
      <c r="J77" s="106">
        <f ca="1">MAX(Table10[[#This Row],[HH]]*VLOOKUP("Winter Clothes Adult",NFI,6)-Table10[[#This Row],[Winter Clothes Adult ]],0)</f>
        <v>214</v>
      </c>
      <c r="K77" s="106">
        <f ca="1">MAX(Table10[[#This Row],[HH]]*VLOOKUP("Winter Clothes Children ",NFI,6)-Table10[[#This Row],[Winter Clothes Children ]],0)</f>
        <v>107</v>
      </c>
      <c r="L77" s="106">
        <f ca="1">MAX(Table10[[#This Row],[HH]]*VLOOKUP("Winter Items Other ",NFI,6)-Table10[[#This Row],[Winter Items Other ]],0)</f>
        <v>107</v>
      </c>
      <c r="M77" s="114" t="str">
        <f>IF(OR(Table10[[#This Row],[Winter Clothes Adult ]]&lt;&gt;0,Table10[[#This Row],[Winter Clothes Children ]]&lt;&gt;0,Table10[[#This Row],[Winter Items Other ]]&lt;&gt;0),"No","")</f>
        <v/>
      </c>
      <c r="N77" s="115">
        <f>COUNTIF(A:A,Table10[[#This Row],[Pcode]])-1</f>
        <v>0</v>
      </c>
    </row>
    <row r="78" spans="1:14" x14ac:dyDescent="0.3">
      <c r="A78" s="102" t="s">
        <v>13</v>
      </c>
      <c r="B78" s="7" t="e">
        <f ca="1">OFFSET(#REF!,MATCH(Table10[[#This Row],[Pcode]],CampList[CP_Pcode],0)-1,0,1,1)</f>
        <v>#REF!</v>
      </c>
      <c r="C78" s="7" t="str">
        <f ca="1">OFFSET(CampList[Camp],MATCH(Table10[[#This Row],[Pcode]],CampList[CP_Pcode],0)-1,0,1,1)</f>
        <v>Htoi San Church</v>
      </c>
      <c r="D78" s="7" t="str">
        <f ca="1">OFFSET(CampList[Township],MATCH(Table10[[#This Row],[Pcode]],CampList[CP_Pcode],0)-1,0,1,1)</f>
        <v>Bhamo</v>
      </c>
      <c r="E78" s="106">
        <f ca="1">OFFSET(CampList[HH],MATCH(Table10[[#This Row],[Pcode]],CampList[CP_Pcode],0)-1,0,1,1)</f>
        <v>40</v>
      </c>
      <c r="F78" s="106">
        <f ca="1">OFFSET(CampList[Total],MATCH(Table10[[#This Row],[Pcode]],CampList[CP_Pcode],0)-1,0,1,1)</f>
        <v>232</v>
      </c>
      <c r="G78" s="106">
        <f>SUMIF('NFI Distributions'!AW$53:AW$1048576,Table10[[#This Row],[Pcode]],'NFI Distributions'!AL$53:AL$1048576)</f>
        <v>0</v>
      </c>
      <c r="H78" s="106">
        <f>SUMIF('NFI Distributions'!AW$53:AW$1048576,Table10[[#This Row],[Pcode]],'NFI Distributions'!AM$53:AM$1048576)</f>
        <v>0</v>
      </c>
      <c r="I78" s="106">
        <f>SUMIF('NFI Distributions'!AW$53:AW$1048576,Table10[[#This Row],[Pcode]],'NFI Distributions'!AN$53:AN$1048576)</f>
        <v>0</v>
      </c>
      <c r="J78" s="106">
        <f ca="1">MAX(Table10[[#This Row],[HH]]*VLOOKUP("Winter Clothes Adult",NFI,6)-Table10[[#This Row],[Winter Clothes Adult ]],0)</f>
        <v>80</v>
      </c>
      <c r="K78" s="106">
        <f ca="1">MAX(Table10[[#This Row],[HH]]*VLOOKUP("Winter Clothes Children ",NFI,6)-Table10[[#This Row],[Winter Clothes Children ]],0)</f>
        <v>40</v>
      </c>
      <c r="L78" s="106">
        <f ca="1">MAX(Table10[[#This Row],[HH]]*VLOOKUP("Winter Items Other ",NFI,6)-Table10[[#This Row],[Winter Items Other ]],0)</f>
        <v>40</v>
      </c>
      <c r="M78" s="114" t="str">
        <f>IF(OR(Table10[[#This Row],[Winter Clothes Adult ]]&lt;&gt;0,Table10[[#This Row],[Winter Clothes Children ]]&lt;&gt;0,Table10[[#This Row],[Winter Items Other ]]&lt;&gt;0),"No","")</f>
        <v/>
      </c>
      <c r="N78" s="115">
        <f>COUNTIF(A:A,Table10[[#This Row],[Pcode]])-1</f>
        <v>0</v>
      </c>
    </row>
    <row r="79" spans="1:14" x14ac:dyDescent="0.3">
      <c r="A79" s="102" t="s">
        <v>251</v>
      </c>
      <c r="B79" s="7" t="e">
        <f ca="1">OFFSET(#REF!,MATCH(Table10[[#This Row],[Pcode]],CampList[CP_Pcode],0)-1,0,1,1)</f>
        <v>#REF!</v>
      </c>
      <c r="C79" s="7" t="str">
        <f ca="1">OFFSET(CampList[Camp],MATCH(Table10[[#This Row],[Pcode]],CampList[CP_Pcode],0)-1,0,1,1)</f>
        <v>Jan Mai Kawng Baptist Church</v>
      </c>
      <c r="D79" s="7" t="str">
        <f ca="1">OFFSET(CampList[Township],MATCH(Table10[[#This Row],[Pcode]],CampList[CP_Pcode],0)-1,0,1,1)</f>
        <v>Myitkyina</v>
      </c>
      <c r="E79" s="106">
        <f ca="1">OFFSET(CampList[HH],MATCH(Table10[[#This Row],[Pcode]],CampList[CP_Pcode],0)-1,0,1,1)</f>
        <v>199</v>
      </c>
      <c r="F79" s="106">
        <f ca="1">OFFSET(CampList[Total],MATCH(Table10[[#This Row],[Pcode]],CampList[CP_Pcode],0)-1,0,1,1)</f>
        <v>1131</v>
      </c>
      <c r="G79" s="106">
        <f>SUMIF('NFI Distributions'!AW$53:AW$1048576,Table10[[#This Row],[Pcode]],'NFI Distributions'!AL$53:AL$1048576)</f>
        <v>0</v>
      </c>
      <c r="H79" s="106">
        <f>SUMIF('NFI Distributions'!AW$53:AW$1048576,Table10[[#This Row],[Pcode]],'NFI Distributions'!AM$53:AM$1048576)</f>
        <v>0</v>
      </c>
      <c r="I79" s="106">
        <f>SUMIF('NFI Distributions'!AW$53:AW$1048576,Table10[[#This Row],[Pcode]],'NFI Distributions'!AN$53:AN$1048576)</f>
        <v>0</v>
      </c>
      <c r="J79" s="106">
        <f ca="1">MAX(Table10[[#This Row],[HH]]*VLOOKUP("Winter Clothes Adult",NFI,6)-Table10[[#This Row],[Winter Clothes Adult ]],0)</f>
        <v>398</v>
      </c>
      <c r="K79" s="106">
        <f ca="1">MAX(Table10[[#This Row],[HH]]*VLOOKUP("Winter Clothes Children ",NFI,6)-Table10[[#This Row],[Winter Clothes Children ]],0)</f>
        <v>199</v>
      </c>
      <c r="L79" s="106">
        <f ca="1">MAX(Table10[[#This Row],[HH]]*VLOOKUP("Winter Items Other ",NFI,6)-Table10[[#This Row],[Winter Items Other ]],0)</f>
        <v>199</v>
      </c>
      <c r="M79" s="114" t="str">
        <f>IF(OR(Table10[[#This Row],[Winter Clothes Adult ]]&lt;&gt;0,Table10[[#This Row],[Winter Clothes Children ]]&lt;&gt;0,Table10[[#This Row],[Winter Items Other ]]&lt;&gt;0),"No","")</f>
        <v/>
      </c>
      <c r="N79" s="115">
        <f>COUNTIF(A:A,Table10[[#This Row],[Pcode]])-1</f>
        <v>0</v>
      </c>
    </row>
    <row r="80" spans="1:14" x14ac:dyDescent="0.3">
      <c r="A80" s="102" t="s">
        <v>253</v>
      </c>
      <c r="B80" s="7" t="e">
        <f ca="1">OFFSET(#REF!,MATCH(Table10[[#This Row],[Pcode]],CampList[CP_Pcode],0)-1,0,1,1)</f>
        <v>#REF!</v>
      </c>
      <c r="C80" s="7" t="str">
        <f ca="1">OFFSET(CampList[Camp],MATCH(Table10[[#This Row],[Pcode]],CampList[CP_Pcode],0)-1,0,1,1)</f>
        <v>Jan Mai Kawng Catholic Church</v>
      </c>
      <c r="D80" s="7" t="str">
        <f ca="1">OFFSET(CampList[Township],MATCH(Table10[[#This Row],[Pcode]],CampList[CP_Pcode],0)-1,0,1,1)</f>
        <v>Myitkyina</v>
      </c>
      <c r="E80" s="106">
        <f ca="1">OFFSET(CampList[HH],MATCH(Table10[[#This Row],[Pcode]],CampList[CP_Pcode],0)-1,0,1,1)</f>
        <v>100</v>
      </c>
      <c r="F80" s="106">
        <f ca="1">OFFSET(CampList[Total],MATCH(Table10[[#This Row],[Pcode]],CampList[CP_Pcode],0)-1,0,1,1)</f>
        <v>485</v>
      </c>
      <c r="G80" s="106">
        <f>SUMIF('NFI Distributions'!AW$53:AW$1048576,Table10[[#This Row],[Pcode]],'NFI Distributions'!AL$53:AL$1048576)</f>
        <v>0</v>
      </c>
      <c r="H80" s="106">
        <f>SUMIF('NFI Distributions'!AW$53:AW$1048576,Table10[[#This Row],[Pcode]],'NFI Distributions'!AM$53:AM$1048576)</f>
        <v>0</v>
      </c>
      <c r="I80" s="106">
        <f>SUMIF('NFI Distributions'!AW$53:AW$1048576,Table10[[#This Row],[Pcode]],'NFI Distributions'!AN$53:AN$1048576)</f>
        <v>0</v>
      </c>
      <c r="J80" s="106">
        <f ca="1">MAX(Table10[[#This Row],[HH]]*VLOOKUP("Winter Clothes Adult",NFI,6)-Table10[[#This Row],[Winter Clothes Adult ]],0)</f>
        <v>200</v>
      </c>
      <c r="K80" s="106">
        <f ca="1">MAX(Table10[[#This Row],[HH]]*VLOOKUP("Winter Clothes Children ",NFI,6)-Table10[[#This Row],[Winter Clothes Children ]],0)</f>
        <v>100</v>
      </c>
      <c r="L80" s="106">
        <f ca="1">MAX(Table10[[#This Row],[HH]]*VLOOKUP("Winter Items Other ",NFI,6)-Table10[[#This Row],[Winter Items Other ]],0)</f>
        <v>100</v>
      </c>
      <c r="M80" s="114" t="str">
        <f>IF(OR(Table10[[#This Row],[Winter Clothes Adult ]]&lt;&gt;0,Table10[[#This Row],[Winter Clothes Children ]]&lt;&gt;0,Table10[[#This Row],[Winter Items Other ]]&lt;&gt;0),"No","")</f>
        <v/>
      </c>
      <c r="N80" s="115">
        <f>COUNTIF(A:A,Table10[[#This Row],[Pcode]])-1</f>
        <v>0</v>
      </c>
    </row>
    <row r="81" spans="1:14" x14ac:dyDescent="0.3">
      <c r="A81" s="102" t="s">
        <v>475</v>
      </c>
      <c r="B81" s="7" t="e">
        <f ca="1">OFFSET(#REF!,MATCH(Table10[[#This Row],[Pcode]],CampList[CP_Pcode],0)-1,0,1,1)</f>
        <v>#REF!</v>
      </c>
      <c r="C81" s="7" t="str">
        <f ca="1">OFFSET(CampList[Camp],MATCH(Table10[[#This Row],[Pcode]],CampList[CP_Pcode],0)-1,0,1,1)</f>
        <v>Khun Sint Village</v>
      </c>
      <c r="D81" s="7" t="str">
        <f ca="1">OFFSET(CampList[Township],MATCH(Table10[[#This Row],[Pcode]],CampList[CP_Pcode],0)-1,0,1,1)</f>
        <v>Momauk</v>
      </c>
      <c r="E81" s="106">
        <f ca="1">OFFSET(CampList[HH],MATCH(Table10[[#This Row],[Pcode]],CampList[CP_Pcode],0)-1,0,1,1)</f>
        <v>3</v>
      </c>
      <c r="F81" s="106">
        <f ca="1">OFFSET(CampList[Total],MATCH(Table10[[#This Row],[Pcode]],CampList[CP_Pcode],0)-1,0,1,1)</f>
        <v>18</v>
      </c>
      <c r="G81" s="106">
        <f>SUMIF('NFI Distributions'!AW$53:AW$1048576,Table10[[#This Row],[Pcode]],'NFI Distributions'!AL$53:AL$1048576)</f>
        <v>0</v>
      </c>
      <c r="H81" s="106">
        <f>SUMIF('NFI Distributions'!AW$53:AW$1048576,Table10[[#This Row],[Pcode]],'NFI Distributions'!AM$53:AM$1048576)</f>
        <v>0</v>
      </c>
      <c r="I81" s="106">
        <f>SUMIF('NFI Distributions'!AW$53:AW$1048576,Table10[[#This Row],[Pcode]],'NFI Distributions'!AN$53:AN$1048576)</f>
        <v>0</v>
      </c>
      <c r="J81" s="106">
        <f ca="1">MAX(Table10[[#This Row],[HH]]*VLOOKUP("Winter Clothes Adult",NFI,6)-Table10[[#This Row],[Winter Clothes Adult ]],0)</f>
        <v>6</v>
      </c>
      <c r="K81" s="106">
        <f ca="1">MAX(Table10[[#This Row],[HH]]*VLOOKUP("Winter Clothes Children ",NFI,6)-Table10[[#This Row],[Winter Clothes Children ]],0)</f>
        <v>3</v>
      </c>
      <c r="L81" s="106">
        <f ca="1">MAX(Table10[[#This Row],[HH]]*VLOOKUP("Winter Items Other ",NFI,6)-Table10[[#This Row],[Winter Items Other ]],0)</f>
        <v>3</v>
      </c>
      <c r="M81" s="114" t="str">
        <f>IF(OR(Table10[[#This Row],[Winter Clothes Adult ]]&lt;&gt;0,Table10[[#This Row],[Winter Clothes Children ]]&lt;&gt;0,Table10[[#This Row],[Winter Items Other ]]&lt;&gt;0),"No","")</f>
        <v/>
      </c>
      <c r="N81" s="115">
        <f>COUNTIF(A:A,Table10[[#This Row],[Pcode]])-1</f>
        <v>0</v>
      </c>
    </row>
    <row r="82" spans="1:14" x14ac:dyDescent="0.3">
      <c r="A82" s="102" t="s">
        <v>255</v>
      </c>
      <c r="B82" s="7" t="e">
        <f ca="1">OFFSET(#REF!,MATCH(Table10[[#This Row],[Pcode]],CampList[CP_Pcode],0)-1,0,1,1)</f>
        <v>#REF!</v>
      </c>
      <c r="C82" s="7" t="str">
        <f ca="1">OFFSET(CampList[Camp],MATCH(Table10[[#This Row],[Pcode]],CampList[CP_Pcode],0)-1,0,1,1)</f>
        <v>Kyun Pin Thar Baptist Church</v>
      </c>
      <c r="D82" s="7" t="str">
        <f ca="1">OFFSET(CampList[Township],MATCH(Table10[[#This Row],[Pcode]],CampList[CP_Pcode],0)-1,0,1,1)</f>
        <v>Myitkyina</v>
      </c>
      <c r="E82" s="106">
        <f ca="1">OFFSET(CampList[HH],MATCH(Table10[[#This Row],[Pcode]],CampList[CP_Pcode],0)-1,0,1,1)</f>
        <v>45</v>
      </c>
      <c r="F82" s="106">
        <f ca="1">OFFSET(CampList[Total],MATCH(Table10[[#This Row],[Pcode]],CampList[CP_Pcode],0)-1,0,1,1)</f>
        <v>207</v>
      </c>
      <c r="G82" s="106">
        <f>SUMIF('NFI Distributions'!AW$53:AW$1048576,Table10[[#This Row],[Pcode]],'NFI Distributions'!AL$53:AL$1048576)</f>
        <v>0</v>
      </c>
      <c r="H82" s="106">
        <f>SUMIF('NFI Distributions'!AW$53:AW$1048576,Table10[[#This Row],[Pcode]],'NFI Distributions'!AM$53:AM$1048576)</f>
        <v>0</v>
      </c>
      <c r="I82" s="106">
        <f>SUMIF('NFI Distributions'!AW$53:AW$1048576,Table10[[#This Row],[Pcode]],'NFI Distributions'!AN$53:AN$1048576)</f>
        <v>0</v>
      </c>
      <c r="J82" s="106">
        <f ca="1">MAX(Table10[[#This Row],[HH]]*VLOOKUP("Winter Clothes Adult",NFI,6)-Table10[[#This Row],[Winter Clothes Adult ]],0)</f>
        <v>90</v>
      </c>
      <c r="K82" s="106">
        <f ca="1">MAX(Table10[[#This Row],[HH]]*VLOOKUP("Winter Clothes Children ",NFI,6)-Table10[[#This Row],[Winter Clothes Children ]],0)</f>
        <v>45</v>
      </c>
      <c r="L82" s="106">
        <f ca="1">MAX(Table10[[#This Row],[HH]]*VLOOKUP("Winter Items Other ",NFI,6)-Table10[[#This Row],[Winter Items Other ]],0)</f>
        <v>45</v>
      </c>
      <c r="M82" s="114" t="str">
        <f>IF(OR(Table10[[#This Row],[Winter Clothes Adult ]]&lt;&gt;0,Table10[[#This Row],[Winter Clothes Children ]]&lt;&gt;0,Table10[[#This Row],[Winter Items Other ]]&lt;&gt;0),"No","")</f>
        <v/>
      </c>
      <c r="N82" s="115">
        <f>COUNTIF(A:A,Table10[[#This Row],[Pcode]])-1</f>
        <v>0</v>
      </c>
    </row>
    <row r="83" spans="1:14" x14ac:dyDescent="0.3">
      <c r="A83" s="102" t="s">
        <v>172</v>
      </c>
      <c r="B83" s="7" t="e">
        <f ca="1">OFFSET(#REF!,MATCH(Table10[[#This Row],[Pcode]],CampList[CP_Pcode],0)-1,0,1,1)</f>
        <v>#REF!</v>
      </c>
      <c r="C83" s="7" t="str">
        <f ca="1">OFFSET(CampList[Camp],MATCH(Table10[[#This Row],[Pcode]],CampList[CP_Pcode],0)-1,0,1,1)</f>
        <v xml:space="preserve">Kyun Taw Baptist Church </v>
      </c>
      <c r="D83" s="7" t="str">
        <f ca="1">OFFSET(CampList[Township],MATCH(Table10[[#This Row],[Pcode]],CampList[CP_Pcode],0)-1,0,1,1)</f>
        <v>Mogaung</v>
      </c>
      <c r="E83" s="106">
        <f ca="1">OFFSET(CampList[HH],MATCH(Table10[[#This Row],[Pcode]],CampList[CP_Pcode],0)-1,0,1,1)</f>
        <v>13</v>
      </c>
      <c r="F83" s="106">
        <f ca="1">OFFSET(CampList[Total],MATCH(Table10[[#This Row],[Pcode]],CampList[CP_Pcode],0)-1,0,1,1)</f>
        <v>72</v>
      </c>
      <c r="G83" s="106">
        <f>SUMIF('NFI Distributions'!AW$53:AW$1048576,Table10[[#This Row],[Pcode]],'NFI Distributions'!AL$53:AL$1048576)</f>
        <v>0</v>
      </c>
      <c r="H83" s="106">
        <f>SUMIF('NFI Distributions'!AW$53:AW$1048576,Table10[[#This Row],[Pcode]],'NFI Distributions'!AM$53:AM$1048576)</f>
        <v>0</v>
      </c>
      <c r="I83" s="106">
        <f>SUMIF('NFI Distributions'!AW$53:AW$1048576,Table10[[#This Row],[Pcode]],'NFI Distributions'!AN$53:AN$1048576)</f>
        <v>0</v>
      </c>
      <c r="J83" s="106">
        <f ca="1">MAX(Table10[[#This Row],[HH]]*VLOOKUP("Winter Clothes Adult",NFI,6)-Table10[[#This Row],[Winter Clothes Adult ]],0)</f>
        <v>26</v>
      </c>
      <c r="K83" s="106">
        <f ca="1">MAX(Table10[[#This Row],[HH]]*VLOOKUP("Winter Clothes Children ",NFI,6)-Table10[[#This Row],[Winter Clothes Children ]],0)</f>
        <v>13</v>
      </c>
      <c r="L83" s="106">
        <f ca="1">MAX(Table10[[#This Row],[HH]]*VLOOKUP("Winter Items Other ",NFI,6)-Table10[[#This Row],[Winter Items Other ]],0)</f>
        <v>13</v>
      </c>
      <c r="M83" s="114" t="str">
        <f>IF(OR(Table10[[#This Row],[Winter Clothes Adult ]]&lt;&gt;0,Table10[[#This Row],[Winter Clothes Children ]]&lt;&gt;0,Table10[[#This Row],[Winter Items Other ]]&lt;&gt;0),"No","")</f>
        <v/>
      </c>
      <c r="N83" s="115">
        <f>COUNTIF(A:A,Table10[[#This Row],[Pcode]])-1</f>
        <v>0</v>
      </c>
    </row>
    <row r="84" spans="1:14" x14ac:dyDescent="0.3">
      <c r="A84" s="102" t="s">
        <v>143</v>
      </c>
      <c r="B84" s="7" t="e">
        <f ca="1">OFFSET(#REF!,MATCH(Table10[[#This Row],[Pcode]],CampList[CP_Pcode],0)-1,0,1,1)</f>
        <v>#REF!</v>
      </c>
      <c r="C84" s="7" t="str">
        <f ca="1">OFFSET(CampList[Camp],MATCH(Table10[[#This Row],[Pcode]],CampList[CP_Pcode],0)-1,0,1,1)</f>
        <v>La Ja</v>
      </c>
      <c r="D84" s="7" t="str">
        <f ca="1">OFFSET(CampList[Township],MATCH(Table10[[#This Row],[Pcode]],CampList[CP_Pcode],0)-1,0,1,1)</f>
        <v>Khaunglanhpu</v>
      </c>
      <c r="E84" s="106">
        <f ca="1">OFFSET(CampList[HH],MATCH(Table10[[#This Row],[Pcode]],CampList[CP_Pcode],0)-1,0,1,1)</f>
        <v>0</v>
      </c>
      <c r="F84" s="106">
        <f ca="1">OFFSET(CampList[Total],MATCH(Table10[[#This Row],[Pcode]],CampList[CP_Pcode],0)-1,0,1,1)</f>
        <v>0</v>
      </c>
      <c r="G84" s="106">
        <f>SUMIF('NFI Distributions'!AW$53:AW$1048576,Table10[[#This Row],[Pcode]],'NFI Distributions'!AL$53:AL$1048576)</f>
        <v>0</v>
      </c>
      <c r="H84" s="106">
        <f>SUMIF('NFI Distributions'!AW$53:AW$1048576,Table10[[#This Row],[Pcode]],'NFI Distributions'!AM$53:AM$1048576)</f>
        <v>0</v>
      </c>
      <c r="I84" s="106">
        <f>SUMIF('NFI Distributions'!AW$53:AW$1048576,Table10[[#This Row],[Pcode]],'NFI Distributions'!AN$53:AN$1048576)</f>
        <v>0</v>
      </c>
      <c r="J84" s="106">
        <f ca="1">MAX(Table10[[#This Row],[HH]]*VLOOKUP("Winter Clothes Adult",NFI,6)-Table10[[#This Row],[Winter Clothes Adult ]],0)</f>
        <v>0</v>
      </c>
      <c r="K84" s="106">
        <f ca="1">MAX(Table10[[#This Row],[HH]]*VLOOKUP("Winter Clothes Children ",NFI,6)-Table10[[#This Row],[Winter Clothes Children ]],0)</f>
        <v>0</v>
      </c>
      <c r="L84" s="106">
        <f ca="1">MAX(Table10[[#This Row],[HH]]*VLOOKUP("Winter Items Other ",NFI,6)-Table10[[#This Row],[Winter Items Other ]],0)</f>
        <v>0</v>
      </c>
      <c r="M84" s="114" t="str">
        <f>IF(OR(Table10[[#This Row],[Winter Clothes Adult ]]&lt;&gt;0,Table10[[#This Row],[Winter Clothes Children ]]&lt;&gt;0,Table10[[#This Row],[Winter Items Other ]]&lt;&gt;0),"No","")</f>
        <v/>
      </c>
      <c r="N84" s="115">
        <f>COUNTIF(A:A,Table10[[#This Row],[Pcode]])-1</f>
        <v>0</v>
      </c>
    </row>
    <row r="85" spans="1:14" x14ac:dyDescent="0.3">
      <c r="A85" s="102" t="s">
        <v>470</v>
      </c>
      <c r="B85" s="7" t="e">
        <f ca="1">OFFSET(#REF!,MATCH(Table10[[#This Row],[Pcode]],CampList[CP_Pcode],0)-1,0,1,1)</f>
        <v>#REF!</v>
      </c>
      <c r="C85" s="7" t="str">
        <f ca="1">OFFSET(CampList[Camp],MATCH(Table10[[#This Row],[Pcode]],CampList[CP_Pcode],0)-1,0,1,1)</f>
        <v xml:space="preserve">Lagatyan </v>
      </c>
      <c r="D85" s="7" t="str">
        <f ca="1">OFFSET(CampList[Township],MATCH(Table10[[#This Row],[Pcode]],CampList[CP_Pcode],0)-1,0,1,1)</f>
        <v>Mansi</v>
      </c>
      <c r="E85" s="106">
        <f ca="1">OFFSET(CampList[HH],MATCH(Table10[[#This Row],[Pcode]],CampList[CP_Pcode],0)-1,0,1,1)</f>
        <v>0</v>
      </c>
      <c r="F85" s="106">
        <f ca="1">OFFSET(CampList[Total],MATCH(Table10[[#This Row],[Pcode]],CampList[CP_Pcode],0)-1,0,1,1)</f>
        <v>0</v>
      </c>
      <c r="G85" s="106">
        <f>SUMIF('NFI Distributions'!AW$53:AW$1048576,Table10[[#This Row],[Pcode]],'NFI Distributions'!AL$53:AL$1048576)</f>
        <v>0</v>
      </c>
      <c r="H85" s="106">
        <f>SUMIF('NFI Distributions'!AW$53:AW$1048576,Table10[[#This Row],[Pcode]],'NFI Distributions'!AM$53:AM$1048576)</f>
        <v>0</v>
      </c>
      <c r="I85" s="106">
        <f>SUMIF('NFI Distributions'!AW$53:AW$1048576,Table10[[#This Row],[Pcode]],'NFI Distributions'!AN$53:AN$1048576)</f>
        <v>0</v>
      </c>
      <c r="J85" s="106">
        <f ca="1">MAX(Table10[[#This Row],[HH]]*VLOOKUP("Winter Clothes Adult",NFI,6)-Table10[[#This Row],[Winter Clothes Adult ]],0)</f>
        <v>0</v>
      </c>
      <c r="K85" s="106">
        <f ca="1">MAX(Table10[[#This Row],[HH]]*VLOOKUP("Winter Clothes Children ",NFI,6)-Table10[[#This Row],[Winter Clothes Children ]],0)</f>
        <v>0</v>
      </c>
      <c r="L85" s="106">
        <f ca="1">MAX(Table10[[#This Row],[HH]]*VLOOKUP("Winter Items Other ",NFI,6)-Table10[[#This Row],[Winter Items Other ]],0)</f>
        <v>0</v>
      </c>
      <c r="M85" s="114" t="str">
        <f>IF(OR(Table10[[#This Row],[Winter Clothes Adult ]]&lt;&gt;0,Table10[[#This Row],[Winter Clothes Children ]]&lt;&gt;0,Table10[[#This Row],[Winter Items Other ]]&lt;&gt;0),"No","")</f>
        <v/>
      </c>
      <c r="N85" s="115">
        <f>COUNTIF(A:A,Table10[[#This Row],[Pcode]])-1</f>
        <v>0</v>
      </c>
    </row>
    <row r="86" spans="1:14" x14ac:dyDescent="0.3">
      <c r="A86" s="102" t="s">
        <v>338</v>
      </c>
      <c r="B86" s="7" t="e">
        <f ca="1">OFFSET(#REF!,MATCH(Table10[[#This Row],[Pcode]],CampList[CP_Pcode],0)-1,0,1,1)</f>
        <v>#REF!</v>
      </c>
      <c r="C86" s="7" t="e">
        <f ca="1">OFFSET(CampList[Camp],MATCH(Table10[[#This Row],[Pcode]],CampList[CP_Pcode],0)-1,0,1,1)</f>
        <v>#N/A</v>
      </c>
      <c r="D86" s="7" t="e">
        <f ca="1">OFFSET(CampList[Township],MATCH(Table10[[#This Row],[Pcode]],CampList[CP_Pcode],0)-1,0,1,1)</f>
        <v>#N/A</v>
      </c>
      <c r="E86" s="106" t="e">
        <f ca="1">OFFSET(CampList[HH],MATCH(Table10[[#This Row],[Pcode]],CampList[CP_Pcode],0)-1,0,1,1)</f>
        <v>#N/A</v>
      </c>
      <c r="F86" s="106" t="e">
        <f ca="1">OFFSET(CampList[Total],MATCH(Table10[[#This Row],[Pcode]],CampList[CP_Pcode],0)-1,0,1,1)</f>
        <v>#N/A</v>
      </c>
      <c r="G86" s="106">
        <f>SUMIF('NFI Distributions'!AW$53:AW$1048576,Table10[[#This Row],[Pcode]],'NFI Distributions'!AL$53:AL$1048576)</f>
        <v>0</v>
      </c>
      <c r="H86" s="106">
        <f>SUMIF('NFI Distributions'!AW$53:AW$1048576,Table10[[#This Row],[Pcode]],'NFI Distributions'!AM$53:AM$1048576)</f>
        <v>0</v>
      </c>
      <c r="I86" s="106">
        <f>SUMIF('NFI Distributions'!AW$53:AW$1048576,Table10[[#This Row],[Pcode]],'NFI Distributions'!AN$53:AN$1048576)</f>
        <v>0</v>
      </c>
      <c r="J86" s="106" t="e">
        <f ca="1">MAX(Table10[[#This Row],[HH]]*VLOOKUP("Winter Clothes Adult",NFI,6)-Table10[[#This Row],[Winter Clothes Adult ]],0)</f>
        <v>#N/A</v>
      </c>
      <c r="K86" s="106" t="e">
        <f ca="1">MAX(Table10[[#This Row],[HH]]*VLOOKUP("Winter Clothes Children ",NFI,6)-Table10[[#This Row],[Winter Clothes Children ]],0)</f>
        <v>#N/A</v>
      </c>
      <c r="L86" s="106" t="e">
        <f ca="1">MAX(Table10[[#This Row],[HH]]*VLOOKUP("Winter Items Other ",NFI,6)-Table10[[#This Row],[Winter Items Other ]],0)</f>
        <v>#N/A</v>
      </c>
      <c r="M86" s="114" t="str">
        <f>IF(OR(Table10[[#This Row],[Winter Clothes Adult ]]&lt;&gt;0,Table10[[#This Row],[Winter Clothes Children ]]&lt;&gt;0,Table10[[#This Row],[Winter Items Other ]]&lt;&gt;0),"No","")</f>
        <v/>
      </c>
      <c r="N86" s="115">
        <f>COUNTIF(A:A,Table10[[#This Row],[Pcode]])-1</f>
        <v>0</v>
      </c>
    </row>
    <row r="87" spans="1:14" x14ac:dyDescent="0.3">
      <c r="A87" s="102" t="s">
        <v>302</v>
      </c>
      <c r="B87" s="7" t="e">
        <f ca="1">OFFSET(#REF!,MATCH(Table10[[#This Row],[Pcode]],CampList[CP_Pcode],0)-1,0,1,1)</f>
        <v>#REF!</v>
      </c>
      <c r="C87" s="7" t="str">
        <f ca="1">OFFSET(CampList[Camp],MATCH(Table10[[#This Row],[Pcode]],CampList[CP_Pcode],0)-1,0,1,1)</f>
        <v>Lawk Awng Mare D. (Sinbo Area)</v>
      </c>
      <c r="D87" s="7" t="str">
        <f ca="1">OFFSET(CampList[Township],MATCH(Table10[[#This Row],[Pcode]],CampList[CP_Pcode],0)-1,0,1,1)</f>
        <v>Myitkyina</v>
      </c>
      <c r="E87" s="106">
        <f ca="1">OFFSET(CampList[HH],MATCH(Table10[[#This Row],[Pcode]],CampList[CP_Pcode],0)-1,0,1,1)</f>
        <v>375</v>
      </c>
      <c r="F87" s="106">
        <f ca="1">OFFSET(CampList[Total],MATCH(Table10[[#This Row],[Pcode]],CampList[CP_Pcode],0)-1,0,1,1)</f>
        <v>1691</v>
      </c>
      <c r="G87" s="106">
        <f>SUMIF('NFI Distributions'!AW$53:AW$1048576,Table10[[#This Row],[Pcode]],'NFI Distributions'!AL$53:AL$1048576)</f>
        <v>0</v>
      </c>
      <c r="H87" s="106">
        <f>SUMIF('NFI Distributions'!AW$53:AW$1048576,Table10[[#This Row],[Pcode]],'NFI Distributions'!AM$53:AM$1048576)</f>
        <v>0</v>
      </c>
      <c r="I87" s="106">
        <f>SUMIF('NFI Distributions'!AW$53:AW$1048576,Table10[[#This Row],[Pcode]],'NFI Distributions'!AN$53:AN$1048576)</f>
        <v>0</v>
      </c>
      <c r="J87" s="106">
        <f ca="1">MAX(Table10[[#This Row],[HH]]*VLOOKUP("Winter Clothes Adult",NFI,6)-Table10[[#This Row],[Winter Clothes Adult ]],0)</f>
        <v>750</v>
      </c>
      <c r="K87" s="106">
        <f ca="1">MAX(Table10[[#This Row],[HH]]*VLOOKUP("Winter Clothes Children ",NFI,6)-Table10[[#This Row],[Winter Clothes Children ]],0)</f>
        <v>375</v>
      </c>
      <c r="L87" s="106">
        <f ca="1">MAX(Table10[[#This Row],[HH]]*VLOOKUP("Winter Items Other ",NFI,6)-Table10[[#This Row],[Winter Items Other ]],0)</f>
        <v>375</v>
      </c>
      <c r="M87" s="114" t="str">
        <f>IF(OR(Table10[[#This Row],[Winter Clothes Adult ]]&lt;&gt;0,Table10[[#This Row],[Winter Clothes Children ]]&lt;&gt;0,Table10[[#This Row],[Winter Items Other ]]&lt;&gt;0),"No","")</f>
        <v/>
      </c>
      <c r="N87" s="115">
        <f>COUNTIF(A:A,Table10[[#This Row],[Pcode]])-1</f>
        <v>0</v>
      </c>
    </row>
    <row r="88" spans="1:14" x14ac:dyDescent="0.3">
      <c r="A88" s="102" t="s">
        <v>239</v>
      </c>
      <c r="B88" s="7" t="e">
        <f ca="1">OFFSET(#REF!,MATCH(Table10[[#This Row],[Pcode]],CampList[CP_Pcode],0)-1,0,1,1)</f>
        <v>#REF!</v>
      </c>
      <c r="C88" s="7" t="str">
        <f ca="1">OFFSET(CampList[Camp],MATCH(Table10[[#This Row],[Pcode]],CampList[CP_Pcode],0)-1,0,1,1)</f>
        <v>Le Kone Bethlehem Church</v>
      </c>
      <c r="D88" s="7" t="str">
        <f ca="1">OFFSET(CampList[Township],MATCH(Table10[[#This Row],[Pcode]],CampList[CP_Pcode],0)-1,0,1,1)</f>
        <v>Myitkyina</v>
      </c>
      <c r="E88" s="106">
        <f ca="1">OFFSET(CampList[HH],MATCH(Table10[[#This Row],[Pcode]],CampList[CP_Pcode],0)-1,0,1,1)</f>
        <v>152</v>
      </c>
      <c r="F88" s="106">
        <f ca="1">OFFSET(CampList[Total],MATCH(Table10[[#This Row],[Pcode]],CampList[CP_Pcode],0)-1,0,1,1)</f>
        <v>770</v>
      </c>
      <c r="G88" s="106">
        <f>SUMIF('NFI Distributions'!AW$53:AW$1048576,Table10[[#This Row],[Pcode]],'NFI Distributions'!AL$53:AL$1048576)</f>
        <v>0</v>
      </c>
      <c r="H88" s="106">
        <f>SUMIF('NFI Distributions'!AW$53:AW$1048576,Table10[[#This Row],[Pcode]],'NFI Distributions'!AM$53:AM$1048576)</f>
        <v>0</v>
      </c>
      <c r="I88" s="106">
        <f>SUMIF('NFI Distributions'!AW$53:AW$1048576,Table10[[#This Row],[Pcode]],'NFI Distributions'!AN$53:AN$1048576)</f>
        <v>0</v>
      </c>
      <c r="J88" s="106">
        <f ca="1">MAX(Table10[[#This Row],[HH]]*VLOOKUP("Winter Clothes Adult",NFI,6)-Table10[[#This Row],[Winter Clothes Adult ]],0)</f>
        <v>304</v>
      </c>
      <c r="K88" s="106">
        <f ca="1">MAX(Table10[[#This Row],[HH]]*VLOOKUP("Winter Clothes Children ",NFI,6)-Table10[[#This Row],[Winter Clothes Children ]],0)</f>
        <v>152</v>
      </c>
      <c r="L88" s="106">
        <f ca="1">MAX(Table10[[#This Row],[HH]]*VLOOKUP("Winter Items Other ",NFI,6)-Table10[[#This Row],[Winter Items Other ]],0)</f>
        <v>152</v>
      </c>
      <c r="M88" s="114" t="str">
        <f>IF(OR(Table10[[#This Row],[Winter Clothes Adult ]]&lt;&gt;0,Table10[[#This Row],[Winter Clothes Children ]]&lt;&gt;0,Table10[[#This Row],[Winter Items Other ]]&lt;&gt;0),"No","")</f>
        <v/>
      </c>
      <c r="N88" s="115">
        <f>COUNTIF(A:A,Table10[[#This Row],[Pcode]])-1</f>
        <v>0</v>
      </c>
    </row>
    <row r="89" spans="1:14" x14ac:dyDescent="0.3">
      <c r="A89" s="102" t="s">
        <v>283</v>
      </c>
      <c r="B89" s="7" t="e">
        <f ca="1">OFFSET(#REF!,MATCH(Table10[[#This Row],[Pcode]],CampList[CP_Pcode],0)-1,0,1,1)</f>
        <v>#REF!</v>
      </c>
      <c r="C89" s="7" t="str">
        <f ca="1">OFFSET(CampList[Camp],MATCH(Table10[[#This Row],[Pcode]],CampList[CP_Pcode],0)-1,0,1,1)</f>
        <v xml:space="preserve">Le Kone Ziun Baptist Church </v>
      </c>
      <c r="D89" s="7" t="str">
        <f ca="1">OFFSET(CampList[Township],MATCH(Table10[[#This Row],[Pcode]],CampList[CP_Pcode],0)-1,0,1,1)</f>
        <v>Myitkyina</v>
      </c>
      <c r="E89" s="106">
        <f ca="1">OFFSET(CampList[HH],MATCH(Table10[[#This Row],[Pcode]],CampList[CP_Pcode],0)-1,0,1,1)</f>
        <v>138</v>
      </c>
      <c r="F89" s="106">
        <f ca="1">OFFSET(CampList[Total],MATCH(Table10[[#This Row],[Pcode]],CampList[CP_Pcode],0)-1,0,1,1)</f>
        <v>709</v>
      </c>
      <c r="G89" s="106">
        <f>SUMIF('NFI Distributions'!AW$53:AW$1048576,Table10[[#This Row],[Pcode]],'NFI Distributions'!AL$53:AL$1048576)</f>
        <v>0</v>
      </c>
      <c r="H89" s="106">
        <f>SUMIF('NFI Distributions'!AW$53:AW$1048576,Table10[[#This Row],[Pcode]],'NFI Distributions'!AM$53:AM$1048576)</f>
        <v>0</v>
      </c>
      <c r="I89" s="106">
        <f>SUMIF('NFI Distributions'!AW$53:AW$1048576,Table10[[#This Row],[Pcode]],'NFI Distributions'!AN$53:AN$1048576)</f>
        <v>0</v>
      </c>
      <c r="J89" s="106">
        <f ca="1">MAX(Table10[[#This Row],[HH]]*VLOOKUP("Winter Clothes Adult",NFI,6)-Table10[[#This Row],[Winter Clothes Adult ]],0)</f>
        <v>276</v>
      </c>
      <c r="K89" s="106">
        <f ca="1">MAX(Table10[[#This Row],[HH]]*VLOOKUP("Winter Clothes Children ",NFI,6)-Table10[[#This Row],[Winter Clothes Children ]],0)</f>
        <v>138</v>
      </c>
      <c r="L89" s="106">
        <f ca="1">MAX(Table10[[#This Row],[HH]]*VLOOKUP("Winter Items Other ",NFI,6)-Table10[[#This Row],[Winter Items Other ]],0)</f>
        <v>138</v>
      </c>
      <c r="M89" s="114" t="str">
        <f>IF(OR(Table10[[#This Row],[Winter Clothes Adult ]]&lt;&gt;0,Table10[[#This Row],[Winter Clothes Children ]]&lt;&gt;0,Table10[[#This Row],[Winter Items Other ]]&lt;&gt;0),"No","")</f>
        <v/>
      </c>
      <c r="N89" s="115">
        <f>COUNTIF(A:A,Table10[[#This Row],[Pcode]])-1</f>
        <v>0</v>
      </c>
    </row>
    <row r="90" spans="1:14" x14ac:dyDescent="0.3">
      <c r="A90" s="102" t="s">
        <v>89</v>
      </c>
      <c r="B90" s="7" t="e">
        <f ca="1">OFFSET(#REF!,MATCH(Table10[[#This Row],[Pcode]],CampList[CP_Pcode],0)-1,0,1,1)</f>
        <v>#REF!</v>
      </c>
      <c r="C90" s="7" t="str">
        <f ca="1">OFFSET(CampList[Camp],MATCH(Table10[[#This Row],[Pcode]],CampList[CP_Pcode],0)-1,0,1,1)</f>
        <v>Lisu Baptist Church, Maw Shan Vil,. Seik Mu</v>
      </c>
      <c r="D90" s="7" t="str">
        <f ca="1">OFFSET(CampList[Township],MATCH(Table10[[#This Row],[Pcode]],CampList[CP_Pcode],0)-1,0,1,1)</f>
        <v>Hpakant</v>
      </c>
      <c r="E90" s="106">
        <f ca="1">OFFSET(CampList[HH],MATCH(Table10[[#This Row],[Pcode]],CampList[CP_Pcode],0)-1,0,1,1)</f>
        <v>18</v>
      </c>
      <c r="F90" s="106">
        <f ca="1">OFFSET(CampList[Total],MATCH(Table10[[#This Row],[Pcode]],CampList[CP_Pcode],0)-1,0,1,1)</f>
        <v>105</v>
      </c>
      <c r="G90" s="106">
        <f>SUMIF('NFI Distributions'!AW$53:AW$1048576,Table10[[#This Row],[Pcode]],'NFI Distributions'!AL$53:AL$1048576)</f>
        <v>0</v>
      </c>
      <c r="H90" s="106">
        <f>SUMIF('NFI Distributions'!AW$53:AW$1048576,Table10[[#This Row],[Pcode]],'NFI Distributions'!AM$53:AM$1048576)</f>
        <v>0</v>
      </c>
      <c r="I90" s="106">
        <f>SUMIF('NFI Distributions'!AW$53:AW$1048576,Table10[[#This Row],[Pcode]],'NFI Distributions'!AN$53:AN$1048576)</f>
        <v>0</v>
      </c>
      <c r="J90" s="106">
        <f ca="1">MAX(Table10[[#This Row],[HH]]*VLOOKUP("Winter Clothes Adult",NFI,6)-Table10[[#This Row],[Winter Clothes Adult ]],0)</f>
        <v>36</v>
      </c>
      <c r="K90" s="106">
        <f ca="1">MAX(Table10[[#This Row],[HH]]*VLOOKUP("Winter Clothes Children ",NFI,6)-Table10[[#This Row],[Winter Clothes Children ]],0)</f>
        <v>18</v>
      </c>
      <c r="L90" s="106">
        <f ca="1">MAX(Table10[[#This Row],[HH]]*VLOOKUP("Winter Items Other ",NFI,6)-Table10[[#This Row],[Winter Items Other ]],0)</f>
        <v>18</v>
      </c>
      <c r="M90" s="114" t="str">
        <f>IF(OR(Table10[[#This Row],[Winter Clothes Adult ]]&lt;&gt;0,Table10[[#This Row],[Winter Clothes Children ]]&lt;&gt;0,Table10[[#This Row],[Winter Items Other ]]&lt;&gt;0),"No","")</f>
        <v/>
      </c>
      <c r="N90" s="115">
        <f>COUNTIF(A:A,Table10[[#This Row],[Pcode]])-1</f>
        <v>0</v>
      </c>
    </row>
    <row r="91" spans="1:14" x14ac:dyDescent="0.3">
      <c r="A91" s="102" t="s">
        <v>91</v>
      </c>
      <c r="B91" s="7" t="e">
        <f ca="1">OFFSET(#REF!,MATCH(Table10[[#This Row],[Pcode]],CampList[CP_Pcode],0)-1,0,1,1)</f>
        <v>#REF!</v>
      </c>
      <c r="C91" s="7" t="str">
        <f ca="1">OFFSET(CampList[Camp],MATCH(Table10[[#This Row],[Pcode]],CampList[CP_Pcode],0)-1,0,1,1)</f>
        <v>Lisu Baptist Church, Maw Wan Ward</v>
      </c>
      <c r="D91" s="7" t="str">
        <f ca="1">OFFSET(CampList[Township],MATCH(Table10[[#This Row],[Pcode]],CampList[CP_Pcode],0)-1,0,1,1)</f>
        <v>Hpakant</v>
      </c>
      <c r="E91" s="106">
        <f ca="1">OFFSET(CampList[HH],MATCH(Table10[[#This Row],[Pcode]],CampList[CP_Pcode],0)-1,0,1,1)</f>
        <v>12</v>
      </c>
      <c r="F91" s="106">
        <f ca="1">OFFSET(CampList[Total],MATCH(Table10[[#This Row],[Pcode]],CampList[CP_Pcode],0)-1,0,1,1)</f>
        <v>60</v>
      </c>
      <c r="G91" s="106">
        <f>SUMIF('NFI Distributions'!AW$53:AW$1048576,Table10[[#This Row],[Pcode]],'NFI Distributions'!AL$53:AL$1048576)</f>
        <v>0</v>
      </c>
      <c r="H91" s="106">
        <f>SUMIF('NFI Distributions'!AW$53:AW$1048576,Table10[[#This Row],[Pcode]],'NFI Distributions'!AM$53:AM$1048576)</f>
        <v>0</v>
      </c>
      <c r="I91" s="106">
        <f>SUMIF('NFI Distributions'!AW$53:AW$1048576,Table10[[#This Row],[Pcode]],'NFI Distributions'!AN$53:AN$1048576)</f>
        <v>0</v>
      </c>
      <c r="J91" s="106">
        <f ca="1">MAX(Table10[[#This Row],[HH]]*VLOOKUP("Winter Clothes Adult",NFI,6)-Table10[[#This Row],[Winter Clothes Adult ]],0)</f>
        <v>24</v>
      </c>
      <c r="K91" s="106">
        <f ca="1">MAX(Table10[[#This Row],[HH]]*VLOOKUP("Winter Clothes Children ",NFI,6)-Table10[[#This Row],[Winter Clothes Children ]],0)</f>
        <v>12</v>
      </c>
      <c r="L91" s="106">
        <f ca="1">MAX(Table10[[#This Row],[HH]]*VLOOKUP("Winter Items Other ",NFI,6)-Table10[[#This Row],[Winter Items Other ]],0)</f>
        <v>12</v>
      </c>
      <c r="M91" s="114" t="str">
        <f>IF(OR(Table10[[#This Row],[Winter Clothes Adult ]]&lt;&gt;0,Table10[[#This Row],[Winter Clothes Children ]]&lt;&gt;0,Table10[[#This Row],[Winter Items Other ]]&lt;&gt;0),"No","")</f>
        <v/>
      </c>
      <c r="N91" s="115">
        <f>COUNTIF(A:A,Table10[[#This Row],[Pcode]])-1</f>
        <v>0</v>
      </c>
    </row>
    <row r="92" spans="1:14" x14ac:dyDescent="0.3">
      <c r="A92" s="102" t="s">
        <v>17</v>
      </c>
      <c r="B92" s="7" t="e">
        <f ca="1">OFFSET(#REF!,MATCH(Table10[[#This Row],[Pcode]],CampList[CP_Pcode],0)-1,0,1,1)</f>
        <v>#REF!</v>
      </c>
      <c r="C92" s="7" t="str">
        <f ca="1">OFFSET(CampList[Camp],MATCH(Table10[[#This Row],[Pcode]],CampList[CP_Pcode],0)-1,0,1,1)</f>
        <v>Lisu Boarding-House</v>
      </c>
      <c r="D92" s="7" t="str">
        <f ca="1">OFFSET(CampList[Township],MATCH(Table10[[#This Row],[Pcode]],CampList[CP_Pcode],0)-1,0,1,1)</f>
        <v>Bhamo</v>
      </c>
      <c r="E92" s="106">
        <f ca="1">OFFSET(CampList[HH],MATCH(Table10[[#This Row],[Pcode]],CampList[CP_Pcode],0)-1,0,1,1)</f>
        <v>139</v>
      </c>
      <c r="F92" s="106">
        <f ca="1">OFFSET(CampList[Total],MATCH(Table10[[#This Row],[Pcode]],CampList[CP_Pcode],0)-1,0,1,1)</f>
        <v>777</v>
      </c>
      <c r="G92" s="106">
        <f>SUMIF('NFI Distributions'!AW$53:AW$1048576,Table10[[#This Row],[Pcode]],'NFI Distributions'!AL$53:AL$1048576)</f>
        <v>0</v>
      </c>
      <c r="H92" s="106">
        <f>SUMIF('NFI Distributions'!AW$53:AW$1048576,Table10[[#This Row],[Pcode]],'NFI Distributions'!AM$53:AM$1048576)</f>
        <v>0</v>
      </c>
      <c r="I92" s="106">
        <f>SUMIF('NFI Distributions'!AW$53:AW$1048576,Table10[[#This Row],[Pcode]],'NFI Distributions'!AN$53:AN$1048576)</f>
        <v>0</v>
      </c>
      <c r="J92" s="106">
        <f ca="1">MAX(Table10[[#This Row],[HH]]*VLOOKUP("Winter Clothes Adult",NFI,6)-Table10[[#This Row],[Winter Clothes Adult ]],0)</f>
        <v>278</v>
      </c>
      <c r="K92" s="106">
        <f ca="1">MAX(Table10[[#This Row],[HH]]*VLOOKUP("Winter Clothes Children ",NFI,6)-Table10[[#This Row],[Winter Clothes Children ]],0)</f>
        <v>139</v>
      </c>
      <c r="L92" s="106">
        <f ca="1">MAX(Table10[[#This Row],[HH]]*VLOOKUP("Winter Items Other ",NFI,6)-Table10[[#This Row],[Winter Items Other ]],0)</f>
        <v>139</v>
      </c>
      <c r="M92" s="114" t="str">
        <f>IF(OR(Table10[[#This Row],[Winter Clothes Adult ]]&lt;&gt;0,Table10[[#This Row],[Winter Clothes Children ]]&lt;&gt;0,Table10[[#This Row],[Winter Items Other ]]&lt;&gt;0),"No","")</f>
        <v/>
      </c>
      <c r="N92" s="115">
        <f>COUNTIF(A:A,Table10[[#This Row],[Pcode]])-1</f>
        <v>0</v>
      </c>
    </row>
    <row r="93" spans="1:14" x14ac:dyDescent="0.3">
      <c r="A93" s="102" t="s">
        <v>318</v>
      </c>
      <c r="B93" s="7" t="e">
        <f ca="1">OFFSET(#REF!,MATCH(Table10[[#This Row],[Pcode]],CampList[CP_Pcode],0)-1,0,1,1)</f>
        <v>#REF!</v>
      </c>
      <c r="C93" s="7" t="str">
        <f ca="1">OFFSET(CampList[Camp],MATCH(Table10[[#This Row],[Pcode]],CampList[CP_Pcode],0)-1,0,1,1)</f>
        <v>Mading Baptist Church</v>
      </c>
      <c r="D93" s="7" t="str">
        <f ca="1">OFFSET(CampList[Township],MATCH(Table10[[#This Row],[Pcode]],CampList[CP_Pcode],0)-1,0,1,1)</f>
        <v>Waingmaw</v>
      </c>
      <c r="E93" s="106">
        <f ca="1">OFFSET(CampList[HH],MATCH(Table10[[#This Row],[Pcode]],CampList[CP_Pcode],0)-1,0,1,1)</f>
        <v>32</v>
      </c>
      <c r="F93" s="106">
        <f ca="1">OFFSET(CampList[Total],MATCH(Table10[[#This Row],[Pcode]],CampList[CP_Pcode],0)-1,0,1,1)</f>
        <v>196</v>
      </c>
      <c r="G93" s="106">
        <f>SUMIF('NFI Distributions'!AW$53:AW$1048576,Table10[[#This Row],[Pcode]],'NFI Distributions'!AL$53:AL$1048576)</f>
        <v>0</v>
      </c>
      <c r="H93" s="106">
        <f>SUMIF('NFI Distributions'!AW$53:AW$1048576,Table10[[#This Row],[Pcode]],'NFI Distributions'!AM$53:AM$1048576)</f>
        <v>0</v>
      </c>
      <c r="I93" s="106">
        <f>SUMIF('NFI Distributions'!AW$53:AW$1048576,Table10[[#This Row],[Pcode]],'NFI Distributions'!AN$53:AN$1048576)</f>
        <v>0</v>
      </c>
      <c r="J93" s="106">
        <f ca="1">MAX(Table10[[#This Row],[HH]]*VLOOKUP("Winter Clothes Adult",NFI,6)-Table10[[#This Row],[Winter Clothes Adult ]],0)</f>
        <v>64</v>
      </c>
      <c r="K93" s="106">
        <f ca="1">MAX(Table10[[#This Row],[HH]]*VLOOKUP("Winter Clothes Children ",NFI,6)-Table10[[#This Row],[Winter Clothes Children ]],0)</f>
        <v>32</v>
      </c>
      <c r="L93" s="106">
        <f ca="1">MAX(Table10[[#This Row],[HH]]*VLOOKUP("Winter Items Other ",NFI,6)-Table10[[#This Row],[Winter Items Other ]],0)</f>
        <v>32</v>
      </c>
      <c r="M93" s="114" t="str">
        <f>IF(OR(Table10[[#This Row],[Winter Clothes Adult ]]&lt;&gt;0,Table10[[#This Row],[Winter Clothes Children ]]&lt;&gt;0,Table10[[#This Row],[Winter Items Other ]]&lt;&gt;0),"No","")</f>
        <v/>
      </c>
      <c r="N93" s="115">
        <f>COUNTIF(A:A,Table10[[#This Row],[Pcode]])-1</f>
        <v>0</v>
      </c>
    </row>
    <row r="94" spans="1:14" x14ac:dyDescent="0.3">
      <c r="A94" s="102" t="s">
        <v>199</v>
      </c>
      <c r="B94" s="7" t="e">
        <f ca="1">OFFSET(#REF!,MATCH(Table10[[#This Row],[Pcode]],CampList[CP_Pcode],0)-1,0,1,1)</f>
        <v>#REF!</v>
      </c>
      <c r="C94" s="7" t="str">
        <f ca="1">OFFSET(CampList[Camp],MATCH(Table10[[#This Row],[Pcode]],CampList[CP_Pcode],0)-1,0,1,1)</f>
        <v xml:space="preserve">Mai Khat </v>
      </c>
      <c r="D94" s="7" t="str">
        <f ca="1">OFFSET(CampList[Township],MATCH(Table10[[#This Row],[Pcode]],CampList[CP_Pcode],0)-1,0,1,1)</f>
        <v>Momauk</v>
      </c>
      <c r="E94" s="106">
        <f ca="1">OFFSET(CampList[HH],MATCH(Table10[[#This Row],[Pcode]],CampList[CP_Pcode],0)-1,0,1,1)</f>
        <v>0</v>
      </c>
      <c r="F94" s="106">
        <f ca="1">OFFSET(CampList[Total],MATCH(Table10[[#This Row],[Pcode]],CampList[CP_Pcode],0)-1,0,1,1)</f>
        <v>0</v>
      </c>
      <c r="G94" s="106">
        <f>SUMIF('NFI Distributions'!AW$53:AW$1048576,Table10[[#This Row],[Pcode]],'NFI Distributions'!AL$53:AL$1048576)</f>
        <v>0</v>
      </c>
      <c r="H94" s="106">
        <f>SUMIF('NFI Distributions'!AW$53:AW$1048576,Table10[[#This Row],[Pcode]],'NFI Distributions'!AM$53:AM$1048576)</f>
        <v>0</v>
      </c>
      <c r="I94" s="106">
        <f>SUMIF('NFI Distributions'!AW$53:AW$1048576,Table10[[#This Row],[Pcode]],'NFI Distributions'!AN$53:AN$1048576)</f>
        <v>0</v>
      </c>
      <c r="J94" s="106">
        <f ca="1">MAX(Table10[[#This Row],[HH]]*VLOOKUP("Winter Clothes Adult",NFI,6)-Table10[[#This Row],[Winter Clothes Adult ]],0)</f>
        <v>0</v>
      </c>
      <c r="K94" s="106">
        <f ca="1">MAX(Table10[[#This Row],[HH]]*VLOOKUP("Winter Clothes Children ",NFI,6)-Table10[[#This Row],[Winter Clothes Children ]],0)</f>
        <v>0</v>
      </c>
      <c r="L94" s="106">
        <f ca="1">MAX(Table10[[#This Row],[HH]]*VLOOKUP("Winter Items Other ",NFI,6)-Table10[[#This Row],[Winter Items Other ]],0)</f>
        <v>0</v>
      </c>
      <c r="M94" s="114" t="str">
        <f>IF(OR(Table10[[#This Row],[Winter Clothes Adult ]]&lt;&gt;0,Table10[[#This Row],[Winter Clothes Children ]]&lt;&gt;0,Table10[[#This Row],[Winter Items Other ]]&lt;&gt;0),"No","")</f>
        <v/>
      </c>
      <c r="N94" s="115">
        <f>COUNTIF(A:A,Table10[[#This Row],[Pcode]])-1</f>
        <v>0</v>
      </c>
    </row>
    <row r="95" spans="1:14" x14ac:dyDescent="0.3">
      <c r="A95" s="102" t="s">
        <v>326</v>
      </c>
      <c r="B95" s="7" t="e">
        <f ca="1">OFFSET(#REF!,MATCH(Table10[[#This Row],[Pcode]],CampList[CP_Pcode],0)-1,0,1,1)</f>
        <v>#REF!</v>
      </c>
      <c r="C95" s="7" t="str">
        <f ca="1">OFFSET(CampList[Camp],MATCH(Table10[[#This Row],[Pcode]],CampList[CP_Pcode],0)-1,0,1,1)</f>
        <v>Maina AG Church</v>
      </c>
      <c r="D95" s="7" t="str">
        <f ca="1">OFFSET(CampList[Township],MATCH(Table10[[#This Row],[Pcode]],CampList[CP_Pcode],0)-1,0,1,1)</f>
        <v>Waingmaw</v>
      </c>
      <c r="E95" s="106">
        <f ca="1">OFFSET(CampList[HH],MATCH(Table10[[#This Row],[Pcode]],CampList[CP_Pcode],0)-1,0,1,1)</f>
        <v>346</v>
      </c>
      <c r="F95" s="106">
        <f ca="1">OFFSET(CampList[Total],MATCH(Table10[[#This Row],[Pcode]],CampList[CP_Pcode],0)-1,0,1,1)</f>
        <v>2059</v>
      </c>
      <c r="G95" s="106">
        <f>SUMIF('NFI Distributions'!AW$53:AW$1048576,Table10[[#This Row],[Pcode]],'NFI Distributions'!AL$53:AL$1048576)</f>
        <v>0</v>
      </c>
      <c r="H95" s="106">
        <f>SUMIF('NFI Distributions'!AW$53:AW$1048576,Table10[[#This Row],[Pcode]],'NFI Distributions'!AM$53:AM$1048576)</f>
        <v>0</v>
      </c>
      <c r="I95" s="106">
        <f>SUMIF('NFI Distributions'!AW$53:AW$1048576,Table10[[#This Row],[Pcode]],'NFI Distributions'!AN$53:AN$1048576)</f>
        <v>0</v>
      </c>
      <c r="J95" s="106">
        <f ca="1">MAX(Table10[[#This Row],[HH]]*VLOOKUP("Winter Clothes Adult",NFI,6)-Table10[[#This Row],[Winter Clothes Adult ]],0)</f>
        <v>692</v>
      </c>
      <c r="K95" s="106">
        <f ca="1">MAX(Table10[[#This Row],[HH]]*VLOOKUP("Winter Clothes Children ",NFI,6)-Table10[[#This Row],[Winter Clothes Children ]],0)</f>
        <v>346</v>
      </c>
      <c r="L95" s="106">
        <f ca="1">MAX(Table10[[#This Row],[HH]]*VLOOKUP("Winter Items Other ",NFI,6)-Table10[[#This Row],[Winter Items Other ]],0)</f>
        <v>346</v>
      </c>
      <c r="M95" s="114" t="str">
        <f>IF(OR(Table10[[#This Row],[Winter Clothes Adult ]]&lt;&gt;0,Table10[[#This Row],[Winter Clothes Children ]]&lt;&gt;0,Table10[[#This Row],[Winter Items Other ]]&lt;&gt;0),"No","")</f>
        <v/>
      </c>
      <c r="N95" s="115">
        <f>COUNTIF(A:A,Table10[[#This Row],[Pcode]])-1</f>
        <v>0</v>
      </c>
    </row>
    <row r="96" spans="1:14" x14ac:dyDescent="0.3">
      <c r="A96" s="102" t="s">
        <v>328</v>
      </c>
      <c r="B96" s="7" t="e">
        <f ca="1">OFFSET(#REF!,MATCH(Table10[[#This Row],[Pcode]],CampList[CP_Pcode],0)-1,0,1,1)</f>
        <v>#REF!</v>
      </c>
      <c r="C96" s="7" t="str">
        <f ca="1">OFFSET(CampList[Camp],MATCH(Table10[[#This Row],[Pcode]],CampList[CP_Pcode],0)-1,0,1,1)</f>
        <v>Maina Catholic Church (St. Joseph)</v>
      </c>
      <c r="D96" s="7" t="str">
        <f ca="1">OFFSET(CampList[Township],MATCH(Table10[[#This Row],[Pcode]],CampList[CP_Pcode],0)-1,0,1,1)</f>
        <v>Waingmaw</v>
      </c>
      <c r="E96" s="106">
        <f ca="1">OFFSET(CampList[HH],MATCH(Table10[[#This Row],[Pcode]],CampList[CP_Pcode],0)-1,0,1,1)</f>
        <v>327</v>
      </c>
      <c r="F96" s="106">
        <f ca="1">OFFSET(CampList[Total],MATCH(Table10[[#This Row],[Pcode]],CampList[CP_Pcode],0)-1,0,1,1)</f>
        <v>1785</v>
      </c>
      <c r="G96" s="106">
        <f>SUMIF('NFI Distributions'!AW$53:AW$1048576,Table10[[#This Row],[Pcode]],'NFI Distributions'!AL$53:AL$1048576)</f>
        <v>0</v>
      </c>
      <c r="H96" s="106">
        <f>SUMIF('NFI Distributions'!AW$53:AW$1048576,Table10[[#This Row],[Pcode]],'NFI Distributions'!AM$53:AM$1048576)</f>
        <v>0</v>
      </c>
      <c r="I96" s="106">
        <f>SUMIF('NFI Distributions'!AW$53:AW$1048576,Table10[[#This Row],[Pcode]],'NFI Distributions'!AN$53:AN$1048576)</f>
        <v>0</v>
      </c>
      <c r="J96" s="106">
        <f ca="1">MAX(Table10[[#This Row],[HH]]*VLOOKUP("Winter Clothes Adult",NFI,6)-Table10[[#This Row],[Winter Clothes Adult ]],0)</f>
        <v>654</v>
      </c>
      <c r="K96" s="106">
        <f ca="1">MAX(Table10[[#This Row],[HH]]*VLOOKUP("Winter Clothes Children ",NFI,6)-Table10[[#This Row],[Winter Clothes Children ]],0)</f>
        <v>327</v>
      </c>
      <c r="L96" s="106">
        <f ca="1">MAX(Table10[[#This Row],[HH]]*VLOOKUP("Winter Items Other ",NFI,6)-Table10[[#This Row],[Winter Items Other ]],0)</f>
        <v>327</v>
      </c>
      <c r="M96" s="114" t="str">
        <f>IF(OR(Table10[[#This Row],[Winter Clothes Adult ]]&lt;&gt;0,Table10[[#This Row],[Winter Clothes Children ]]&lt;&gt;0,Table10[[#This Row],[Winter Items Other ]]&lt;&gt;0),"No","")</f>
        <v/>
      </c>
      <c r="N96" s="115">
        <f>COUNTIF(A:A,Table10[[#This Row],[Pcode]])-1</f>
        <v>0</v>
      </c>
    </row>
    <row r="97" spans="1:14" x14ac:dyDescent="0.3">
      <c r="A97" s="102" t="s">
        <v>322</v>
      </c>
      <c r="B97" s="7" t="e">
        <f ca="1">OFFSET(#REF!,MATCH(Table10[[#This Row],[Pcode]],CampList[CP_Pcode],0)-1,0,1,1)</f>
        <v>#REF!</v>
      </c>
      <c r="C97" s="7" t="str">
        <f ca="1">OFFSET(CampList[Camp],MATCH(Table10[[#This Row],[Pcode]],CampList[CP_Pcode],0)-1,0,1,1)</f>
        <v>Maina KBC (Bawng Ring)</v>
      </c>
      <c r="D97" s="7" t="str">
        <f ca="1">OFFSET(CampList[Township],MATCH(Table10[[#This Row],[Pcode]],CampList[CP_Pcode],0)-1,0,1,1)</f>
        <v>Waingmaw</v>
      </c>
      <c r="E97" s="106">
        <f ca="1">OFFSET(CampList[HH],MATCH(Table10[[#This Row],[Pcode]],CampList[CP_Pcode],0)-1,0,1,1)</f>
        <v>515</v>
      </c>
      <c r="F97" s="106">
        <f ca="1">OFFSET(CampList[Total],MATCH(Table10[[#This Row],[Pcode]],CampList[CP_Pcode],0)-1,0,1,1)</f>
        <v>2775</v>
      </c>
      <c r="G97" s="106">
        <f>SUMIF('NFI Distributions'!AW$53:AW$1048576,Table10[[#This Row],[Pcode]],'NFI Distributions'!AL$53:AL$1048576)</f>
        <v>0</v>
      </c>
      <c r="H97" s="106">
        <f>SUMIF('NFI Distributions'!AW$53:AW$1048576,Table10[[#This Row],[Pcode]],'NFI Distributions'!AM$53:AM$1048576)</f>
        <v>0</v>
      </c>
      <c r="I97" s="106">
        <f>SUMIF('NFI Distributions'!AW$53:AW$1048576,Table10[[#This Row],[Pcode]],'NFI Distributions'!AN$53:AN$1048576)</f>
        <v>0</v>
      </c>
      <c r="J97" s="106">
        <f ca="1">MAX(Table10[[#This Row],[HH]]*VLOOKUP("Winter Clothes Adult",NFI,6)-Table10[[#This Row],[Winter Clothes Adult ]],0)</f>
        <v>1030</v>
      </c>
      <c r="K97" s="106">
        <f ca="1">MAX(Table10[[#This Row],[HH]]*VLOOKUP("Winter Clothes Children ",NFI,6)-Table10[[#This Row],[Winter Clothes Children ]],0)</f>
        <v>515</v>
      </c>
      <c r="L97" s="106">
        <f ca="1">MAX(Table10[[#This Row],[HH]]*VLOOKUP("Winter Items Other ",NFI,6)-Table10[[#This Row],[Winter Items Other ]],0)</f>
        <v>515</v>
      </c>
      <c r="M97" s="114" t="str">
        <f>IF(OR(Table10[[#This Row],[Winter Clothes Adult ]]&lt;&gt;0,Table10[[#This Row],[Winter Clothes Children ]]&lt;&gt;0,Table10[[#This Row],[Winter Items Other ]]&lt;&gt;0),"No","")</f>
        <v/>
      </c>
      <c r="N97" s="115">
        <f>COUNTIF(A:A,Table10[[#This Row],[Pcode]])-1</f>
        <v>0</v>
      </c>
    </row>
    <row r="98" spans="1:14" x14ac:dyDescent="0.3">
      <c r="A98" s="102" t="s">
        <v>324</v>
      </c>
      <c r="B98" s="7" t="e">
        <f ca="1">OFFSET(#REF!,MATCH(Table10[[#This Row],[Pcode]],CampList[CP_Pcode],0)-1,0,1,1)</f>
        <v>#REF!</v>
      </c>
      <c r="C98" s="7" t="str">
        <f ca="1">OFFSET(CampList[Camp],MATCH(Table10[[#This Row],[Pcode]],CampList[CP_Pcode],0)-1,0,1,1)</f>
        <v>Maina Lawang Baptist Church</v>
      </c>
      <c r="D98" s="7" t="str">
        <f ca="1">OFFSET(CampList[Township],MATCH(Table10[[#This Row],[Pcode]],CampList[CP_Pcode],0)-1,0,1,1)</f>
        <v>Waingmaw</v>
      </c>
      <c r="E98" s="106">
        <f ca="1">OFFSET(CampList[HH],MATCH(Table10[[#This Row],[Pcode]],CampList[CP_Pcode],0)-1,0,1,1)</f>
        <v>55</v>
      </c>
      <c r="F98" s="106">
        <f ca="1">OFFSET(CampList[Total],MATCH(Table10[[#This Row],[Pcode]],CampList[CP_Pcode],0)-1,0,1,1)</f>
        <v>250</v>
      </c>
      <c r="G98" s="106">
        <f>SUMIF('NFI Distributions'!AW$53:AW$1048576,Table10[[#This Row],[Pcode]],'NFI Distributions'!AL$53:AL$1048576)</f>
        <v>0</v>
      </c>
      <c r="H98" s="106">
        <f>SUMIF('NFI Distributions'!AW$53:AW$1048576,Table10[[#This Row],[Pcode]],'NFI Distributions'!AM$53:AM$1048576)</f>
        <v>0</v>
      </c>
      <c r="I98" s="106">
        <f>SUMIF('NFI Distributions'!AW$53:AW$1048576,Table10[[#This Row],[Pcode]],'NFI Distributions'!AN$53:AN$1048576)</f>
        <v>0</v>
      </c>
      <c r="J98" s="106">
        <f ca="1">MAX(Table10[[#This Row],[HH]]*VLOOKUP("Winter Clothes Adult",NFI,6)-Table10[[#This Row],[Winter Clothes Adult ]],0)</f>
        <v>110</v>
      </c>
      <c r="K98" s="106">
        <f ca="1">MAX(Table10[[#This Row],[HH]]*VLOOKUP("Winter Clothes Children ",NFI,6)-Table10[[#This Row],[Winter Clothes Children ]],0)</f>
        <v>55</v>
      </c>
      <c r="L98" s="106">
        <f ca="1">MAX(Table10[[#This Row],[HH]]*VLOOKUP("Winter Items Other ",NFI,6)-Table10[[#This Row],[Winter Items Other ]],0)</f>
        <v>55</v>
      </c>
      <c r="M98" s="114" t="str">
        <f>IF(OR(Table10[[#This Row],[Winter Clothes Adult ]]&lt;&gt;0,Table10[[#This Row],[Winter Clothes Children ]]&lt;&gt;0,Table10[[#This Row],[Winter Items Other ]]&lt;&gt;0),"No","")</f>
        <v/>
      </c>
      <c r="N98" s="115">
        <f>COUNTIF(A:A,Table10[[#This Row],[Pcode]])-1</f>
        <v>0</v>
      </c>
    </row>
    <row r="99" spans="1:14" x14ac:dyDescent="0.3">
      <c r="A99" s="102" t="s">
        <v>812</v>
      </c>
      <c r="B99" s="7" t="e">
        <f ca="1">OFFSET(#REF!,MATCH(Table10[[#This Row],[Pcode]],CampList[CP_Pcode],0)-1,0,1,1)</f>
        <v>#REF!</v>
      </c>
      <c r="C99" s="7" t="str">
        <f ca="1">OFFSET(CampList[Camp],MATCH(Table10[[#This Row],[Pcode]],CampList[CP_Pcode],0)-1,0,1,1)</f>
        <v>Maing Khaung</v>
      </c>
      <c r="D99" s="7" t="str">
        <f ca="1">OFFSET(CampList[Township],MATCH(Table10[[#This Row],[Pcode]],CampList[CP_Pcode],0)-1,0,1,1)</f>
        <v>Mansi</v>
      </c>
      <c r="E99" s="106">
        <f ca="1">OFFSET(CampList[HH],MATCH(Table10[[#This Row],[Pcode]],CampList[CP_Pcode],0)-1,0,1,1)</f>
        <v>432</v>
      </c>
      <c r="F99" s="106">
        <f ca="1">OFFSET(CampList[Total],MATCH(Table10[[#This Row],[Pcode]],CampList[CP_Pcode],0)-1,0,1,1)</f>
        <v>2528</v>
      </c>
      <c r="G99" s="106">
        <f>SUMIF('NFI Distributions'!AW$53:AW$1048576,Table10[[#This Row],[Pcode]],'NFI Distributions'!AL$53:AL$1048576)</f>
        <v>0</v>
      </c>
      <c r="H99" s="106">
        <f>SUMIF('NFI Distributions'!AW$53:AW$1048576,Table10[[#This Row],[Pcode]],'NFI Distributions'!AM$53:AM$1048576)</f>
        <v>0</v>
      </c>
      <c r="I99" s="106">
        <f>SUMIF('NFI Distributions'!AW$53:AW$1048576,Table10[[#This Row],[Pcode]],'NFI Distributions'!AN$53:AN$1048576)</f>
        <v>0</v>
      </c>
      <c r="J99" s="106">
        <f ca="1">MAX(Table10[[#This Row],[HH]]*VLOOKUP("Winter Clothes Adult",NFI,6)-Table10[[#This Row],[Winter Clothes Adult ]],0)</f>
        <v>864</v>
      </c>
      <c r="K99" s="106">
        <f ca="1">MAX(Table10[[#This Row],[HH]]*VLOOKUP("Winter Clothes Children ",NFI,6)-Table10[[#This Row],[Winter Clothes Children ]],0)</f>
        <v>432</v>
      </c>
      <c r="L99" s="106">
        <f ca="1">MAX(Table10[[#This Row],[HH]]*VLOOKUP("Winter Items Other ",NFI,6)-Table10[[#This Row],[Winter Items Other ]],0)</f>
        <v>432</v>
      </c>
      <c r="M99" s="114" t="str">
        <f>IF(OR(Table10[[#This Row],[Winter Clothes Adult ]]&lt;&gt;0,Table10[[#This Row],[Winter Clothes Children ]]&lt;&gt;0,Table10[[#This Row],[Winter Items Other ]]&lt;&gt;0),"No","")</f>
        <v/>
      </c>
      <c r="N99" s="115">
        <f>COUNTIF(A:A,Table10[[#This Row],[Pcode]])-1</f>
        <v>0</v>
      </c>
    </row>
    <row r="100" spans="1:14" x14ac:dyDescent="0.3">
      <c r="A100" s="102" t="s">
        <v>844</v>
      </c>
      <c r="B100" s="7" t="e">
        <f ca="1">OFFSET(#REF!,MATCH(Table10[[#This Row],[Pcode]],CampList[CP_Pcode],0)-1,0,1,1)</f>
        <v>#REF!</v>
      </c>
      <c r="C100" s="7" t="str">
        <f ca="1">OFFSET(CampList[Camp],MATCH(Table10[[#This Row],[Pcode]],CampList[CP_Pcode],0)-1,0,1,1)</f>
        <v>Maing Khaung Catholic Church</v>
      </c>
      <c r="D100" s="7" t="str">
        <f ca="1">OFFSET(CampList[Township],MATCH(Table10[[#This Row],[Pcode]],CampList[CP_Pcode],0)-1,0,1,1)</f>
        <v>Mansi</v>
      </c>
      <c r="E100" s="106">
        <f ca="1">OFFSET(CampList[HH],MATCH(Table10[[#This Row],[Pcode]],CampList[CP_Pcode],0)-1,0,1,1)</f>
        <v>156</v>
      </c>
      <c r="F100" s="106">
        <f ca="1">OFFSET(CampList[Total],MATCH(Table10[[#This Row],[Pcode]],CampList[CP_Pcode],0)-1,0,1,1)</f>
        <v>694</v>
      </c>
      <c r="G100" s="106">
        <f>SUMIF('NFI Distributions'!AW$53:AW$1048576,Table10[[#This Row],[Pcode]],'NFI Distributions'!AL$53:AL$1048576)</f>
        <v>0</v>
      </c>
      <c r="H100" s="106">
        <f>SUMIF('NFI Distributions'!AW$53:AW$1048576,Table10[[#This Row],[Pcode]],'NFI Distributions'!AM$53:AM$1048576)</f>
        <v>0</v>
      </c>
      <c r="I100" s="106">
        <f>SUMIF('NFI Distributions'!AW$53:AW$1048576,Table10[[#This Row],[Pcode]],'NFI Distributions'!AN$53:AN$1048576)</f>
        <v>0</v>
      </c>
      <c r="J100" s="106">
        <f ca="1">MAX(Table10[[#This Row],[HH]]*VLOOKUP("Winter Clothes Adult",NFI,6)-Table10[[#This Row],[Winter Clothes Adult ]],0)</f>
        <v>312</v>
      </c>
      <c r="K100" s="106">
        <f ca="1">MAX(Table10[[#This Row],[HH]]*VLOOKUP("Winter Clothes Children ",NFI,6)-Table10[[#This Row],[Winter Clothes Children ]],0)</f>
        <v>156</v>
      </c>
      <c r="L100" s="106">
        <f ca="1">MAX(Table10[[#This Row],[HH]]*VLOOKUP("Winter Items Other ",NFI,6)-Table10[[#This Row],[Winter Items Other ]],0)</f>
        <v>156</v>
      </c>
      <c r="M100" s="114" t="str">
        <f>IF(OR(Table10[[#This Row],[Winter Clothes Adult ]]&lt;&gt;0,Table10[[#This Row],[Winter Clothes Children ]]&lt;&gt;0,Table10[[#This Row],[Winter Items Other ]]&lt;&gt;0),"No","")</f>
        <v/>
      </c>
      <c r="N100" s="115">
        <f>COUNTIF(A:A,Table10[[#This Row],[Pcode]])-1</f>
        <v>0</v>
      </c>
    </row>
    <row r="101" spans="1:14" x14ac:dyDescent="0.3">
      <c r="A101" s="102" t="s">
        <v>257</v>
      </c>
      <c r="B101" s="7" t="e">
        <f ca="1">OFFSET(#REF!,MATCH(Table10[[#This Row],[Pcode]],CampList[CP_Pcode],0)-1,0,1,1)</f>
        <v>#REF!</v>
      </c>
      <c r="C101" s="7" t="str">
        <f ca="1">OFFSET(CampList[Camp],MATCH(Table10[[#This Row],[Pcode]],CampList[CP_Pcode],0)-1,0,1,1)</f>
        <v>Maliyang Baptist Church</v>
      </c>
      <c r="D101" s="7" t="str">
        <f ca="1">OFFSET(CampList[Township],MATCH(Table10[[#This Row],[Pcode]],CampList[CP_Pcode],0)-1,0,1,1)</f>
        <v>Myitkyina</v>
      </c>
      <c r="E101" s="106">
        <f ca="1">OFFSET(CampList[HH],MATCH(Table10[[#This Row],[Pcode]],CampList[CP_Pcode],0)-1,0,1,1)</f>
        <v>61</v>
      </c>
      <c r="F101" s="106">
        <f ca="1">OFFSET(CampList[Total],MATCH(Table10[[#This Row],[Pcode]],CampList[CP_Pcode],0)-1,0,1,1)</f>
        <v>312</v>
      </c>
      <c r="G101" s="106">
        <f>SUMIF('NFI Distributions'!AW$53:AW$1048576,Table10[[#This Row],[Pcode]],'NFI Distributions'!AL$53:AL$1048576)</f>
        <v>0</v>
      </c>
      <c r="H101" s="106">
        <f>SUMIF('NFI Distributions'!AW$53:AW$1048576,Table10[[#This Row],[Pcode]],'NFI Distributions'!AM$53:AM$1048576)</f>
        <v>0</v>
      </c>
      <c r="I101" s="106">
        <f>SUMIF('NFI Distributions'!AW$53:AW$1048576,Table10[[#This Row],[Pcode]],'NFI Distributions'!AN$53:AN$1048576)</f>
        <v>0</v>
      </c>
      <c r="J101" s="106">
        <f ca="1">MAX(Table10[[#This Row],[HH]]*VLOOKUP("Winter Clothes Adult",NFI,6)-Table10[[#This Row],[Winter Clothes Adult ]],0)</f>
        <v>122</v>
      </c>
      <c r="K101" s="106">
        <f ca="1">MAX(Table10[[#This Row],[HH]]*VLOOKUP("Winter Clothes Children ",NFI,6)-Table10[[#This Row],[Winter Clothes Children ]],0)</f>
        <v>61</v>
      </c>
      <c r="L101" s="106">
        <f ca="1">MAX(Table10[[#This Row],[HH]]*VLOOKUP("Winter Items Other ",NFI,6)-Table10[[#This Row],[Winter Items Other ]],0)</f>
        <v>61</v>
      </c>
      <c r="M101" s="114" t="str">
        <f>IF(OR(Table10[[#This Row],[Winter Clothes Adult ]]&lt;&gt;0,Table10[[#This Row],[Winter Clothes Children ]]&lt;&gt;0,Table10[[#This Row],[Winter Items Other ]]&lt;&gt;0),"No","")</f>
        <v/>
      </c>
      <c r="N101" s="115">
        <f>COUNTIF(A:A,Table10[[#This Row],[Pcode]])-1</f>
        <v>0</v>
      </c>
    </row>
    <row r="102" spans="1:14" x14ac:dyDescent="0.3">
      <c r="A102" s="102" t="s">
        <v>201</v>
      </c>
      <c r="B102" s="7" t="e">
        <f ca="1">OFFSET(#REF!,MATCH(Table10[[#This Row],[Pcode]],CampList[CP_Pcode],0)-1,0,1,1)</f>
        <v>#REF!</v>
      </c>
      <c r="C102" s="7" t="str">
        <f ca="1">OFFSET(CampList[Camp],MATCH(Table10[[#This Row],[Pcode]],CampList[CP_Pcode],0)-1,0,1,1)</f>
        <v>Man Bung Catholic compound</v>
      </c>
      <c r="D102" s="7" t="str">
        <f ca="1">OFFSET(CampList[Township],MATCH(Table10[[#This Row],[Pcode]],CampList[CP_Pcode],0)-1,0,1,1)</f>
        <v>Momauk</v>
      </c>
      <c r="E102" s="106">
        <f ca="1">OFFSET(CampList[HH],MATCH(Table10[[#This Row],[Pcode]],CampList[CP_Pcode],0)-1,0,1,1)</f>
        <v>299</v>
      </c>
      <c r="F102" s="106">
        <f ca="1">OFFSET(CampList[Total],MATCH(Table10[[#This Row],[Pcode]],CampList[CP_Pcode],0)-1,0,1,1)</f>
        <v>1373</v>
      </c>
      <c r="G102" s="106">
        <f>SUMIF('NFI Distributions'!AW$53:AW$1048576,Table10[[#This Row],[Pcode]],'NFI Distributions'!AL$53:AL$1048576)</f>
        <v>0</v>
      </c>
      <c r="H102" s="106">
        <f>SUMIF('NFI Distributions'!AW$53:AW$1048576,Table10[[#This Row],[Pcode]],'NFI Distributions'!AM$53:AM$1048576)</f>
        <v>0</v>
      </c>
      <c r="I102" s="106">
        <f>SUMIF('NFI Distributions'!AW$53:AW$1048576,Table10[[#This Row],[Pcode]],'NFI Distributions'!AN$53:AN$1048576)</f>
        <v>0</v>
      </c>
      <c r="J102" s="106">
        <f ca="1">MAX(Table10[[#This Row],[HH]]*VLOOKUP("Winter Clothes Adult",NFI,6)-Table10[[#This Row],[Winter Clothes Adult ]],0)</f>
        <v>598</v>
      </c>
      <c r="K102" s="106">
        <f ca="1">MAX(Table10[[#This Row],[HH]]*VLOOKUP("Winter Clothes Children ",NFI,6)-Table10[[#This Row],[Winter Clothes Children ]],0)</f>
        <v>299</v>
      </c>
      <c r="L102" s="106">
        <f ca="1">MAX(Table10[[#This Row],[HH]]*VLOOKUP("Winter Items Other ",NFI,6)-Table10[[#This Row],[Winter Items Other ]],0)</f>
        <v>299</v>
      </c>
      <c r="M102" s="114" t="str">
        <f>IF(OR(Table10[[#This Row],[Winter Clothes Adult ]]&lt;&gt;0,Table10[[#This Row],[Winter Clothes Children ]]&lt;&gt;0,Table10[[#This Row],[Winter Items Other ]]&lt;&gt;0),"No","")</f>
        <v/>
      </c>
      <c r="N102" s="115">
        <f>COUNTIF(A:A,Table10[[#This Row],[Pcode]])-1</f>
        <v>0</v>
      </c>
    </row>
    <row r="103" spans="1:14" x14ac:dyDescent="0.3">
      <c r="A103" s="102" t="s">
        <v>259</v>
      </c>
      <c r="B103" s="7" t="e">
        <f ca="1">OFFSET(#REF!,MATCH(Table10[[#This Row],[Pcode]],CampList[CP_Pcode],0)-1,0,1,1)</f>
        <v>#REF!</v>
      </c>
      <c r="C103" s="7" t="str">
        <f ca="1">OFFSET(CampList[Camp],MATCH(Table10[[#This Row],[Pcode]],CampList[CP_Pcode],0)-1,0,1,1)</f>
        <v>Man Hkring Baptist Church</v>
      </c>
      <c r="D103" s="7" t="str">
        <f ca="1">OFFSET(CampList[Township],MATCH(Table10[[#This Row],[Pcode]],CampList[CP_Pcode],0)-1,0,1,1)</f>
        <v>Myitkyina</v>
      </c>
      <c r="E103" s="106">
        <f ca="1">OFFSET(CampList[HH],MATCH(Table10[[#This Row],[Pcode]],CampList[CP_Pcode],0)-1,0,1,1)</f>
        <v>103</v>
      </c>
      <c r="F103" s="106">
        <f ca="1">OFFSET(CampList[Total],MATCH(Table10[[#This Row],[Pcode]],CampList[CP_Pcode],0)-1,0,1,1)</f>
        <v>586</v>
      </c>
      <c r="G103" s="106">
        <f>SUMIF('NFI Distributions'!AW$53:AW$1048576,Table10[[#This Row],[Pcode]],'NFI Distributions'!AL$53:AL$1048576)</f>
        <v>0</v>
      </c>
      <c r="H103" s="106">
        <f>SUMIF('NFI Distributions'!AW$53:AW$1048576,Table10[[#This Row],[Pcode]],'NFI Distributions'!AM$53:AM$1048576)</f>
        <v>0</v>
      </c>
      <c r="I103" s="106">
        <f>SUMIF('NFI Distributions'!AW$53:AW$1048576,Table10[[#This Row],[Pcode]],'NFI Distributions'!AN$53:AN$1048576)</f>
        <v>0</v>
      </c>
      <c r="J103" s="106">
        <f ca="1">MAX(Table10[[#This Row],[HH]]*VLOOKUP("Winter Clothes Adult",NFI,6)-Table10[[#This Row],[Winter Clothes Adult ]],0)</f>
        <v>206</v>
      </c>
      <c r="K103" s="106">
        <f ca="1">MAX(Table10[[#This Row],[HH]]*VLOOKUP("Winter Clothes Children ",NFI,6)-Table10[[#This Row],[Winter Clothes Children ]],0)</f>
        <v>103</v>
      </c>
      <c r="L103" s="106">
        <f ca="1">MAX(Table10[[#This Row],[HH]]*VLOOKUP("Winter Items Other ",NFI,6)-Table10[[#This Row],[Winter Items Other ]],0)</f>
        <v>103</v>
      </c>
      <c r="M103" s="114" t="str">
        <f>IF(OR(Table10[[#This Row],[Winter Clothes Adult ]]&lt;&gt;0,Table10[[#This Row],[Winter Clothes Children ]]&lt;&gt;0,Table10[[#This Row],[Winter Items Other ]]&lt;&gt;0),"No","")</f>
        <v/>
      </c>
      <c r="N103" s="115">
        <f>COUNTIF(A:A,Table10[[#This Row],[Pcode]])-1</f>
        <v>0</v>
      </c>
    </row>
    <row r="104" spans="1:14" x14ac:dyDescent="0.3">
      <c r="A104" s="102" t="s">
        <v>203</v>
      </c>
      <c r="B104" s="7" t="e">
        <f ca="1">OFFSET(#REF!,MATCH(Table10[[#This Row],[Pcode]],CampList[CP_Pcode],0)-1,0,1,1)</f>
        <v>#REF!</v>
      </c>
      <c r="C104" s="7" t="str">
        <f ca="1">OFFSET(CampList[Camp],MATCH(Table10[[#This Row],[Pcode]],CampList[CP_Pcode],0)-1,0,1,1)</f>
        <v xml:space="preserve">Man Nawng </v>
      </c>
      <c r="D104" s="7" t="str">
        <f ca="1">OFFSET(CampList[Township],MATCH(Table10[[#This Row],[Pcode]],CampList[CP_Pcode],0)-1,0,1,1)</f>
        <v>Momauk</v>
      </c>
      <c r="E104" s="106">
        <f ca="1">OFFSET(CampList[HH],MATCH(Table10[[#This Row],[Pcode]],CampList[CP_Pcode],0)-1,0,1,1)</f>
        <v>0</v>
      </c>
      <c r="F104" s="106">
        <f ca="1">OFFSET(CampList[Total],MATCH(Table10[[#This Row],[Pcode]],CampList[CP_Pcode],0)-1,0,1,1)</f>
        <v>0</v>
      </c>
      <c r="G104" s="106">
        <f>SUMIF('NFI Distributions'!AW$53:AW$1048576,Table10[[#This Row],[Pcode]],'NFI Distributions'!AL$53:AL$1048576)</f>
        <v>0</v>
      </c>
      <c r="H104" s="106">
        <f>SUMIF('NFI Distributions'!AW$53:AW$1048576,Table10[[#This Row],[Pcode]],'NFI Distributions'!AM$53:AM$1048576)</f>
        <v>0</v>
      </c>
      <c r="I104" s="106">
        <f>SUMIF('NFI Distributions'!AW$53:AW$1048576,Table10[[#This Row],[Pcode]],'NFI Distributions'!AN$53:AN$1048576)</f>
        <v>0</v>
      </c>
      <c r="J104" s="106">
        <f ca="1">MAX(Table10[[#This Row],[HH]]*VLOOKUP("Winter Clothes Adult",NFI,6)-Table10[[#This Row],[Winter Clothes Adult ]],0)</f>
        <v>0</v>
      </c>
      <c r="K104" s="106">
        <f ca="1">MAX(Table10[[#This Row],[HH]]*VLOOKUP("Winter Clothes Children ",NFI,6)-Table10[[#This Row],[Winter Clothes Children ]],0)</f>
        <v>0</v>
      </c>
      <c r="L104" s="106">
        <f ca="1">MAX(Table10[[#This Row],[HH]]*VLOOKUP("Winter Items Other ",NFI,6)-Table10[[#This Row],[Winter Items Other ]],0)</f>
        <v>0</v>
      </c>
      <c r="M104" s="114" t="str">
        <f>IF(OR(Table10[[#This Row],[Winter Clothes Adult ]]&lt;&gt;0,Table10[[#This Row],[Winter Clothes Children ]]&lt;&gt;0,Table10[[#This Row],[Winter Items Other ]]&lt;&gt;0),"No","")</f>
        <v/>
      </c>
      <c r="N104" s="115">
        <f>COUNTIF(A:A,Table10[[#This Row],[Pcode]])-1</f>
        <v>0</v>
      </c>
    </row>
    <row r="105" spans="1:14" x14ac:dyDescent="0.3">
      <c r="A105" s="102" t="s">
        <v>390</v>
      </c>
      <c r="B105" s="7" t="e">
        <f ca="1">OFFSET(#REF!,MATCH(Table10[[#This Row],[Pcode]],CampList[CP_Pcode],0)-1,0,1,1)</f>
        <v>#REF!</v>
      </c>
      <c r="C105" s="7" t="str">
        <f ca="1">OFFSET(CampList[Camp],MATCH(Table10[[#This Row],[Pcode]],CampList[CP_Pcode],0)-1,0,1,1)</f>
        <v>Man Ting</v>
      </c>
      <c r="D105" s="7" t="str">
        <f ca="1">OFFSET(CampList[Township],MATCH(Table10[[#This Row],[Pcode]],CampList[CP_Pcode],0)-1,0,1,1)</f>
        <v>Momauk</v>
      </c>
      <c r="E105" s="106">
        <f ca="1">OFFSET(CampList[HH],MATCH(Table10[[#This Row],[Pcode]],CampList[CP_Pcode],0)-1,0,1,1)</f>
        <v>0</v>
      </c>
      <c r="F105" s="106">
        <f ca="1">OFFSET(CampList[Total],MATCH(Table10[[#This Row],[Pcode]],CampList[CP_Pcode],0)-1,0,1,1)</f>
        <v>0</v>
      </c>
      <c r="G105" s="106">
        <f>SUMIF('NFI Distributions'!AW$53:AW$1048576,Table10[[#This Row],[Pcode]],'NFI Distributions'!AL$53:AL$1048576)</f>
        <v>0</v>
      </c>
      <c r="H105" s="106">
        <f>SUMIF('NFI Distributions'!AW$53:AW$1048576,Table10[[#This Row],[Pcode]],'NFI Distributions'!AM$53:AM$1048576)</f>
        <v>0</v>
      </c>
      <c r="I105" s="106">
        <f>SUMIF('NFI Distributions'!AW$53:AW$1048576,Table10[[#This Row],[Pcode]],'NFI Distributions'!AN$53:AN$1048576)</f>
        <v>0</v>
      </c>
      <c r="J105" s="106">
        <f ca="1">MAX(Table10[[#This Row],[HH]]*VLOOKUP("Winter Clothes Adult",NFI,6)-Table10[[#This Row],[Winter Clothes Adult ]],0)</f>
        <v>0</v>
      </c>
      <c r="K105" s="106">
        <f ca="1">MAX(Table10[[#This Row],[HH]]*VLOOKUP("Winter Clothes Children ",NFI,6)-Table10[[#This Row],[Winter Clothes Children ]],0)</f>
        <v>0</v>
      </c>
      <c r="L105" s="106">
        <f ca="1">MAX(Table10[[#This Row],[HH]]*VLOOKUP("Winter Items Other ",NFI,6)-Table10[[#This Row],[Winter Items Other ]],0)</f>
        <v>0</v>
      </c>
      <c r="M105" s="114" t="str">
        <f>IF(OR(Table10[[#This Row],[Winter Clothes Adult ]]&lt;&gt;0,Table10[[#This Row],[Winter Clothes Children ]]&lt;&gt;0,Table10[[#This Row],[Winter Items Other ]]&lt;&gt;0),"No","")</f>
        <v/>
      </c>
      <c r="N105" s="115">
        <f>COUNTIF(A:A,Table10[[#This Row],[Pcode]])-1</f>
        <v>0</v>
      </c>
    </row>
    <row r="106" spans="1:14" x14ac:dyDescent="0.3">
      <c r="A106" s="102" t="s">
        <v>159</v>
      </c>
      <c r="B106" s="7" t="e">
        <f ca="1">OFFSET(#REF!,MATCH(Table10[[#This Row],[Pcode]],CampList[CP_Pcode],0)-1,0,1,1)</f>
        <v>#REF!</v>
      </c>
      <c r="C106" s="7" t="str">
        <f ca="1">OFFSET(CampList[Camp],MATCH(Table10[[#This Row],[Pcode]],CampList[CP_Pcode],0)-1,0,1,1)</f>
        <v>Man Wing Baptist Church</v>
      </c>
      <c r="D106" s="7" t="str">
        <f ca="1">OFFSET(CampList[Township],MATCH(Table10[[#This Row],[Pcode]],CampList[CP_Pcode],0)-1,0,1,1)</f>
        <v>Mansi</v>
      </c>
      <c r="E106" s="106">
        <f ca="1">OFFSET(CampList[HH],MATCH(Table10[[#This Row],[Pcode]],CampList[CP_Pcode],0)-1,0,1,1)</f>
        <v>127</v>
      </c>
      <c r="F106" s="106">
        <f ca="1">OFFSET(CampList[Total],MATCH(Table10[[#This Row],[Pcode]],CampList[CP_Pcode],0)-1,0,1,1)</f>
        <v>653</v>
      </c>
      <c r="G106" s="106">
        <f>SUMIF('NFI Distributions'!AW$53:AW$1048576,Table10[[#This Row],[Pcode]],'NFI Distributions'!AL$53:AL$1048576)</f>
        <v>0</v>
      </c>
      <c r="H106" s="106">
        <f>SUMIF('NFI Distributions'!AW$53:AW$1048576,Table10[[#This Row],[Pcode]],'NFI Distributions'!AM$53:AM$1048576)</f>
        <v>0</v>
      </c>
      <c r="I106" s="106">
        <f>SUMIF('NFI Distributions'!AW$53:AW$1048576,Table10[[#This Row],[Pcode]],'NFI Distributions'!AN$53:AN$1048576)</f>
        <v>0</v>
      </c>
      <c r="J106" s="106">
        <f ca="1">MAX(Table10[[#This Row],[HH]]*VLOOKUP("Winter Clothes Adult",NFI,6)-Table10[[#This Row],[Winter Clothes Adult ]],0)</f>
        <v>254</v>
      </c>
      <c r="K106" s="106">
        <f ca="1">MAX(Table10[[#This Row],[HH]]*VLOOKUP("Winter Clothes Children ",NFI,6)-Table10[[#This Row],[Winter Clothes Children ]],0)</f>
        <v>127</v>
      </c>
      <c r="L106" s="106">
        <f ca="1">MAX(Table10[[#This Row],[HH]]*VLOOKUP("Winter Items Other ",NFI,6)-Table10[[#This Row],[Winter Items Other ]],0)</f>
        <v>127</v>
      </c>
      <c r="M106" s="114" t="str">
        <f>IF(OR(Table10[[#This Row],[Winter Clothes Adult ]]&lt;&gt;0,Table10[[#This Row],[Winter Clothes Children ]]&lt;&gt;0,Table10[[#This Row],[Winter Items Other ]]&lt;&gt;0),"No","")</f>
        <v/>
      </c>
      <c r="N106" s="115">
        <f>COUNTIF(A:A,Table10[[#This Row],[Pcode]])-1</f>
        <v>0</v>
      </c>
    </row>
    <row r="107" spans="1:14" x14ac:dyDescent="0.3">
      <c r="A107" s="102" t="s">
        <v>153</v>
      </c>
      <c r="B107" s="7" t="e">
        <f ca="1">OFFSET(#REF!,MATCH(Table10[[#This Row],[Pcode]],CampList[CP_Pcode],0)-1,0,1,1)</f>
        <v>#REF!</v>
      </c>
      <c r="C107" s="7" t="str">
        <f ca="1">OFFSET(CampList[Camp],MATCH(Table10[[#This Row],[Pcode]],CampList[CP_Pcode],0)-1,0,1,1)</f>
        <v>Man Wing Catholic Church</v>
      </c>
      <c r="D107" s="7" t="str">
        <f ca="1">OFFSET(CampList[Township],MATCH(Table10[[#This Row],[Pcode]],CampList[CP_Pcode],0)-1,0,1,1)</f>
        <v>Mansi</v>
      </c>
      <c r="E107" s="106">
        <f ca="1">OFFSET(CampList[HH],MATCH(Table10[[#This Row],[Pcode]],CampList[CP_Pcode],0)-1,0,1,1)</f>
        <v>437</v>
      </c>
      <c r="F107" s="106">
        <f ca="1">OFFSET(CampList[Total],MATCH(Table10[[#This Row],[Pcode]],CampList[CP_Pcode],0)-1,0,1,1)</f>
        <v>2316</v>
      </c>
      <c r="G107" s="106">
        <f>SUMIF('NFI Distributions'!AW$53:AW$1048576,Table10[[#This Row],[Pcode]],'NFI Distributions'!AL$53:AL$1048576)</f>
        <v>0</v>
      </c>
      <c r="H107" s="106">
        <f>SUMIF('NFI Distributions'!AW$53:AW$1048576,Table10[[#This Row],[Pcode]],'NFI Distributions'!AM$53:AM$1048576)</f>
        <v>0</v>
      </c>
      <c r="I107" s="106">
        <f>SUMIF('NFI Distributions'!AW$53:AW$1048576,Table10[[#This Row],[Pcode]],'NFI Distributions'!AN$53:AN$1048576)</f>
        <v>0</v>
      </c>
      <c r="J107" s="106">
        <f ca="1">MAX(Table10[[#This Row],[HH]]*VLOOKUP("Winter Clothes Adult",NFI,6)-Table10[[#This Row],[Winter Clothes Adult ]],0)</f>
        <v>874</v>
      </c>
      <c r="K107" s="106">
        <f ca="1">MAX(Table10[[#This Row],[HH]]*VLOOKUP("Winter Clothes Children ",NFI,6)-Table10[[#This Row],[Winter Clothes Children ]],0)</f>
        <v>437</v>
      </c>
      <c r="L107" s="106">
        <f ca="1">MAX(Table10[[#This Row],[HH]]*VLOOKUP("Winter Items Other ",NFI,6)-Table10[[#This Row],[Winter Items Other ]],0)</f>
        <v>437</v>
      </c>
      <c r="M107" s="114" t="str">
        <f>IF(OR(Table10[[#This Row],[Winter Clothes Adult ]]&lt;&gt;0,Table10[[#This Row],[Winter Clothes Children ]]&lt;&gt;0,Table10[[#This Row],[Winter Items Other ]]&lt;&gt;0),"No","")</f>
        <v/>
      </c>
      <c r="N107" s="115">
        <f>COUNTIF(A:A,Table10[[#This Row],[Pcode]])-1</f>
        <v>0</v>
      </c>
    </row>
    <row r="108" spans="1:14" x14ac:dyDescent="0.3">
      <c r="A108" s="102" t="s">
        <v>910</v>
      </c>
      <c r="B108" s="7" t="e">
        <f ca="1">OFFSET(#REF!,MATCH(Table10[[#This Row],[Pcode]],CampList[CP_Pcode],0)-1,0,1,1)</f>
        <v>#REF!</v>
      </c>
      <c r="C108" s="7" t="str">
        <f ca="1">OFFSET(CampList[Camp],MATCH(Table10[[#This Row],[Pcode]],CampList[CP_Pcode],0)-1,0,1,1)</f>
        <v>Man Wing Catholic Church II</v>
      </c>
      <c r="D108" s="7" t="str">
        <f ca="1">OFFSET(CampList[Township],MATCH(Table10[[#This Row],[Pcode]],CampList[CP_Pcode],0)-1,0,1,1)</f>
        <v>Mansi</v>
      </c>
      <c r="E108" s="106">
        <f ca="1">OFFSET(CampList[HH],MATCH(Table10[[#This Row],[Pcode]],CampList[CP_Pcode],0)-1,0,1,1)</f>
        <v>138</v>
      </c>
      <c r="F108" s="106">
        <f ca="1">OFFSET(CampList[Total],MATCH(Table10[[#This Row],[Pcode]],CampList[CP_Pcode],0)-1,0,1,1)</f>
        <v>732</v>
      </c>
      <c r="G108" s="106">
        <f>SUMIF('NFI Distributions'!AW$53:AW$1048576,Table10[[#This Row],[Pcode]],'NFI Distributions'!AL$53:AL$1048576)</f>
        <v>0</v>
      </c>
      <c r="H108" s="106">
        <f>SUMIF('NFI Distributions'!AW$53:AW$1048576,Table10[[#This Row],[Pcode]],'NFI Distributions'!AM$53:AM$1048576)</f>
        <v>0</v>
      </c>
      <c r="I108" s="106">
        <f>SUMIF('NFI Distributions'!AW$53:AW$1048576,Table10[[#This Row],[Pcode]],'NFI Distributions'!AN$53:AN$1048576)</f>
        <v>0</v>
      </c>
      <c r="J108" s="106">
        <f ca="1">MAX(Table10[[#This Row],[HH]]*VLOOKUP("Winter Clothes Adult",NFI,6)-Table10[[#This Row],[Winter Clothes Adult ]],0)</f>
        <v>276</v>
      </c>
      <c r="K108" s="106">
        <f ca="1">MAX(Table10[[#This Row],[HH]]*VLOOKUP("Winter Clothes Children ",NFI,6)-Table10[[#This Row],[Winter Clothes Children ]],0)</f>
        <v>138</v>
      </c>
      <c r="L108" s="106">
        <f ca="1">MAX(Table10[[#This Row],[HH]]*VLOOKUP("Winter Items Other ",NFI,6)-Table10[[#This Row],[Winter Items Other ]],0)</f>
        <v>138</v>
      </c>
      <c r="M108" s="114" t="str">
        <f>IF(OR(Table10[[#This Row],[Winter Clothes Adult ]]&lt;&gt;0,Table10[[#This Row],[Winter Clothes Children ]]&lt;&gt;0,Table10[[#This Row],[Winter Items Other ]]&lt;&gt;0),"No","")</f>
        <v/>
      </c>
      <c r="N108" s="115">
        <f>COUNTIF(A:A,Table10[[#This Row],[Pcode]])-1</f>
        <v>0</v>
      </c>
    </row>
    <row r="109" spans="1:14" x14ac:dyDescent="0.3">
      <c r="A109" s="102" t="s">
        <v>155</v>
      </c>
      <c r="B109" s="7" t="e">
        <f ca="1">OFFSET(#REF!,MATCH(Table10[[#This Row],[Pcode]],CampList[CP_Pcode],0)-1,0,1,1)</f>
        <v>#REF!</v>
      </c>
      <c r="C109" s="7" t="str">
        <f ca="1">OFFSET(CampList[Camp],MATCH(Table10[[#This Row],[Pcode]],CampList[CP_Pcode],0)-1,0,1,1)</f>
        <v>Man Wing- IDPs in Host</v>
      </c>
      <c r="D109" s="7" t="str">
        <f ca="1">OFFSET(CampList[Township],MATCH(Table10[[#This Row],[Pcode]],CampList[CP_Pcode],0)-1,0,1,1)</f>
        <v>Mansi</v>
      </c>
      <c r="E109" s="106">
        <f ca="1">OFFSET(CampList[HH],MATCH(Table10[[#This Row],[Pcode]],CampList[CP_Pcode],0)-1,0,1,1)</f>
        <v>175</v>
      </c>
      <c r="F109" s="106">
        <f ca="1">OFFSET(CampList[Total],MATCH(Table10[[#This Row],[Pcode]],CampList[CP_Pcode],0)-1,0,1,1)</f>
        <v>834</v>
      </c>
      <c r="G109" s="106">
        <f>SUMIF('NFI Distributions'!AW$53:AW$1048576,Table10[[#This Row],[Pcode]],'NFI Distributions'!AL$53:AL$1048576)</f>
        <v>0</v>
      </c>
      <c r="H109" s="106">
        <f>SUMIF('NFI Distributions'!AW$53:AW$1048576,Table10[[#This Row],[Pcode]],'NFI Distributions'!AM$53:AM$1048576)</f>
        <v>0</v>
      </c>
      <c r="I109" s="106">
        <f>SUMIF('NFI Distributions'!AW$53:AW$1048576,Table10[[#This Row],[Pcode]],'NFI Distributions'!AN$53:AN$1048576)</f>
        <v>0</v>
      </c>
      <c r="J109" s="106">
        <f ca="1">MAX(Table10[[#This Row],[HH]]*VLOOKUP("Winter Clothes Adult",NFI,6)-Table10[[#This Row],[Winter Clothes Adult ]],0)</f>
        <v>350</v>
      </c>
      <c r="K109" s="106">
        <f ca="1">MAX(Table10[[#This Row],[HH]]*VLOOKUP("Winter Clothes Children ",NFI,6)-Table10[[#This Row],[Winter Clothes Children ]],0)</f>
        <v>175</v>
      </c>
      <c r="L109" s="106">
        <f ca="1">MAX(Table10[[#This Row],[HH]]*VLOOKUP("Winter Items Other ",NFI,6)-Table10[[#This Row],[Winter Items Other ]],0)</f>
        <v>175</v>
      </c>
      <c r="M109" s="114" t="str">
        <f>IF(OR(Table10[[#This Row],[Winter Clothes Adult ]]&lt;&gt;0,Table10[[#This Row],[Winter Clothes Children ]]&lt;&gt;0,Table10[[#This Row],[Winter Items Other ]]&lt;&gt;0),"No","")</f>
        <v/>
      </c>
      <c r="N109" s="115">
        <f>COUNTIF(A:A,Table10[[#This Row],[Pcode]])-1</f>
        <v>0</v>
      </c>
    </row>
    <row r="110" spans="1:14" x14ac:dyDescent="0.3">
      <c r="A110" s="102" t="s">
        <v>206</v>
      </c>
      <c r="B110" s="7" t="e">
        <f ca="1">OFFSET(#REF!,MATCH(Table10[[#This Row],[Pcode]],CampList[CP_Pcode],0)-1,0,1,1)</f>
        <v>#REF!</v>
      </c>
      <c r="C110" s="7" t="str">
        <f ca="1">OFFSET(CampList[Camp],MATCH(Table10[[#This Row],[Pcode]],CampList[CP_Pcode],0)-1,0,1,1)</f>
        <v>Mandalay Monestry</v>
      </c>
      <c r="D110" s="7" t="str">
        <f ca="1">OFFSET(CampList[Township],MATCH(Table10[[#This Row],[Pcode]],CampList[CP_Pcode],0)-1,0,1,1)</f>
        <v>Momauk</v>
      </c>
      <c r="E110" s="106">
        <f ca="1">OFFSET(CampList[HH],MATCH(Table10[[#This Row],[Pcode]],CampList[CP_Pcode],0)-1,0,1,1)</f>
        <v>0</v>
      </c>
      <c r="F110" s="106">
        <f ca="1">OFFSET(CampList[Total],MATCH(Table10[[#This Row],[Pcode]],CampList[CP_Pcode],0)-1,0,1,1)</f>
        <v>0</v>
      </c>
      <c r="G110" s="106">
        <f>SUMIF('NFI Distributions'!AW$53:AW$1048576,Table10[[#This Row],[Pcode]],'NFI Distributions'!AL$53:AL$1048576)</f>
        <v>0</v>
      </c>
      <c r="H110" s="106">
        <f>SUMIF('NFI Distributions'!AW$53:AW$1048576,Table10[[#This Row],[Pcode]],'NFI Distributions'!AM$53:AM$1048576)</f>
        <v>0</v>
      </c>
      <c r="I110" s="106">
        <f>SUMIF('NFI Distributions'!AW$53:AW$1048576,Table10[[#This Row],[Pcode]],'NFI Distributions'!AN$53:AN$1048576)</f>
        <v>0</v>
      </c>
      <c r="J110" s="106">
        <f ca="1">MAX(Table10[[#This Row],[HH]]*VLOOKUP("Winter Clothes Adult",NFI,6)-Table10[[#This Row],[Winter Clothes Adult ]],0)</f>
        <v>0</v>
      </c>
      <c r="K110" s="106">
        <f ca="1">MAX(Table10[[#This Row],[HH]]*VLOOKUP("Winter Clothes Children ",NFI,6)-Table10[[#This Row],[Winter Clothes Children ]],0)</f>
        <v>0</v>
      </c>
      <c r="L110" s="106">
        <f ca="1">MAX(Table10[[#This Row],[HH]]*VLOOKUP("Winter Items Other ",NFI,6)-Table10[[#This Row],[Winter Items Other ]],0)</f>
        <v>0</v>
      </c>
      <c r="M110" s="114" t="str">
        <f>IF(OR(Table10[[#This Row],[Winter Clothes Adult ]]&lt;&gt;0,Table10[[#This Row],[Winter Clothes Children ]]&lt;&gt;0,Table10[[#This Row],[Winter Items Other ]]&lt;&gt;0),"No","")</f>
        <v/>
      </c>
      <c r="N110" s="115">
        <f>COUNTIF(A:A,Table10[[#This Row],[Pcode]])-1</f>
        <v>0</v>
      </c>
    </row>
    <row r="111" spans="1:14" x14ac:dyDescent="0.3">
      <c r="A111" s="102" t="s">
        <v>175</v>
      </c>
      <c r="B111" s="7" t="e">
        <f ca="1">OFFSET(#REF!,MATCH(Table10[[#This Row],[Pcode]],CampList[CP_Pcode],0)-1,0,1,1)</f>
        <v>#REF!</v>
      </c>
      <c r="C111" s="7" t="str">
        <f ca="1">OFFSET(CampList[Camp],MATCH(Table10[[#This Row],[Pcode]],CampList[CP_Pcode],0)-1,0,1,1)</f>
        <v>Ma Hawng Baptist Church</v>
      </c>
      <c r="D111" s="7" t="str">
        <f ca="1">OFFSET(CampList[Township],MATCH(Table10[[#This Row],[Pcode]],CampList[CP_Pcode],0)-1,0,1,1)</f>
        <v>Mogaung</v>
      </c>
      <c r="E111" s="106">
        <f ca="1">OFFSET(CampList[HH],MATCH(Table10[[#This Row],[Pcode]],CampList[CP_Pcode],0)-1,0,1,1)</f>
        <v>15</v>
      </c>
      <c r="F111" s="106">
        <f ca="1">OFFSET(CampList[Total],MATCH(Table10[[#This Row],[Pcode]],CampList[CP_Pcode],0)-1,0,1,1)</f>
        <v>74</v>
      </c>
      <c r="G111" s="106">
        <f>SUMIF('NFI Distributions'!AW$53:AW$1048576,Table10[[#This Row],[Pcode]],'NFI Distributions'!AL$53:AL$1048576)</f>
        <v>0</v>
      </c>
      <c r="H111" s="106">
        <f>SUMIF('NFI Distributions'!AW$53:AW$1048576,Table10[[#This Row],[Pcode]],'NFI Distributions'!AM$53:AM$1048576)</f>
        <v>0</v>
      </c>
      <c r="I111" s="106">
        <f>SUMIF('NFI Distributions'!AW$53:AW$1048576,Table10[[#This Row],[Pcode]],'NFI Distributions'!AN$53:AN$1048576)</f>
        <v>0</v>
      </c>
      <c r="J111" s="106">
        <f ca="1">MAX(Table10[[#This Row],[HH]]*VLOOKUP("Winter Clothes Adult",NFI,6)-Table10[[#This Row],[Winter Clothes Adult ]],0)</f>
        <v>30</v>
      </c>
      <c r="K111" s="106">
        <f ca="1">MAX(Table10[[#This Row],[HH]]*VLOOKUP("Winter Clothes Children ",NFI,6)-Table10[[#This Row],[Winter Clothes Children ]],0)</f>
        <v>15</v>
      </c>
      <c r="L111" s="106">
        <f ca="1">MAX(Table10[[#This Row],[HH]]*VLOOKUP("Winter Items Other ",NFI,6)-Table10[[#This Row],[Winter Items Other ]],0)</f>
        <v>15</v>
      </c>
      <c r="M111" s="114" t="str">
        <f>IF(OR(Table10[[#This Row],[Winter Clothes Adult ]]&lt;&gt;0,Table10[[#This Row],[Winter Clothes Children ]]&lt;&gt;0,Table10[[#This Row],[Winter Items Other ]]&lt;&gt;0),"No","")</f>
        <v/>
      </c>
      <c r="N111" s="115">
        <f>COUNTIF(A:A,Table10[[#This Row],[Pcode]])-1</f>
        <v>0</v>
      </c>
    </row>
    <row r="112" spans="1:14" x14ac:dyDescent="0.3">
      <c r="A112" s="102" t="s">
        <v>150</v>
      </c>
      <c r="B112" s="7" t="e">
        <f ca="1">OFFSET(#REF!,MATCH(Table10[[#This Row],[Pcode]],CampList[CP_Pcode],0)-1,0,1,1)</f>
        <v>#REF!</v>
      </c>
      <c r="C112" s="7" t="str">
        <f ca="1">OFFSET(CampList[Camp],MATCH(Table10[[#This Row],[Pcode]],CampList[CP_Pcode],0)-1,0,1,1)</f>
        <v>Mansi Baptist Church</v>
      </c>
      <c r="D112" s="7" t="str">
        <f ca="1">OFFSET(CampList[Township],MATCH(Table10[[#This Row],[Pcode]],CampList[CP_Pcode],0)-1,0,1,1)</f>
        <v>Mansi</v>
      </c>
      <c r="E112" s="106">
        <f ca="1">OFFSET(CampList[HH],MATCH(Table10[[#This Row],[Pcode]],CampList[CP_Pcode],0)-1,0,1,1)</f>
        <v>190</v>
      </c>
      <c r="F112" s="106">
        <f ca="1">OFFSET(CampList[Total],MATCH(Table10[[#This Row],[Pcode]],CampList[CP_Pcode],0)-1,0,1,1)</f>
        <v>853</v>
      </c>
      <c r="G112" s="106">
        <f>SUMIF('NFI Distributions'!AW$53:AW$1048576,Table10[[#This Row],[Pcode]],'NFI Distributions'!AL$53:AL$1048576)</f>
        <v>0</v>
      </c>
      <c r="H112" s="106">
        <f>SUMIF('NFI Distributions'!AW$53:AW$1048576,Table10[[#This Row],[Pcode]],'NFI Distributions'!AM$53:AM$1048576)</f>
        <v>0</v>
      </c>
      <c r="I112" s="106">
        <f>SUMIF('NFI Distributions'!AW$53:AW$1048576,Table10[[#This Row],[Pcode]],'NFI Distributions'!AN$53:AN$1048576)</f>
        <v>0</v>
      </c>
      <c r="J112" s="106">
        <f ca="1">MAX(Table10[[#This Row],[HH]]*VLOOKUP("Winter Clothes Adult",NFI,6)-Table10[[#This Row],[Winter Clothes Adult ]],0)</f>
        <v>380</v>
      </c>
      <c r="K112" s="106">
        <f ca="1">MAX(Table10[[#This Row],[HH]]*VLOOKUP("Winter Clothes Children ",NFI,6)-Table10[[#This Row],[Winter Clothes Children ]],0)</f>
        <v>190</v>
      </c>
      <c r="L112" s="106">
        <f ca="1">MAX(Table10[[#This Row],[HH]]*VLOOKUP("Winter Items Other ",NFI,6)-Table10[[#This Row],[Winter Items Other ]],0)</f>
        <v>190</v>
      </c>
      <c r="M112" s="114" t="str">
        <f>IF(OR(Table10[[#This Row],[Winter Clothes Adult ]]&lt;&gt;0,Table10[[#This Row],[Winter Clothes Children ]]&lt;&gt;0,Table10[[#This Row],[Winter Items Other ]]&lt;&gt;0),"No","")</f>
        <v/>
      </c>
      <c r="N112" s="115">
        <f>COUNTIF(A:A,Table10[[#This Row],[Pcode]])-1</f>
        <v>0</v>
      </c>
    </row>
    <row r="113" spans="1:14" x14ac:dyDescent="0.3">
      <c r="A113" s="102" t="s">
        <v>261</v>
      </c>
      <c r="B113" s="7" t="e">
        <f ca="1">OFFSET(#REF!,MATCH(Table10[[#This Row],[Pcode]],CampList[CP_Pcode],0)-1,0,1,1)</f>
        <v>#REF!</v>
      </c>
      <c r="C113" s="7" t="str">
        <f ca="1">OFFSET(CampList[Camp],MATCH(Table10[[#This Row],[Pcode]],CampList[CP_Pcode],0)-1,0,1,1)</f>
        <v>Maw Hpawng Hka Nan Baptist Church</v>
      </c>
      <c r="D113" s="7" t="str">
        <f ca="1">OFFSET(CampList[Township],MATCH(Table10[[#This Row],[Pcode]],CampList[CP_Pcode],0)-1,0,1,1)</f>
        <v>Myitkyina</v>
      </c>
      <c r="E113" s="106">
        <f ca="1">OFFSET(CampList[HH],MATCH(Table10[[#This Row],[Pcode]],CampList[CP_Pcode],0)-1,0,1,1)</f>
        <v>22</v>
      </c>
      <c r="F113" s="106">
        <f ca="1">OFFSET(CampList[Total],MATCH(Table10[[#This Row],[Pcode]],CampList[CP_Pcode],0)-1,0,1,1)</f>
        <v>92</v>
      </c>
      <c r="G113" s="106">
        <f>SUMIF('NFI Distributions'!AW$53:AW$1048576,Table10[[#This Row],[Pcode]],'NFI Distributions'!AL$53:AL$1048576)</f>
        <v>0</v>
      </c>
      <c r="H113" s="106">
        <f>SUMIF('NFI Distributions'!AW$53:AW$1048576,Table10[[#This Row],[Pcode]],'NFI Distributions'!AM$53:AM$1048576)</f>
        <v>0</v>
      </c>
      <c r="I113" s="106">
        <f>SUMIF('NFI Distributions'!AW$53:AW$1048576,Table10[[#This Row],[Pcode]],'NFI Distributions'!AN$53:AN$1048576)</f>
        <v>0</v>
      </c>
      <c r="J113" s="106">
        <f ca="1">MAX(Table10[[#This Row],[HH]]*VLOOKUP("Winter Clothes Adult",NFI,6)-Table10[[#This Row],[Winter Clothes Adult ]],0)</f>
        <v>44</v>
      </c>
      <c r="K113" s="106">
        <f ca="1">MAX(Table10[[#This Row],[HH]]*VLOOKUP("Winter Clothes Children ",NFI,6)-Table10[[#This Row],[Winter Clothes Children ]],0)</f>
        <v>22</v>
      </c>
      <c r="L113" s="106">
        <f ca="1">MAX(Table10[[#This Row],[HH]]*VLOOKUP("Winter Items Other ",NFI,6)-Table10[[#This Row],[Winter Items Other ]],0)</f>
        <v>22</v>
      </c>
      <c r="M113" s="114" t="str">
        <f>IF(OR(Table10[[#This Row],[Winter Clothes Adult ]]&lt;&gt;0,Table10[[#This Row],[Winter Clothes Children ]]&lt;&gt;0,Table10[[#This Row],[Winter Items Other ]]&lt;&gt;0),"No","")</f>
        <v/>
      </c>
      <c r="N113" s="115">
        <f>COUNTIF(A:A,Table10[[#This Row],[Pcode]])-1</f>
        <v>0</v>
      </c>
    </row>
    <row r="114" spans="1:14" x14ac:dyDescent="0.3">
      <c r="A114" s="102" t="s">
        <v>263</v>
      </c>
      <c r="B114" s="7" t="e">
        <f ca="1">OFFSET(#REF!,MATCH(Table10[[#This Row],[Pcode]],CampList[CP_Pcode],0)-1,0,1,1)</f>
        <v>#REF!</v>
      </c>
      <c r="C114" s="7" t="str">
        <f ca="1">OFFSET(CampList[Camp],MATCH(Table10[[#This Row],[Pcode]],CampList[CP_Pcode],0)-1,0,1,1)</f>
        <v>Maw Hpawng Lhaovo Baptist Church</v>
      </c>
      <c r="D114" s="7" t="str">
        <f ca="1">OFFSET(CampList[Township],MATCH(Table10[[#This Row],[Pcode]],CampList[CP_Pcode],0)-1,0,1,1)</f>
        <v>Myitkyina</v>
      </c>
      <c r="E114" s="106">
        <f ca="1">OFFSET(CampList[HH],MATCH(Table10[[#This Row],[Pcode]],CampList[CP_Pcode],0)-1,0,1,1)</f>
        <v>21</v>
      </c>
      <c r="F114" s="106">
        <f ca="1">OFFSET(CampList[Total],MATCH(Table10[[#This Row],[Pcode]],CampList[CP_Pcode],0)-1,0,1,1)</f>
        <v>123</v>
      </c>
      <c r="G114" s="106">
        <f>SUMIF('NFI Distributions'!AW$53:AW$1048576,Table10[[#This Row],[Pcode]],'NFI Distributions'!AL$53:AL$1048576)</f>
        <v>0</v>
      </c>
      <c r="H114" s="106">
        <f>SUMIF('NFI Distributions'!AW$53:AW$1048576,Table10[[#This Row],[Pcode]],'NFI Distributions'!AM$53:AM$1048576)</f>
        <v>0</v>
      </c>
      <c r="I114" s="106">
        <f>SUMIF('NFI Distributions'!AW$53:AW$1048576,Table10[[#This Row],[Pcode]],'NFI Distributions'!AN$53:AN$1048576)</f>
        <v>0</v>
      </c>
      <c r="J114" s="106">
        <f ca="1">MAX(Table10[[#This Row],[HH]]*VLOOKUP("Winter Clothes Adult",NFI,6)-Table10[[#This Row],[Winter Clothes Adult ]],0)</f>
        <v>42</v>
      </c>
      <c r="K114" s="106">
        <f ca="1">MAX(Table10[[#This Row],[HH]]*VLOOKUP("Winter Clothes Children ",NFI,6)-Table10[[#This Row],[Winter Clothes Children ]],0)</f>
        <v>21</v>
      </c>
      <c r="L114" s="106">
        <f ca="1">MAX(Table10[[#This Row],[HH]]*VLOOKUP("Winter Items Other ",NFI,6)-Table10[[#This Row],[Winter Items Other ]],0)</f>
        <v>21</v>
      </c>
      <c r="M114" s="114" t="str">
        <f>IF(OR(Table10[[#This Row],[Winter Clothes Adult ]]&lt;&gt;0,Table10[[#This Row],[Winter Clothes Children ]]&lt;&gt;0,Table10[[#This Row],[Winter Items Other ]]&lt;&gt;0),"No","")</f>
        <v/>
      </c>
      <c r="N114" s="115">
        <f>COUNTIF(A:A,Table10[[#This Row],[Pcode]])-1</f>
        <v>0</v>
      </c>
    </row>
    <row r="115" spans="1:14" x14ac:dyDescent="0.3">
      <c r="A115" s="102" t="s">
        <v>99</v>
      </c>
      <c r="B115" s="7" t="e">
        <f ca="1">OFFSET(#REF!,MATCH(Table10[[#This Row],[Pcode]],CampList[CP_Pcode],0)-1,0,1,1)</f>
        <v>#REF!</v>
      </c>
      <c r="C115" s="7" t="str">
        <f ca="1">OFFSET(CampList[Camp],MATCH(Table10[[#This Row],[Pcode]],CampList[CP_Pcode],0)-1,0,1,1)</f>
        <v>Maw Wan, Mu-yin Baptist Church</v>
      </c>
      <c r="D115" s="7" t="str">
        <f ca="1">OFFSET(CampList[Township],MATCH(Table10[[#This Row],[Pcode]],CampList[CP_Pcode],0)-1,0,1,1)</f>
        <v>Hpakant</v>
      </c>
      <c r="E115" s="106">
        <f ca="1">OFFSET(CampList[HH],MATCH(Table10[[#This Row],[Pcode]],CampList[CP_Pcode],0)-1,0,1,1)</f>
        <v>3</v>
      </c>
      <c r="F115" s="106">
        <f ca="1">OFFSET(CampList[Total],MATCH(Table10[[#This Row],[Pcode]],CampList[CP_Pcode],0)-1,0,1,1)</f>
        <v>15</v>
      </c>
      <c r="G115" s="106">
        <f>SUMIF('NFI Distributions'!AW$53:AW$1048576,Table10[[#This Row],[Pcode]],'NFI Distributions'!AL$53:AL$1048576)</f>
        <v>0</v>
      </c>
      <c r="H115" s="106">
        <f>SUMIF('NFI Distributions'!AW$53:AW$1048576,Table10[[#This Row],[Pcode]],'NFI Distributions'!AM$53:AM$1048576)</f>
        <v>0</v>
      </c>
      <c r="I115" s="106">
        <f>SUMIF('NFI Distributions'!AW$53:AW$1048576,Table10[[#This Row],[Pcode]],'NFI Distributions'!AN$53:AN$1048576)</f>
        <v>0</v>
      </c>
      <c r="J115" s="106">
        <f ca="1">MAX(Table10[[#This Row],[HH]]*VLOOKUP("Winter Clothes Adult",NFI,6)-Table10[[#This Row],[Winter Clothes Adult ]],0)</f>
        <v>6</v>
      </c>
      <c r="K115" s="106">
        <f ca="1">MAX(Table10[[#This Row],[HH]]*VLOOKUP("Winter Clothes Children ",NFI,6)-Table10[[#This Row],[Winter Clothes Children ]],0)</f>
        <v>3</v>
      </c>
      <c r="L115" s="106">
        <f ca="1">MAX(Table10[[#This Row],[HH]]*VLOOKUP("Winter Items Other ",NFI,6)-Table10[[#This Row],[Winter Items Other ]],0)</f>
        <v>3</v>
      </c>
      <c r="M115" s="114" t="str">
        <f>IF(OR(Table10[[#This Row],[Winter Clothes Adult ]]&lt;&gt;0,Table10[[#This Row],[Winter Clothes Children ]]&lt;&gt;0,Table10[[#This Row],[Winter Items Other ]]&lt;&gt;0),"No","")</f>
        <v/>
      </c>
      <c r="N115" s="115">
        <f>COUNTIF(A:A,Table10[[#This Row],[Pcode]])-1</f>
        <v>0</v>
      </c>
    </row>
    <row r="116" spans="1:14" x14ac:dyDescent="0.3">
      <c r="A116" s="102" t="s">
        <v>208</v>
      </c>
      <c r="B116" s="7" t="e">
        <f ca="1">OFFSET(#REF!,MATCH(Table10[[#This Row],[Pcode]],CampList[CP_Pcode],0)-1,0,1,1)</f>
        <v>#REF!</v>
      </c>
      <c r="C116" s="7" t="str">
        <f ca="1">OFFSET(CampList[Camp],MATCH(Table10[[#This Row],[Pcode]],CampList[CP_Pcode],0)-1,0,1,1)</f>
        <v>Momauk Baptist Church</v>
      </c>
      <c r="D116" s="7" t="str">
        <f ca="1">OFFSET(CampList[Township],MATCH(Table10[[#This Row],[Pcode]],CampList[CP_Pcode],0)-1,0,1,1)</f>
        <v>Momauk</v>
      </c>
      <c r="E116" s="106">
        <f ca="1">OFFSET(CampList[HH],MATCH(Table10[[#This Row],[Pcode]],CampList[CP_Pcode],0)-1,0,1,1)</f>
        <v>427</v>
      </c>
      <c r="F116" s="106">
        <f ca="1">OFFSET(CampList[Total],MATCH(Table10[[#This Row],[Pcode]],CampList[CP_Pcode],0)-1,0,1,1)</f>
        <v>2006</v>
      </c>
      <c r="G116" s="106">
        <f>SUMIF('NFI Distributions'!AW$53:AW$1048576,Table10[[#This Row],[Pcode]],'NFI Distributions'!AL$53:AL$1048576)</f>
        <v>0</v>
      </c>
      <c r="H116" s="106">
        <f>SUMIF('NFI Distributions'!AW$53:AW$1048576,Table10[[#This Row],[Pcode]],'NFI Distributions'!AM$53:AM$1048576)</f>
        <v>0</v>
      </c>
      <c r="I116" s="106">
        <f>SUMIF('NFI Distributions'!AW$53:AW$1048576,Table10[[#This Row],[Pcode]],'NFI Distributions'!AN$53:AN$1048576)</f>
        <v>0</v>
      </c>
      <c r="J116" s="106">
        <f ca="1">MAX(Table10[[#This Row],[HH]]*VLOOKUP("Winter Clothes Adult",NFI,6)-Table10[[#This Row],[Winter Clothes Adult ]],0)</f>
        <v>854</v>
      </c>
      <c r="K116" s="106">
        <f ca="1">MAX(Table10[[#This Row],[HH]]*VLOOKUP("Winter Clothes Children ",NFI,6)-Table10[[#This Row],[Winter Clothes Children ]],0)</f>
        <v>427</v>
      </c>
      <c r="L116" s="106">
        <f ca="1">MAX(Table10[[#This Row],[HH]]*VLOOKUP("Winter Items Other ",NFI,6)-Table10[[#This Row],[Winter Items Other ]],0)</f>
        <v>427</v>
      </c>
      <c r="M116" s="114" t="str">
        <f>IF(OR(Table10[[#This Row],[Winter Clothes Adult ]]&lt;&gt;0,Table10[[#This Row],[Winter Clothes Children ]]&lt;&gt;0,Table10[[#This Row],[Winter Items Other ]]&lt;&gt;0),"No","")</f>
        <v/>
      </c>
      <c r="N116" s="115">
        <f>COUNTIF(A:A,Table10[[#This Row],[Pcode]])-1</f>
        <v>0</v>
      </c>
    </row>
    <row r="117" spans="1:14" x14ac:dyDescent="0.3">
      <c r="A117" s="102" t="s">
        <v>210</v>
      </c>
      <c r="B117" s="7" t="e">
        <f ca="1">OFFSET(#REF!,MATCH(Table10[[#This Row],[Pcode]],CampList[CP_Pcode],0)-1,0,1,1)</f>
        <v>#REF!</v>
      </c>
      <c r="C117" s="7" t="str">
        <f ca="1">OFFSET(CampList[Camp],MATCH(Table10[[#This Row],[Pcode]],CampList[CP_Pcode],0)-1,0,1,1)</f>
        <v>Momauk Catholic Church (St. Patrick)</v>
      </c>
      <c r="D117" s="7" t="str">
        <f ca="1">OFFSET(CampList[Township],MATCH(Table10[[#This Row],[Pcode]],CampList[CP_Pcode],0)-1,0,1,1)</f>
        <v>Momauk</v>
      </c>
      <c r="E117" s="106">
        <f ca="1">OFFSET(CampList[HH],MATCH(Table10[[#This Row],[Pcode]],CampList[CP_Pcode],0)-1,0,1,1)</f>
        <v>0</v>
      </c>
      <c r="F117" s="106">
        <f ca="1">OFFSET(CampList[Total],MATCH(Table10[[#This Row],[Pcode]],CampList[CP_Pcode],0)-1,0,1,1)</f>
        <v>0</v>
      </c>
      <c r="G117" s="106">
        <f>SUMIF('NFI Distributions'!AW$53:AW$1048576,Table10[[#This Row],[Pcode]],'NFI Distributions'!AL$53:AL$1048576)</f>
        <v>0</v>
      </c>
      <c r="H117" s="106">
        <f>SUMIF('NFI Distributions'!AW$53:AW$1048576,Table10[[#This Row],[Pcode]],'NFI Distributions'!AM$53:AM$1048576)</f>
        <v>0</v>
      </c>
      <c r="I117" s="106">
        <f>SUMIF('NFI Distributions'!AW$53:AW$1048576,Table10[[#This Row],[Pcode]],'NFI Distributions'!AN$53:AN$1048576)</f>
        <v>0</v>
      </c>
      <c r="J117" s="106">
        <f ca="1">MAX(Table10[[#This Row],[HH]]*VLOOKUP("Winter Clothes Adult",NFI,6)-Table10[[#This Row],[Winter Clothes Adult ]],0)</f>
        <v>0</v>
      </c>
      <c r="K117" s="106">
        <f ca="1">MAX(Table10[[#This Row],[HH]]*VLOOKUP("Winter Clothes Children ",NFI,6)-Table10[[#This Row],[Winter Clothes Children ]],0)</f>
        <v>0</v>
      </c>
      <c r="L117" s="106">
        <f ca="1">MAX(Table10[[#This Row],[HH]]*VLOOKUP("Winter Items Other ",NFI,6)-Table10[[#This Row],[Winter Items Other ]],0)</f>
        <v>0</v>
      </c>
      <c r="M117" s="114" t="str">
        <f>IF(OR(Table10[[#This Row],[Winter Clothes Adult ]]&lt;&gt;0,Table10[[#This Row],[Winter Clothes Children ]]&lt;&gt;0,Table10[[#This Row],[Winter Items Other ]]&lt;&gt;0),"No","")</f>
        <v/>
      </c>
      <c r="N117" s="115">
        <f>COUNTIF(A:A,Table10[[#This Row],[Pcode]])-1</f>
        <v>0</v>
      </c>
    </row>
    <row r="118" spans="1:14" x14ac:dyDescent="0.3">
      <c r="A118" s="102" t="s">
        <v>902</v>
      </c>
      <c r="B118" s="7" t="e">
        <f ca="1">OFFSET(#REF!,MATCH(Table10[[#This Row],[Pcode]],CampList[CP_Pcode],0)-1,0,1,1)</f>
        <v>#REF!</v>
      </c>
      <c r="C118" s="7" t="str">
        <f ca="1">OFFSET(CampList[Camp],MATCH(Table10[[#This Row],[Pcode]],CampList[CP_Pcode],0)-1,0,1,1)</f>
        <v>Muse Baptist Church</v>
      </c>
      <c r="D118" s="7" t="str">
        <f ca="1">OFFSET(CampList[Township],MATCH(Table10[[#This Row],[Pcode]],CampList[CP_Pcode],0)-1,0,1,1)</f>
        <v>Muse</v>
      </c>
      <c r="E118" s="106">
        <f ca="1">OFFSET(CampList[HH],MATCH(Table10[[#This Row],[Pcode]],CampList[CP_Pcode],0)-1,0,1,1)</f>
        <v>40</v>
      </c>
      <c r="F118" s="106">
        <f ca="1">OFFSET(CampList[Total],MATCH(Table10[[#This Row],[Pcode]],CampList[CP_Pcode],0)-1,0,1,1)</f>
        <v>180</v>
      </c>
      <c r="G118" s="106">
        <f>SUMIF('NFI Distributions'!AW$53:AW$1048576,Table10[[#This Row],[Pcode]],'NFI Distributions'!AL$53:AL$1048576)</f>
        <v>0</v>
      </c>
      <c r="H118" s="106">
        <f>SUMIF('NFI Distributions'!AW$53:AW$1048576,Table10[[#This Row],[Pcode]],'NFI Distributions'!AM$53:AM$1048576)</f>
        <v>0</v>
      </c>
      <c r="I118" s="106">
        <f>SUMIF('NFI Distributions'!AW$53:AW$1048576,Table10[[#This Row],[Pcode]],'NFI Distributions'!AN$53:AN$1048576)</f>
        <v>0</v>
      </c>
      <c r="J118" s="106">
        <f ca="1">MAX(Table10[[#This Row],[HH]]*VLOOKUP("Winter Clothes Adult",NFI,6)-Table10[[#This Row],[Winter Clothes Adult ]],0)</f>
        <v>80</v>
      </c>
      <c r="K118" s="106">
        <f ca="1">MAX(Table10[[#This Row],[HH]]*VLOOKUP("Winter Clothes Children ",NFI,6)-Table10[[#This Row],[Winter Clothes Children ]],0)</f>
        <v>40</v>
      </c>
      <c r="L118" s="106">
        <f ca="1">MAX(Table10[[#This Row],[HH]]*VLOOKUP("Winter Items Other ",NFI,6)-Table10[[#This Row],[Winter Items Other ]],0)</f>
        <v>40</v>
      </c>
      <c r="M118" s="114" t="str">
        <f>IF(OR(Table10[[#This Row],[Winter Clothes Adult ]]&lt;&gt;0,Table10[[#This Row],[Winter Clothes Children ]]&lt;&gt;0,Table10[[#This Row],[Winter Items Other ]]&lt;&gt;0),"No","")</f>
        <v/>
      </c>
      <c r="N118" s="115">
        <f>COUNTIF(A:A,Table10[[#This Row],[Pcode]])-1</f>
        <v>0</v>
      </c>
    </row>
    <row r="119" spans="1:14" x14ac:dyDescent="0.3">
      <c r="A119" s="102" t="s">
        <v>912</v>
      </c>
      <c r="B119" s="7" t="e">
        <f ca="1">OFFSET(#REF!,MATCH(Table10[[#This Row],[Pcode]],CampList[CP_Pcode],0)-1,0,1,1)</f>
        <v>#REF!</v>
      </c>
      <c r="C119" s="7" t="str">
        <f ca="1">OFFSET(CampList[Camp],MATCH(Table10[[#This Row],[Pcode]],CampList[CP_Pcode],0)-1,0,1,1)</f>
        <v>Muse Catholic Church</v>
      </c>
      <c r="D119" s="7" t="str">
        <f ca="1">OFFSET(CampList[Township],MATCH(Table10[[#This Row],[Pcode]],CampList[CP_Pcode],0)-1,0,1,1)</f>
        <v>Muse</v>
      </c>
      <c r="E119" s="106">
        <f ca="1">OFFSET(CampList[HH],MATCH(Table10[[#This Row],[Pcode]],CampList[CP_Pcode],0)-1,0,1,1)</f>
        <v>17</v>
      </c>
      <c r="F119" s="106">
        <f ca="1">OFFSET(CampList[Total],MATCH(Table10[[#This Row],[Pcode]],CampList[CP_Pcode],0)-1,0,1,1)</f>
        <v>80</v>
      </c>
      <c r="G119" s="106">
        <f>SUMIF('NFI Distributions'!AW$53:AW$1048576,Table10[[#This Row],[Pcode]],'NFI Distributions'!AL$53:AL$1048576)</f>
        <v>0</v>
      </c>
      <c r="H119" s="106">
        <f>SUMIF('NFI Distributions'!AW$53:AW$1048576,Table10[[#This Row],[Pcode]],'NFI Distributions'!AM$53:AM$1048576)</f>
        <v>0</v>
      </c>
      <c r="I119" s="106">
        <f>SUMIF('NFI Distributions'!AW$53:AW$1048576,Table10[[#This Row],[Pcode]],'NFI Distributions'!AN$53:AN$1048576)</f>
        <v>0</v>
      </c>
      <c r="J119" s="106">
        <f ca="1">MAX(Table10[[#This Row],[HH]]*VLOOKUP("Winter Clothes Adult",NFI,6)-Table10[[#This Row],[Winter Clothes Adult ]],0)</f>
        <v>34</v>
      </c>
      <c r="K119" s="106">
        <f ca="1">MAX(Table10[[#This Row],[HH]]*VLOOKUP("Winter Clothes Children ",NFI,6)-Table10[[#This Row],[Winter Clothes Children ]],0)</f>
        <v>17</v>
      </c>
      <c r="L119" s="106">
        <f ca="1">MAX(Table10[[#This Row],[HH]]*VLOOKUP("Winter Items Other ",NFI,6)-Table10[[#This Row],[Winter Items Other ]],0)</f>
        <v>17</v>
      </c>
      <c r="M119" s="114" t="str">
        <f>IF(OR(Table10[[#This Row],[Winter Clothes Adult ]]&lt;&gt;0,Table10[[#This Row],[Winter Clothes Children ]]&lt;&gt;0,Table10[[#This Row],[Winter Items Other ]]&lt;&gt;0),"No","")</f>
        <v/>
      </c>
      <c r="N119" s="115">
        <f>COUNTIF(A:A,Table10[[#This Row],[Pcode]])-1</f>
        <v>0</v>
      </c>
    </row>
    <row r="120" spans="1:14" x14ac:dyDescent="0.3">
      <c r="A120" s="102" t="s">
        <v>7</v>
      </c>
      <c r="B120" s="7" t="e">
        <f ca="1">OFFSET(#REF!,MATCH(Table10[[#This Row],[Pcode]],CampList[CP_Pcode],0)-1,0,1,1)</f>
        <v>#REF!</v>
      </c>
      <c r="C120" s="7" t="str">
        <f ca="1">OFFSET(CampList[Camp],MATCH(Table10[[#This Row],[Pcode]],CampList[CP_Pcode],0)-1,0,1,1)</f>
        <v>Mu-yin Baptist Church</v>
      </c>
      <c r="D120" s="7" t="str">
        <f ca="1">OFFSET(CampList[Township],MATCH(Table10[[#This Row],[Pcode]],CampList[CP_Pcode],0)-1,0,1,1)</f>
        <v>Bhamo</v>
      </c>
      <c r="E120" s="106">
        <f ca="1">OFFSET(CampList[HH],MATCH(Table10[[#This Row],[Pcode]],CampList[CP_Pcode],0)-1,0,1,1)</f>
        <v>14</v>
      </c>
      <c r="F120" s="106">
        <f ca="1">OFFSET(CampList[Total],MATCH(Table10[[#This Row],[Pcode]],CampList[CP_Pcode],0)-1,0,1,1)</f>
        <v>55</v>
      </c>
      <c r="G120" s="106">
        <f>SUMIF('NFI Distributions'!AW$53:AW$1048576,Table10[[#This Row],[Pcode]],'NFI Distributions'!AL$53:AL$1048576)</f>
        <v>0</v>
      </c>
      <c r="H120" s="106">
        <f>SUMIF('NFI Distributions'!AW$53:AW$1048576,Table10[[#This Row],[Pcode]],'NFI Distributions'!AM$53:AM$1048576)</f>
        <v>0</v>
      </c>
      <c r="I120" s="106">
        <f>SUMIF('NFI Distributions'!AW$53:AW$1048576,Table10[[#This Row],[Pcode]],'NFI Distributions'!AN$53:AN$1048576)</f>
        <v>0</v>
      </c>
      <c r="J120" s="106">
        <f ca="1">MAX(Table10[[#This Row],[HH]]*VLOOKUP("Winter Clothes Adult",NFI,6)-Table10[[#This Row],[Winter Clothes Adult ]],0)</f>
        <v>28</v>
      </c>
      <c r="K120" s="106">
        <f ca="1">MAX(Table10[[#This Row],[HH]]*VLOOKUP("Winter Clothes Children ",NFI,6)-Table10[[#This Row],[Winter Clothes Children ]],0)</f>
        <v>14</v>
      </c>
      <c r="L120" s="106">
        <f ca="1">MAX(Table10[[#This Row],[HH]]*VLOOKUP("Winter Items Other ",NFI,6)-Table10[[#This Row],[Winter Items Other ]],0)</f>
        <v>14</v>
      </c>
      <c r="M120" s="114" t="str">
        <f>IF(OR(Table10[[#This Row],[Winter Clothes Adult ]]&lt;&gt;0,Table10[[#This Row],[Winter Clothes Children ]]&lt;&gt;0,Table10[[#This Row],[Winter Items Other ]]&lt;&gt;0),"No","")</f>
        <v/>
      </c>
      <c r="N120" s="115">
        <f>COUNTIF(A:A,Table10[[#This Row],[Pcode]])-1</f>
        <v>0</v>
      </c>
    </row>
    <row r="121" spans="1:14" x14ac:dyDescent="0.3">
      <c r="A121" s="102" t="s">
        <v>265</v>
      </c>
      <c r="B121" s="7" t="e">
        <f ca="1">OFFSET(#REF!,MATCH(Table10[[#This Row],[Pcode]],CampList[CP_Pcode],0)-1,0,1,1)</f>
        <v>#REF!</v>
      </c>
      <c r="C121" s="7" t="str">
        <f ca="1">OFFSET(CampList[Camp],MATCH(Table10[[#This Row],[Pcode]],CampList[CP_Pcode],0)-1,0,1,1)</f>
        <v>Myay Myint Baptist Church</v>
      </c>
      <c r="D121" s="7" t="str">
        <f ca="1">OFFSET(CampList[Township],MATCH(Table10[[#This Row],[Pcode]],CampList[CP_Pcode],0)-1,0,1,1)</f>
        <v>Myitkyina</v>
      </c>
      <c r="E121" s="106">
        <f ca="1">OFFSET(CampList[HH],MATCH(Table10[[#This Row],[Pcode]],CampList[CP_Pcode],0)-1,0,1,1)</f>
        <v>0</v>
      </c>
      <c r="F121" s="106">
        <f ca="1">OFFSET(CampList[Total],MATCH(Table10[[#This Row],[Pcode]],CampList[CP_Pcode],0)-1,0,1,1)</f>
        <v>0</v>
      </c>
      <c r="G121" s="106">
        <f>SUMIF('NFI Distributions'!AW$53:AW$1048576,Table10[[#This Row],[Pcode]],'NFI Distributions'!AL$53:AL$1048576)</f>
        <v>0</v>
      </c>
      <c r="H121" s="106">
        <f>SUMIF('NFI Distributions'!AW$53:AW$1048576,Table10[[#This Row],[Pcode]],'NFI Distributions'!AM$53:AM$1048576)</f>
        <v>0</v>
      </c>
      <c r="I121" s="106">
        <f>SUMIF('NFI Distributions'!AW$53:AW$1048576,Table10[[#This Row],[Pcode]],'NFI Distributions'!AN$53:AN$1048576)</f>
        <v>0</v>
      </c>
      <c r="J121" s="106">
        <f ca="1">MAX(Table10[[#This Row],[HH]]*VLOOKUP("Winter Clothes Adult",NFI,6)-Table10[[#This Row],[Winter Clothes Adult ]],0)</f>
        <v>0</v>
      </c>
      <c r="K121" s="106">
        <f ca="1">MAX(Table10[[#This Row],[HH]]*VLOOKUP("Winter Clothes Children ",NFI,6)-Table10[[#This Row],[Winter Clothes Children ]],0)</f>
        <v>0</v>
      </c>
      <c r="L121" s="106">
        <f ca="1">MAX(Table10[[#This Row],[HH]]*VLOOKUP("Winter Items Other ",NFI,6)-Table10[[#This Row],[Winter Items Other ]],0)</f>
        <v>0</v>
      </c>
      <c r="M121" s="114" t="str">
        <f>IF(OR(Table10[[#This Row],[Winter Clothes Adult ]]&lt;&gt;0,Table10[[#This Row],[Winter Clothes Children ]]&lt;&gt;0,Table10[[#This Row],[Winter Items Other ]]&lt;&gt;0),"No","")</f>
        <v/>
      </c>
      <c r="N121" s="115">
        <f>COUNTIF(A:A,Table10[[#This Row],[Pcode]])-1</f>
        <v>0</v>
      </c>
    </row>
    <row r="122" spans="1:14" x14ac:dyDescent="0.3">
      <c r="A122" s="102" t="s">
        <v>212</v>
      </c>
      <c r="B122" s="7" t="e">
        <f ca="1">OFFSET(#REF!,MATCH(Table10[[#This Row],[Pcode]],CampList[CP_Pcode],0)-1,0,1,1)</f>
        <v>#REF!</v>
      </c>
      <c r="C122" s="7" t="str">
        <f ca="1">OFFSET(CampList[Camp],MATCH(Table10[[#This Row],[Pcode]],CampList[CP_Pcode],0)-1,0,1,1)</f>
        <v xml:space="preserve">Myo Thit </v>
      </c>
      <c r="D122" s="7" t="str">
        <f ca="1">OFFSET(CampList[Township],MATCH(Table10[[#This Row],[Pcode]],CampList[CP_Pcode],0)-1,0,1,1)</f>
        <v>Momauk</v>
      </c>
      <c r="E122" s="106">
        <f ca="1">OFFSET(CampList[HH],MATCH(Table10[[#This Row],[Pcode]],CampList[CP_Pcode],0)-1,0,1,1)</f>
        <v>26</v>
      </c>
      <c r="F122" s="106">
        <f ca="1">OFFSET(CampList[Total],MATCH(Table10[[#This Row],[Pcode]],CampList[CP_Pcode],0)-1,0,1,1)</f>
        <v>137</v>
      </c>
      <c r="G122" s="106">
        <f>SUMIF('NFI Distributions'!AW$53:AW$1048576,Table10[[#This Row],[Pcode]],'NFI Distributions'!AL$53:AL$1048576)</f>
        <v>0</v>
      </c>
      <c r="H122" s="106">
        <f>SUMIF('NFI Distributions'!AW$53:AW$1048576,Table10[[#This Row],[Pcode]],'NFI Distributions'!AM$53:AM$1048576)</f>
        <v>0</v>
      </c>
      <c r="I122" s="106">
        <f>SUMIF('NFI Distributions'!AW$53:AW$1048576,Table10[[#This Row],[Pcode]],'NFI Distributions'!AN$53:AN$1048576)</f>
        <v>0</v>
      </c>
      <c r="J122" s="106">
        <f ca="1">MAX(Table10[[#This Row],[HH]]*VLOOKUP("Winter Clothes Adult",NFI,6)-Table10[[#This Row],[Winter Clothes Adult ]],0)</f>
        <v>52</v>
      </c>
      <c r="K122" s="106">
        <f ca="1">MAX(Table10[[#This Row],[HH]]*VLOOKUP("Winter Clothes Children ",NFI,6)-Table10[[#This Row],[Winter Clothes Children ]],0)</f>
        <v>26</v>
      </c>
      <c r="L122" s="106">
        <f ca="1">MAX(Table10[[#This Row],[HH]]*VLOOKUP("Winter Items Other ",NFI,6)-Table10[[#This Row],[Winter Items Other ]],0)</f>
        <v>26</v>
      </c>
      <c r="M122" s="114" t="str">
        <f>IF(OR(Table10[[#This Row],[Winter Clothes Adult ]]&lt;&gt;0,Table10[[#This Row],[Winter Clothes Children ]]&lt;&gt;0,Table10[[#This Row],[Winter Items Other ]]&lt;&gt;0),"No","")</f>
        <v/>
      </c>
      <c r="N122" s="115">
        <f>COUNTIF(A:A,Table10[[#This Row],[Pcode]])-1</f>
        <v>0</v>
      </c>
    </row>
    <row r="123" spans="1:14" x14ac:dyDescent="0.3">
      <c r="A123" s="102" t="s">
        <v>904</v>
      </c>
      <c r="B123" s="7" t="e">
        <f ca="1">OFFSET(#REF!,MATCH(Table10[[#This Row],[Pcode]],CampList[CP_Pcode],0)-1,0,1,1)</f>
        <v>#REF!</v>
      </c>
      <c r="C123" s="7" t="str">
        <f ca="1">OFFSET(CampList[Camp],MATCH(Table10[[#This Row],[Pcode]],CampList[CP_Pcode],0)-1,0,1,1)</f>
        <v>Nam Hkam (KBC Jaw Wang) II</v>
      </c>
      <c r="D123" s="7" t="str">
        <f ca="1">OFFSET(CampList[Township],MATCH(Table10[[#This Row],[Pcode]],CampList[CP_Pcode],0)-1,0,1,1)</f>
        <v>Namhkan</v>
      </c>
      <c r="E123" s="106">
        <f ca="1">OFFSET(CampList[HH],MATCH(Table10[[#This Row],[Pcode]],CampList[CP_Pcode],0)-1,0,1,1)</f>
        <v>36</v>
      </c>
      <c r="F123" s="106">
        <f ca="1">OFFSET(CampList[Total],MATCH(Table10[[#This Row],[Pcode]],CampList[CP_Pcode],0)-1,0,1,1)</f>
        <v>193</v>
      </c>
      <c r="G123" s="106">
        <f>SUMIF('NFI Distributions'!AW$53:AW$1048576,Table10[[#This Row],[Pcode]],'NFI Distributions'!AL$53:AL$1048576)</f>
        <v>0</v>
      </c>
      <c r="H123" s="106">
        <f>SUMIF('NFI Distributions'!AW$53:AW$1048576,Table10[[#This Row],[Pcode]],'NFI Distributions'!AM$53:AM$1048576)</f>
        <v>0</v>
      </c>
      <c r="I123" s="106">
        <f>SUMIF('NFI Distributions'!AW$53:AW$1048576,Table10[[#This Row],[Pcode]],'NFI Distributions'!AN$53:AN$1048576)</f>
        <v>0</v>
      </c>
      <c r="J123" s="106">
        <f ca="1">MAX(Table10[[#This Row],[HH]]*VLOOKUP("Winter Clothes Adult",NFI,6)-Table10[[#This Row],[Winter Clothes Adult ]],0)</f>
        <v>72</v>
      </c>
      <c r="K123" s="106">
        <f ca="1">MAX(Table10[[#This Row],[HH]]*VLOOKUP("Winter Clothes Children ",NFI,6)-Table10[[#This Row],[Winter Clothes Children ]],0)</f>
        <v>36</v>
      </c>
      <c r="L123" s="106">
        <f ca="1">MAX(Table10[[#This Row],[HH]]*VLOOKUP("Winter Items Other ",NFI,6)-Table10[[#This Row],[Winter Items Other ]],0)</f>
        <v>36</v>
      </c>
      <c r="M123" s="114" t="str">
        <f>IF(OR(Table10[[#This Row],[Winter Clothes Adult ]]&lt;&gt;0,Table10[[#This Row],[Winter Clothes Children ]]&lt;&gt;0,Table10[[#This Row],[Winter Items Other ]]&lt;&gt;0),"No","")</f>
        <v/>
      </c>
      <c r="N123" s="115">
        <f>COUNTIF(A:A,Table10[[#This Row],[Pcode]])-1</f>
        <v>0</v>
      </c>
    </row>
    <row r="124" spans="1:14" x14ac:dyDescent="0.3">
      <c r="A124" s="102" t="s">
        <v>46</v>
      </c>
      <c r="B124" s="7" t="e">
        <f ca="1">OFFSET(#REF!,MATCH(Table10[[#This Row],[Pcode]],CampList[CP_Pcode],0)-1,0,1,1)</f>
        <v>#REF!</v>
      </c>
      <c r="C124" s="7" t="str">
        <f ca="1">OFFSET(CampList[Camp],MATCH(Table10[[#This Row],[Pcode]],CampList[CP_Pcode],0)-1,0,1,1)</f>
        <v>Nam Ma Phyit, COC</v>
      </c>
      <c r="D124" s="7" t="str">
        <f ca="1">OFFSET(CampList[Township],MATCH(Table10[[#This Row],[Pcode]],CampList[CP_Pcode],0)-1,0,1,1)</f>
        <v>Hpakant</v>
      </c>
      <c r="E124" s="106">
        <f ca="1">OFFSET(CampList[HH],MATCH(Table10[[#This Row],[Pcode]],CampList[CP_Pcode],0)-1,0,1,1)</f>
        <v>11</v>
      </c>
      <c r="F124" s="106">
        <f ca="1">OFFSET(CampList[Total],MATCH(Table10[[#This Row],[Pcode]],CampList[CP_Pcode],0)-1,0,1,1)</f>
        <v>43</v>
      </c>
      <c r="G124" s="106">
        <f>SUMIF('NFI Distributions'!AW$53:AW$1048576,Table10[[#This Row],[Pcode]],'NFI Distributions'!AL$53:AL$1048576)</f>
        <v>0</v>
      </c>
      <c r="H124" s="106">
        <f>SUMIF('NFI Distributions'!AW$53:AW$1048576,Table10[[#This Row],[Pcode]],'NFI Distributions'!AM$53:AM$1048576)</f>
        <v>0</v>
      </c>
      <c r="I124" s="106">
        <f>SUMIF('NFI Distributions'!AW$53:AW$1048576,Table10[[#This Row],[Pcode]],'NFI Distributions'!AN$53:AN$1048576)</f>
        <v>0</v>
      </c>
      <c r="J124" s="106">
        <f ca="1">MAX(Table10[[#This Row],[HH]]*VLOOKUP("Winter Clothes Adult",NFI,6)-Table10[[#This Row],[Winter Clothes Adult ]],0)</f>
        <v>22</v>
      </c>
      <c r="K124" s="106">
        <f ca="1">MAX(Table10[[#This Row],[HH]]*VLOOKUP("Winter Clothes Children ",NFI,6)-Table10[[#This Row],[Winter Clothes Children ]],0)</f>
        <v>11</v>
      </c>
      <c r="L124" s="106">
        <f ca="1">MAX(Table10[[#This Row],[HH]]*VLOOKUP("Winter Items Other ",NFI,6)-Table10[[#This Row],[Winter Items Other ]],0)</f>
        <v>11</v>
      </c>
      <c r="M124" s="114" t="str">
        <f>IF(OR(Table10[[#This Row],[Winter Clothes Adult ]]&lt;&gt;0,Table10[[#This Row],[Winter Clothes Children ]]&lt;&gt;0,Table10[[#This Row],[Winter Items Other ]]&lt;&gt;0),"No","")</f>
        <v/>
      </c>
      <c r="N124" s="115">
        <f>COUNTIF(A:A,Table10[[#This Row],[Pcode]])-1</f>
        <v>0</v>
      </c>
    </row>
    <row r="125" spans="1:14" x14ac:dyDescent="0.3">
      <c r="A125" s="102" t="s">
        <v>908</v>
      </c>
      <c r="B125" s="7" t="e">
        <f ca="1">OFFSET(#REF!,MATCH(Table10[[#This Row],[Pcode]],CampList[CP_Pcode],0)-1,0,1,1)</f>
        <v>#REF!</v>
      </c>
      <c r="C125" s="7" t="str">
        <f ca="1">OFFSET(CampList[Camp],MATCH(Table10[[#This Row],[Pcode]],CampList[CP_Pcode],0)-1,0,1,1)</f>
        <v>Namhkan - Pang Long KBC</v>
      </c>
      <c r="D125" s="7" t="str">
        <f ca="1">OFFSET(CampList[Township],MATCH(Table10[[#This Row],[Pcode]],CampList[CP_Pcode],0)-1,0,1,1)</f>
        <v>Namhkan</v>
      </c>
      <c r="E125" s="106">
        <f ca="1">OFFSET(CampList[HH],MATCH(Table10[[#This Row],[Pcode]],CampList[CP_Pcode],0)-1,0,1,1)</f>
        <v>114</v>
      </c>
      <c r="F125" s="106">
        <f ca="1">OFFSET(CampList[Total],MATCH(Table10[[#This Row],[Pcode]],CampList[CP_Pcode],0)-1,0,1,1)</f>
        <v>545</v>
      </c>
      <c r="G125" s="106">
        <f>SUMIF('NFI Distributions'!AW$53:AW$1048576,Table10[[#This Row],[Pcode]],'NFI Distributions'!AL$53:AL$1048576)</f>
        <v>0</v>
      </c>
      <c r="H125" s="106">
        <f>SUMIF('NFI Distributions'!AW$53:AW$1048576,Table10[[#This Row],[Pcode]],'NFI Distributions'!AM$53:AM$1048576)</f>
        <v>0</v>
      </c>
      <c r="I125" s="106">
        <f>SUMIF('NFI Distributions'!AW$53:AW$1048576,Table10[[#This Row],[Pcode]],'NFI Distributions'!AN$53:AN$1048576)</f>
        <v>0</v>
      </c>
      <c r="J125" s="106">
        <f ca="1">MAX(Table10[[#This Row],[HH]]*VLOOKUP("Winter Clothes Adult",NFI,6)-Table10[[#This Row],[Winter Clothes Adult ]],0)</f>
        <v>228</v>
      </c>
      <c r="K125" s="106">
        <f ca="1">MAX(Table10[[#This Row],[HH]]*VLOOKUP("Winter Clothes Children ",NFI,6)-Table10[[#This Row],[Winter Clothes Children ]],0)</f>
        <v>114</v>
      </c>
      <c r="L125" s="106">
        <f ca="1">MAX(Table10[[#This Row],[HH]]*VLOOKUP("Winter Items Other ",NFI,6)-Table10[[#This Row],[Winter Items Other ]],0)</f>
        <v>114</v>
      </c>
      <c r="M125" s="114" t="str">
        <f>IF(OR(Table10[[#This Row],[Winter Clothes Adult ]]&lt;&gt;0,Table10[[#This Row],[Winter Clothes Children ]]&lt;&gt;0,Table10[[#This Row],[Winter Items Other ]]&lt;&gt;0),"No","")</f>
        <v/>
      </c>
      <c r="N125" s="115">
        <f>COUNTIF(A:A,Table10[[#This Row],[Pcode]])-1</f>
        <v>0</v>
      </c>
    </row>
    <row r="126" spans="1:14" x14ac:dyDescent="0.3">
      <c r="A126" s="102" t="s">
        <v>269</v>
      </c>
      <c r="B126" s="7" t="e">
        <f ca="1">OFFSET(#REF!,MATCH(Table10[[#This Row],[Pcode]],CampList[CP_Pcode],0)-1,0,1,1)</f>
        <v>#REF!</v>
      </c>
      <c r="C126" s="7" t="str">
        <f ca="1">OFFSET(CampList[Camp],MATCH(Table10[[#This Row],[Pcode]],CampList[CP_Pcode],0)-1,0,1,1)</f>
        <v>Nan Kway St. John Catholic Church</v>
      </c>
      <c r="D126" s="7" t="str">
        <f ca="1">OFFSET(CampList[Township],MATCH(Table10[[#This Row],[Pcode]],CampList[CP_Pcode],0)-1,0,1,1)</f>
        <v>Myitkyina</v>
      </c>
      <c r="E126" s="106">
        <f ca="1">OFFSET(CampList[HH],MATCH(Table10[[#This Row],[Pcode]],CampList[CP_Pcode],0)-1,0,1,1)</f>
        <v>60</v>
      </c>
      <c r="F126" s="106">
        <f ca="1">OFFSET(CampList[Total],MATCH(Table10[[#This Row],[Pcode]],CampList[CP_Pcode],0)-1,0,1,1)</f>
        <v>316</v>
      </c>
      <c r="G126" s="106">
        <f>SUMIF('NFI Distributions'!AW$53:AW$1048576,Table10[[#This Row],[Pcode]],'NFI Distributions'!AL$53:AL$1048576)</f>
        <v>0</v>
      </c>
      <c r="H126" s="106">
        <f>SUMIF('NFI Distributions'!AW$53:AW$1048576,Table10[[#This Row],[Pcode]],'NFI Distributions'!AM$53:AM$1048576)</f>
        <v>0</v>
      </c>
      <c r="I126" s="106">
        <f>SUMIF('NFI Distributions'!AW$53:AW$1048576,Table10[[#This Row],[Pcode]],'NFI Distributions'!AN$53:AN$1048576)</f>
        <v>0</v>
      </c>
      <c r="J126" s="106">
        <f ca="1">MAX(Table10[[#This Row],[HH]]*VLOOKUP("Winter Clothes Adult",NFI,6)-Table10[[#This Row],[Winter Clothes Adult ]],0)</f>
        <v>120</v>
      </c>
      <c r="K126" s="106">
        <f ca="1">MAX(Table10[[#This Row],[HH]]*VLOOKUP("Winter Clothes Children ",NFI,6)-Table10[[#This Row],[Winter Clothes Children ]],0)</f>
        <v>60</v>
      </c>
      <c r="L126" s="106">
        <f ca="1">MAX(Table10[[#This Row],[HH]]*VLOOKUP("Winter Items Other ",NFI,6)-Table10[[#This Row],[Winter Items Other ]],0)</f>
        <v>60</v>
      </c>
      <c r="M126" s="114" t="str">
        <f>IF(OR(Table10[[#This Row],[Winter Clothes Adult ]]&lt;&gt;0,Table10[[#This Row],[Winter Clothes Children ]]&lt;&gt;0,Table10[[#This Row],[Winter Items Other ]]&lt;&gt;0),"No","")</f>
        <v/>
      </c>
      <c r="N126" s="115">
        <f>COUNTIF(A:A,Table10[[#This Row],[Pcode]])-1</f>
        <v>0</v>
      </c>
    </row>
    <row r="127" spans="1:14" x14ac:dyDescent="0.3">
      <c r="A127" s="102" t="s">
        <v>19</v>
      </c>
      <c r="B127" s="7" t="e">
        <f ca="1">OFFSET(#REF!,MATCH(Table10[[#This Row],[Pcode]],CampList[CP_Pcode],0)-1,0,1,1)</f>
        <v>#REF!</v>
      </c>
      <c r="C127" s="7" t="str">
        <f ca="1">OFFSET(CampList[Camp],MATCH(Table10[[#This Row],[Pcode]],CampList[CP_Pcode],0)-1,0,1,1)</f>
        <v>Nant Hlaing Church</v>
      </c>
      <c r="D127" s="7" t="str">
        <f ca="1">OFFSET(CampList[Township],MATCH(Table10[[#This Row],[Pcode]],CampList[CP_Pcode],0)-1,0,1,1)</f>
        <v>Bhamo</v>
      </c>
      <c r="E127" s="106">
        <f ca="1">OFFSET(CampList[HH],MATCH(Table10[[#This Row],[Pcode]],CampList[CP_Pcode],0)-1,0,1,1)</f>
        <v>17</v>
      </c>
      <c r="F127" s="106">
        <f ca="1">OFFSET(CampList[Total],MATCH(Table10[[#This Row],[Pcode]],CampList[CP_Pcode],0)-1,0,1,1)</f>
        <v>75</v>
      </c>
      <c r="G127" s="106">
        <f>SUMIF('NFI Distributions'!AW$53:AW$1048576,Table10[[#This Row],[Pcode]],'NFI Distributions'!AL$53:AL$1048576)</f>
        <v>0</v>
      </c>
      <c r="H127" s="106">
        <f>SUMIF('NFI Distributions'!AW$53:AW$1048576,Table10[[#This Row],[Pcode]],'NFI Distributions'!AM$53:AM$1048576)</f>
        <v>0</v>
      </c>
      <c r="I127" s="106">
        <f>SUMIF('NFI Distributions'!AW$53:AW$1048576,Table10[[#This Row],[Pcode]],'NFI Distributions'!AN$53:AN$1048576)</f>
        <v>0</v>
      </c>
      <c r="J127" s="106">
        <f ca="1">MAX(Table10[[#This Row],[HH]]*VLOOKUP("Winter Clothes Adult",NFI,6)-Table10[[#This Row],[Winter Clothes Adult ]],0)</f>
        <v>34</v>
      </c>
      <c r="K127" s="106">
        <f ca="1">MAX(Table10[[#This Row],[HH]]*VLOOKUP("Winter Clothes Children ",NFI,6)-Table10[[#This Row],[Winter Clothes Children ]],0)</f>
        <v>17</v>
      </c>
      <c r="L127" s="106">
        <f ca="1">MAX(Table10[[#This Row],[HH]]*VLOOKUP("Winter Items Other ",NFI,6)-Table10[[#This Row],[Winter Items Other ]],0)</f>
        <v>17</v>
      </c>
      <c r="M127" s="114" t="str">
        <f>IF(OR(Table10[[#This Row],[Winter Clothes Adult ]]&lt;&gt;0,Table10[[#This Row],[Winter Clothes Children ]]&lt;&gt;0,Table10[[#This Row],[Winter Items Other ]]&lt;&gt;0),"No","")</f>
        <v/>
      </c>
      <c r="N127" s="115">
        <f>COUNTIF(A:A,Table10[[#This Row],[Pcode]])-1</f>
        <v>0</v>
      </c>
    </row>
    <row r="128" spans="1:14" x14ac:dyDescent="0.3">
      <c r="A128" s="102" t="s">
        <v>107</v>
      </c>
      <c r="B128" s="7" t="e">
        <f ca="1">OFFSET(#REF!,MATCH(Table10[[#This Row],[Pcode]],CampList[CP_Pcode],0)-1,0,1,1)</f>
        <v>#REF!</v>
      </c>
      <c r="C128" s="7" t="str">
        <f ca="1">OFFSET(CampList[Camp],MATCH(Table10[[#This Row],[Pcode]],CampList[CP_Pcode],0)-1,0,1,1)</f>
        <v>Nant Ma Hpit Catholic Church</v>
      </c>
      <c r="D128" s="7" t="str">
        <f ca="1">OFFSET(CampList[Township],MATCH(Table10[[#This Row],[Pcode]],CampList[CP_Pcode],0)-1,0,1,1)</f>
        <v>Hpakant</v>
      </c>
      <c r="E128" s="106">
        <f ca="1">OFFSET(CampList[HH],MATCH(Table10[[#This Row],[Pcode]],CampList[CP_Pcode],0)-1,0,1,1)</f>
        <v>47</v>
      </c>
      <c r="F128" s="106">
        <f ca="1">OFFSET(CampList[Total],MATCH(Table10[[#This Row],[Pcode]],CampList[CP_Pcode],0)-1,0,1,1)</f>
        <v>225</v>
      </c>
      <c r="G128" s="106">
        <f>SUMIF('NFI Distributions'!AW$53:AW$1048576,Table10[[#This Row],[Pcode]],'NFI Distributions'!AL$53:AL$1048576)</f>
        <v>0</v>
      </c>
      <c r="H128" s="106">
        <f>SUMIF('NFI Distributions'!AW$53:AW$1048576,Table10[[#This Row],[Pcode]],'NFI Distributions'!AM$53:AM$1048576)</f>
        <v>0</v>
      </c>
      <c r="I128" s="106">
        <f>SUMIF('NFI Distributions'!AW$53:AW$1048576,Table10[[#This Row],[Pcode]],'NFI Distributions'!AN$53:AN$1048576)</f>
        <v>0</v>
      </c>
      <c r="J128" s="106">
        <f ca="1">MAX(Table10[[#This Row],[HH]]*VLOOKUP("Winter Clothes Adult",NFI,6)-Table10[[#This Row],[Winter Clothes Adult ]],0)</f>
        <v>94</v>
      </c>
      <c r="K128" s="106">
        <f ca="1">MAX(Table10[[#This Row],[HH]]*VLOOKUP("Winter Clothes Children ",NFI,6)-Table10[[#This Row],[Winter Clothes Children ]],0)</f>
        <v>47</v>
      </c>
      <c r="L128" s="106">
        <f ca="1">MAX(Table10[[#This Row],[HH]]*VLOOKUP("Winter Items Other ",NFI,6)-Table10[[#This Row],[Winter Items Other ]],0)</f>
        <v>47</v>
      </c>
      <c r="M128" s="114" t="str">
        <f>IF(OR(Table10[[#This Row],[Winter Clothes Adult ]]&lt;&gt;0,Table10[[#This Row],[Winter Clothes Children ]]&lt;&gt;0,Table10[[#This Row],[Winter Items Other ]]&lt;&gt;0),"No","")</f>
        <v/>
      </c>
      <c r="N128" s="115">
        <f>COUNTIF(A:A,Table10[[#This Row],[Pcode]])-1</f>
        <v>0</v>
      </c>
    </row>
    <row r="129" spans="1:14" x14ac:dyDescent="0.3">
      <c r="A129" s="102" t="s">
        <v>182</v>
      </c>
      <c r="B129" s="7" t="e">
        <f ca="1">OFFSET(#REF!,MATCH(Table10[[#This Row],[Pcode]],CampList[CP_Pcode],0)-1,0,1,1)</f>
        <v>#REF!</v>
      </c>
      <c r="C129" s="7" t="str">
        <f ca="1">OFFSET(CampList[Camp],MATCH(Table10[[#This Row],[Pcode]],CampList[CP_Pcode],0)-1,0,1,1)</f>
        <v>Nant Mun</v>
      </c>
      <c r="D129" s="7" t="str">
        <f ca="1">OFFSET(CampList[Township],MATCH(Table10[[#This Row],[Pcode]],CampList[CP_Pcode],0)-1,0,1,1)</f>
        <v>Mohnyin</v>
      </c>
      <c r="E129" s="106">
        <f ca="1">OFFSET(CampList[HH],MATCH(Table10[[#This Row],[Pcode]],CampList[CP_Pcode],0)-1,0,1,1)</f>
        <v>0</v>
      </c>
      <c r="F129" s="106">
        <f ca="1">OFFSET(CampList[Total],MATCH(Table10[[#This Row],[Pcode]],CampList[CP_Pcode],0)-1,0,1,1)</f>
        <v>0</v>
      </c>
      <c r="G129" s="106">
        <f>SUMIF('NFI Distributions'!AW$53:AW$1048576,Table10[[#This Row],[Pcode]],'NFI Distributions'!AL$53:AL$1048576)</f>
        <v>0</v>
      </c>
      <c r="H129" s="106">
        <f>SUMIF('NFI Distributions'!AW$53:AW$1048576,Table10[[#This Row],[Pcode]],'NFI Distributions'!AM$53:AM$1048576)</f>
        <v>0</v>
      </c>
      <c r="I129" s="106">
        <f>SUMIF('NFI Distributions'!AW$53:AW$1048576,Table10[[#This Row],[Pcode]],'NFI Distributions'!AN$53:AN$1048576)</f>
        <v>0</v>
      </c>
      <c r="J129" s="106">
        <f ca="1">MAX(Table10[[#This Row],[HH]]*VLOOKUP("Winter Clothes Adult",NFI,6)-Table10[[#This Row],[Winter Clothes Adult ]],0)</f>
        <v>0</v>
      </c>
      <c r="K129" s="106">
        <f ca="1">MAX(Table10[[#This Row],[HH]]*VLOOKUP("Winter Clothes Children ",NFI,6)-Table10[[#This Row],[Winter Clothes Children ]],0)</f>
        <v>0</v>
      </c>
      <c r="L129" s="106">
        <f ca="1">MAX(Table10[[#This Row],[HH]]*VLOOKUP("Winter Items Other ",NFI,6)-Table10[[#This Row],[Winter Items Other ]],0)</f>
        <v>0</v>
      </c>
      <c r="M129" s="114" t="str">
        <f>IF(OR(Table10[[#This Row],[Winter Clothes Adult ]]&lt;&gt;0,Table10[[#This Row],[Winter Clothes Children ]]&lt;&gt;0,Table10[[#This Row],[Winter Items Other ]]&lt;&gt;0),"No","")</f>
        <v/>
      </c>
      <c r="N129" s="115">
        <f>COUNTIF(A:A,Table10[[#This Row],[Pcode]])-1</f>
        <v>0</v>
      </c>
    </row>
    <row r="130" spans="1:14" x14ac:dyDescent="0.3">
      <c r="A130" s="102" t="s">
        <v>772</v>
      </c>
      <c r="B130" s="7" t="e">
        <f ca="1">OFFSET(#REF!,MATCH(Table10[[#This Row],[Pcode]],CampList[CP_Pcode],0)-1,0,1,1)</f>
        <v>#REF!</v>
      </c>
      <c r="C130" s="7" t="str">
        <f ca="1">OFFSET(CampList[Camp],MATCH(Table10[[#This Row],[Pcode]],CampList[CP_Pcode],0)-1,0,1,1)</f>
        <v>Narte</v>
      </c>
      <c r="D130" s="7" t="str">
        <f ca="1">OFFSET(CampList[Township],MATCH(Table10[[#This Row],[Pcode]],CampList[CP_Pcode],0)-1,0,1,1)</f>
        <v>Hseni</v>
      </c>
      <c r="E130" s="106">
        <f ca="1">OFFSET(CampList[HH],MATCH(Table10[[#This Row],[Pcode]],CampList[CP_Pcode],0)-1,0,1,1)</f>
        <v>67</v>
      </c>
      <c r="F130" s="106">
        <f ca="1">OFFSET(CampList[Total],MATCH(Table10[[#This Row],[Pcode]],CampList[CP_Pcode],0)-1,0,1,1)</f>
        <v>392</v>
      </c>
      <c r="G130" s="106">
        <f>SUMIF('NFI Distributions'!AW$53:AW$1048576,Table10[[#This Row],[Pcode]],'NFI Distributions'!AL$53:AL$1048576)</f>
        <v>0</v>
      </c>
      <c r="H130" s="106">
        <f>SUMIF('NFI Distributions'!AW$53:AW$1048576,Table10[[#This Row],[Pcode]],'NFI Distributions'!AM$53:AM$1048576)</f>
        <v>0</v>
      </c>
      <c r="I130" s="106">
        <f>SUMIF('NFI Distributions'!AW$53:AW$1048576,Table10[[#This Row],[Pcode]],'NFI Distributions'!AN$53:AN$1048576)</f>
        <v>0</v>
      </c>
      <c r="J130" s="106">
        <f ca="1">MAX(Table10[[#This Row],[HH]]*VLOOKUP("Winter Clothes Adult",NFI,6)-Table10[[#This Row],[Winter Clothes Adult ]],0)</f>
        <v>134</v>
      </c>
      <c r="K130" s="106">
        <f ca="1">MAX(Table10[[#This Row],[HH]]*VLOOKUP("Winter Clothes Children ",NFI,6)-Table10[[#This Row],[Winter Clothes Children ]],0)</f>
        <v>67</v>
      </c>
      <c r="L130" s="106">
        <f ca="1">MAX(Table10[[#This Row],[HH]]*VLOOKUP("Winter Items Other ",NFI,6)-Table10[[#This Row],[Winter Items Other ]],0)</f>
        <v>67</v>
      </c>
      <c r="M130" s="114" t="str">
        <f>IF(OR(Table10[[#This Row],[Winter Clothes Adult ]]&lt;&gt;0,Table10[[#This Row],[Winter Clothes Children ]]&lt;&gt;0,Table10[[#This Row],[Winter Items Other ]]&lt;&gt;0),"No","")</f>
        <v/>
      </c>
      <c r="N130" s="115">
        <f>COUNTIF(A:A,Table10[[#This Row],[Pcode]])-1</f>
        <v>0</v>
      </c>
    </row>
    <row r="131" spans="1:14" x14ac:dyDescent="0.3">
      <c r="A131" s="102" t="s">
        <v>177</v>
      </c>
      <c r="B131" s="7" t="e">
        <f ca="1">OFFSET(#REF!,MATCH(Table10[[#This Row],[Pcode]],CampList[CP_Pcode],0)-1,0,1,1)</f>
        <v>#REF!</v>
      </c>
      <c r="C131" s="7" t="str">
        <f ca="1">OFFSET(CampList[Camp],MATCH(Table10[[#This Row],[Pcode]],CampList[CP_Pcode],0)-1,0,1,1)</f>
        <v xml:space="preserve">Nat Gyi Kone Baptist Church </v>
      </c>
      <c r="D131" s="7" t="str">
        <f ca="1">OFFSET(CampList[Township],MATCH(Table10[[#This Row],[Pcode]],CampList[CP_Pcode],0)-1,0,1,1)</f>
        <v>Mogaung</v>
      </c>
      <c r="E131" s="106">
        <f ca="1">OFFSET(CampList[HH],MATCH(Table10[[#This Row],[Pcode]],CampList[CP_Pcode],0)-1,0,1,1)</f>
        <v>10</v>
      </c>
      <c r="F131" s="106">
        <f ca="1">OFFSET(CampList[Total],MATCH(Table10[[#This Row],[Pcode]],CampList[CP_Pcode],0)-1,0,1,1)</f>
        <v>43</v>
      </c>
      <c r="G131" s="106">
        <f>SUMIF('NFI Distributions'!AW$53:AW$1048576,Table10[[#This Row],[Pcode]],'NFI Distributions'!AL$53:AL$1048576)</f>
        <v>0</v>
      </c>
      <c r="H131" s="106">
        <f>SUMIF('NFI Distributions'!AW$53:AW$1048576,Table10[[#This Row],[Pcode]],'NFI Distributions'!AM$53:AM$1048576)</f>
        <v>0</v>
      </c>
      <c r="I131" s="106">
        <f>SUMIF('NFI Distributions'!AW$53:AW$1048576,Table10[[#This Row],[Pcode]],'NFI Distributions'!AN$53:AN$1048576)</f>
        <v>0</v>
      </c>
      <c r="J131" s="106">
        <f ca="1">MAX(Table10[[#This Row],[HH]]*VLOOKUP("Winter Clothes Adult",NFI,6)-Table10[[#This Row],[Winter Clothes Adult ]],0)</f>
        <v>20</v>
      </c>
      <c r="K131" s="106">
        <f ca="1">MAX(Table10[[#This Row],[HH]]*VLOOKUP("Winter Clothes Children ",NFI,6)-Table10[[#This Row],[Winter Clothes Children ]],0)</f>
        <v>10</v>
      </c>
      <c r="L131" s="106">
        <f ca="1">MAX(Table10[[#This Row],[HH]]*VLOOKUP("Winter Items Other ",NFI,6)-Table10[[#This Row],[Winter Items Other ]],0)</f>
        <v>10</v>
      </c>
      <c r="M131" s="114" t="str">
        <f>IF(OR(Table10[[#This Row],[Winter Clothes Adult ]]&lt;&gt;0,Table10[[#This Row],[Winter Clothes Children ]]&lt;&gt;0,Table10[[#This Row],[Winter Items Other ]]&lt;&gt;0),"No","")</f>
        <v/>
      </c>
      <c r="N131" s="115">
        <f>COUNTIF(A:A,Table10[[#This Row],[Pcode]])-1</f>
        <v>0</v>
      </c>
    </row>
    <row r="132" spans="1:14" x14ac:dyDescent="0.3">
      <c r="A132" s="102" t="s">
        <v>341</v>
      </c>
      <c r="B132" s="7" t="e">
        <f ca="1">OFFSET(#REF!,MATCH(Table10[[#This Row],[Pcode]],CampList[CP_Pcode],0)-1,0,1,1)</f>
        <v>#REF!</v>
      </c>
      <c r="C132" s="7" t="str">
        <f ca="1">OFFSET(CampList[Camp],MATCH(Table10[[#This Row],[Pcode]],CampList[CP_Pcode],0)-1,0,1,1)</f>
        <v>Nawng Hee Village</v>
      </c>
      <c r="D132" s="7" t="str">
        <f ca="1">OFFSET(CampList[Township],MATCH(Table10[[#This Row],[Pcode]],CampList[CP_Pcode],0)-1,0,1,1)</f>
        <v>Waingmaw</v>
      </c>
      <c r="E132" s="106">
        <f ca="1">OFFSET(CampList[HH],MATCH(Table10[[#This Row],[Pcode]],CampList[CP_Pcode],0)-1,0,1,1)</f>
        <v>19</v>
      </c>
      <c r="F132" s="106">
        <f ca="1">OFFSET(CampList[Total],MATCH(Table10[[#This Row],[Pcode]],CampList[CP_Pcode],0)-1,0,1,1)</f>
        <v>82</v>
      </c>
      <c r="G132" s="106">
        <f>SUMIF('NFI Distributions'!AW$53:AW$1048576,Table10[[#This Row],[Pcode]],'NFI Distributions'!AL$53:AL$1048576)</f>
        <v>0</v>
      </c>
      <c r="H132" s="106">
        <f>SUMIF('NFI Distributions'!AW$53:AW$1048576,Table10[[#This Row],[Pcode]],'NFI Distributions'!AM$53:AM$1048576)</f>
        <v>0</v>
      </c>
      <c r="I132" s="106">
        <f>SUMIF('NFI Distributions'!AW$53:AW$1048576,Table10[[#This Row],[Pcode]],'NFI Distributions'!AN$53:AN$1048576)</f>
        <v>0</v>
      </c>
      <c r="J132" s="106">
        <f ca="1">MAX(Table10[[#This Row],[HH]]*VLOOKUP("Winter Clothes Adult",NFI,6)-Table10[[#This Row],[Winter Clothes Adult ]],0)</f>
        <v>38</v>
      </c>
      <c r="K132" s="106">
        <f ca="1">MAX(Table10[[#This Row],[HH]]*VLOOKUP("Winter Clothes Children ",NFI,6)-Table10[[#This Row],[Winter Clothes Children ]],0)</f>
        <v>19</v>
      </c>
      <c r="L132" s="106">
        <f ca="1">MAX(Table10[[#This Row],[HH]]*VLOOKUP("Winter Items Other ",NFI,6)-Table10[[#This Row],[Winter Items Other ]],0)</f>
        <v>19</v>
      </c>
      <c r="M132" s="114" t="str">
        <f>IF(OR(Table10[[#This Row],[Winter Clothes Adult ]]&lt;&gt;0,Table10[[#This Row],[Winter Clothes Children ]]&lt;&gt;0,Table10[[#This Row],[Winter Items Other ]]&lt;&gt;0),"No","")</f>
        <v/>
      </c>
      <c r="N132" s="115">
        <f>COUNTIF(A:A,Table10[[#This Row],[Pcode]])-1</f>
        <v>0</v>
      </c>
    </row>
    <row r="133" spans="1:14" x14ac:dyDescent="0.3">
      <c r="A133" s="102" t="s">
        <v>285</v>
      </c>
      <c r="B133" s="7" t="e">
        <f ca="1">OFFSET(#REF!,MATCH(Table10[[#This Row],[Pcode]],CampList[CP_Pcode],0)-1,0,1,1)</f>
        <v>#REF!</v>
      </c>
      <c r="C133" s="7" t="str">
        <f ca="1">OFFSET(CampList[Camp],MATCH(Table10[[#This Row],[Pcode]],CampList[CP_Pcode],0)-1,0,1,1)</f>
        <v xml:space="preserve">Nawng Ing (Indawgyi) Baptist Church  </v>
      </c>
      <c r="D133" s="7" t="str">
        <f ca="1">OFFSET(CampList[Township],MATCH(Table10[[#This Row],[Pcode]],CampList[CP_Pcode],0)-1,0,1,1)</f>
        <v>Mohnyin</v>
      </c>
      <c r="E133" s="106">
        <f ca="1">OFFSET(CampList[HH],MATCH(Table10[[#This Row],[Pcode]],CampList[CP_Pcode],0)-1,0,1,1)</f>
        <v>26</v>
      </c>
      <c r="F133" s="106">
        <f ca="1">OFFSET(CampList[Total],MATCH(Table10[[#This Row],[Pcode]],CampList[CP_Pcode],0)-1,0,1,1)</f>
        <v>117</v>
      </c>
      <c r="G133" s="106">
        <f>SUMIF('NFI Distributions'!AW$53:AW$1048576,Table10[[#This Row],[Pcode]],'NFI Distributions'!AL$53:AL$1048576)</f>
        <v>0</v>
      </c>
      <c r="H133" s="106">
        <f>SUMIF('NFI Distributions'!AW$53:AW$1048576,Table10[[#This Row],[Pcode]],'NFI Distributions'!AM$53:AM$1048576)</f>
        <v>0</v>
      </c>
      <c r="I133" s="106">
        <f>SUMIF('NFI Distributions'!AW$53:AW$1048576,Table10[[#This Row],[Pcode]],'NFI Distributions'!AN$53:AN$1048576)</f>
        <v>0</v>
      </c>
      <c r="J133" s="106">
        <f ca="1">MAX(Table10[[#This Row],[HH]]*VLOOKUP("Winter Clothes Adult",NFI,6)-Table10[[#This Row],[Winter Clothes Adult ]],0)</f>
        <v>52</v>
      </c>
      <c r="K133" s="106">
        <f ca="1">MAX(Table10[[#This Row],[HH]]*VLOOKUP("Winter Clothes Children ",NFI,6)-Table10[[#This Row],[Winter Clothes Children ]],0)</f>
        <v>26</v>
      </c>
      <c r="L133" s="106">
        <f ca="1">MAX(Table10[[#This Row],[HH]]*VLOOKUP("Winter Items Other ",NFI,6)-Table10[[#This Row],[Winter Items Other ]],0)</f>
        <v>26</v>
      </c>
      <c r="M133" s="114" t="str">
        <f>IF(OR(Table10[[#This Row],[Winter Clothes Adult ]]&lt;&gt;0,Table10[[#This Row],[Winter Clothes Children ]]&lt;&gt;0,Table10[[#This Row],[Winter Items Other ]]&lt;&gt;0),"No","")</f>
        <v/>
      </c>
      <c r="N133" s="115">
        <f>COUNTIF(A:A,Table10[[#This Row],[Pcode]])-1</f>
        <v>0</v>
      </c>
    </row>
    <row r="134" spans="1:14" x14ac:dyDescent="0.3">
      <c r="A134" s="102" t="s">
        <v>216</v>
      </c>
      <c r="B134" s="7" t="e">
        <f ca="1">OFFSET(#REF!,MATCH(Table10[[#This Row],[Pcode]],CampList[CP_Pcode],0)-1,0,1,1)</f>
        <v>#REF!</v>
      </c>
      <c r="C134" s="7" t="str">
        <f ca="1">OFFSET(CampList[Camp],MATCH(Table10[[#This Row],[Pcode]],CampList[CP_Pcode],0)-1,0,1,1)</f>
        <v>Ni Thaw Ka Monestry</v>
      </c>
      <c r="D134" s="7" t="str">
        <f ca="1">OFFSET(CampList[Township],MATCH(Table10[[#This Row],[Pcode]],CampList[CP_Pcode],0)-1,0,1,1)</f>
        <v>Momauk</v>
      </c>
      <c r="E134" s="106">
        <f ca="1">OFFSET(CampList[HH],MATCH(Table10[[#This Row],[Pcode]],CampList[CP_Pcode],0)-1,0,1,1)</f>
        <v>0</v>
      </c>
      <c r="F134" s="106">
        <f ca="1">OFFSET(CampList[Total],MATCH(Table10[[#This Row],[Pcode]],CampList[CP_Pcode],0)-1,0,1,1)</f>
        <v>0</v>
      </c>
      <c r="G134" s="106">
        <f>SUMIF('NFI Distributions'!AW$53:AW$1048576,Table10[[#This Row],[Pcode]],'NFI Distributions'!AL$53:AL$1048576)</f>
        <v>0</v>
      </c>
      <c r="H134" s="106">
        <f>SUMIF('NFI Distributions'!AW$53:AW$1048576,Table10[[#This Row],[Pcode]],'NFI Distributions'!AM$53:AM$1048576)</f>
        <v>0</v>
      </c>
      <c r="I134" s="106">
        <f>SUMIF('NFI Distributions'!AW$53:AW$1048576,Table10[[#This Row],[Pcode]],'NFI Distributions'!AN$53:AN$1048576)</f>
        <v>0</v>
      </c>
      <c r="J134" s="106">
        <f ca="1">MAX(Table10[[#This Row],[HH]]*VLOOKUP("Winter Clothes Adult",NFI,6)-Table10[[#This Row],[Winter Clothes Adult ]],0)</f>
        <v>0</v>
      </c>
      <c r="K134" s="106">
        <f ca="1">MAX(Table10[[#This Row],[HH]]*VLOOKUP("Winter Clothes Children ",NFI,6)-Table10[[#This Row],[Winter Clothes Children ]],0)</f>
        <v>0</v>
      </c>
      <c r="L134" s="106">
        <f ca="1">MAX(Table10[[#This Row],[HH]]*VLOOKUP("Winter Items Other ",NFI,6)-Table10[[#This Row],[Winter Items Other ]],0)</f>
        <v>0</v>
      </c>
      <c r="M134" s="114" t="str">
        <f>IF(OR(Table10[[#This Row],[Winter Clothes Adult ]]&lt;&gt;0,Table10[[#This Row],[Winter Clothes Children ]]&lt;&gt;0,Table10[[#This Row],[Winter Items Other ]]&lt;&gt;0),"No","")</f>
        <v/>
      </c>
      <c r="N134" s="115">
        <f>COUNTIF(A:A,Table10[[#This Row],[Pcode]])-1</f>
        <v>0</v>
      </c>
    </row>
    <row r="135" spans="1:14" x14ac:dyDescent="0.3">
      <c r="A135" s="102" t="s">
        <v>267</v>
      </c>
      <c r="B135" s="7" t="e">
        <f ca="1">OFFSET(#REF!,MATCH(Table10[[#This Row],[Pcode]],CampList[CP_Pcode],0)-1,0,1,1)</f>
        <v>#REF!</v>
      </c>
      <c r="C135" s="7" t="str">
        <f ca="1">OFFSET(CampList[Camp],MATCH(Table10[[#This Row],[Pcode]],CampList[CP_Pcode],0)-1,0,1,1)</f>
        <v xml:space="preserve">Njang Dung Baptist Church </v>
      </c>
      <c r="D135" s="7" t="str">
        <f ca="1">OFFSET(CampList[Township],MATCH(Table10[[#This Row],[Pcode]],CampList[CP_Pcode],0)-1,0,1,1)</f>
        <v>Myitkyina</v>
      </c>
      <c r="E135" s="106">
        <f ca="1">OFFSET(CampList[HH],MATCH(Table10[[#This Row],[Pcode]],CampList[CP_Pcode],0)-1,0,1,1)</f>
        <v>67</v>
      </c>
      <c r="F135" s="106">
        <f ca="1">OFFSET(CampList[Total],MATCH(Table10[[#This Row],[Pcode]],CampList[CP_Pcode],0)-1,0,1,1)</f>
        <v>291</v>
      </c>
      <c r="G135" s="106">
        <f>SUMIF('NFI Distributions'!AW$53:AW$1048576,Table10[[#This Row],[Pcode]],'NFI Distributions'!AL$53:AL$1048576)</f>
        <v>0</v>
      </c>
      <c r="H135" s="106">
        <f>SUMIF('NFI Distributions'!AW$53:AW$1048576,Table10[[#This Row],[Pcode]],'NFI Distributions'!AM$53:AM$1048576)</f>
        <v>0</v>
      </c>
      <c r="I135" s="106">
        <f>SUMIF('NFI Distributions'!AW$53:AW$1048576,Table10[[#This Row],[Pcode]],'NFI Distributions'!AN$53:AN$1048576)</f>
        <v>0</v>
      </c>
      <c r="J135" s="106">
        <f ca="1">MAX(Table10[[#This Row],[HH]]*VLOOKUP("Winter Clothes Adult",NFI,6)-Table10[[#This Row],[Winter Clothes Adult ]],0)</f>
        <v>134</v>
      </c>
      <c r="K135" s="106">
        <f ca="1">MAX(Table10[[#This Row],[HH]]*VLOOKUP("Winter Clothes Children ",NFI,6)-Table10[[#This Row],[Winter Clothes Children ]],0)</f>
        <v>67</v>
      </c>
      <c r="L135" s="106">
        <f ca="1">MAX(Table10[[#This Row],[HH]]*VLOOKUP("Winter Items Other ",NFI,6)-Table10[[#This Row],[Winter Items Other ]],0)</f>
        <v>67</v>
      </c>
      <c r="M135" s="114" t="str">
        <f>IF(OR(Table10[[#This Row],[Winter Clothes Adult ]]&lt;&gt;0,Table10[[#This Row],[Winter Clothes Children ]]&lt;&gt;0,Table10[[#This Row],[Winter Items Other ]]&lt;&gt;0),"No","")</f>
        <v/>
      </c>
      <c r="N135" s="115">
        <f>COUNTIF(A:A,Table10[[#This Row],[Pcode]])-1</f>
        <v>0</v>
      </c>
    </row>
    <row r="136" spans="1:14" x14ac:dyDescent="0.3">
      <c r="A136" s="102" t="s">
        <v>271</v>
      </c>
      <c r="B136" s="7" t="e">
        <f ca="1">OFFSET(#REF!,MATCH(Table10[[#This Row],[Pcode]],CampList[CP_Pcode],0)-1,0,1,1)</f>
        <v>#REF!</v>
      </c>
      <c r="C136" s="7" t="str">
        <f ca="1">OFFSET(CampList[Camp],MATCH(Table10[[#This Row],[Pcode]],CampList[CP_Pcode],0)-1,0,1,1)</f>
        <v>Pa Dauk Myaing(Pa La Na)</v>
      </c>
      <c r="D136" s="7" t="str">
        <f ca="1">OFFSET(CampList[Township],MATCH(Table10[[#This Row],[Pcode]],CampList[CP_Pcode],0)-1,0,1,1)</f>
        <v>Myitkyina</v>
      </c>
      <c r="E136" s="106">
        <f ca="1">OFFSET(CampList[HH],MATCH(Table10[[#This Row],[Pcode]],CampList[CP_Pcode],0)-1,0,1,1)</f>
        <v>149</v>
      </c>
      <c r="F136" s="106">
        <f ca="1">OFFSET(CampList[Total],MATCH(Table10[[#This Row],[Pcode]],CampList[CP_Pcode],0)-1,0,1,1)</f>
        <v>885</v>
      </c>
      <c r="G136" s="106">
        <f>SUMIF('NFI Distributions'!AW$53:AW$1048576,Table10[[#This Row],[Pcode]],'NFI Distributions'!AL$53:AL$1048576)</f>
        <v>0</v>
      </c>
      <c r="H136" s="106">
        <f>SUMIF('NFI Distributions'!AW$53:AW$1048576,Table10[[#This Row],[Pcode]],'NFI Distributions'!AM$53:AM$1048576)</f>
        <v>0</v>
      </c>
      <c r="I136" s="106">
        <f>SUMIF('NFI Distributions'!AW$53:AW$1048576,Table10[[#This Row],[Pcode]],'NFI Distributions'!AN$53:AN$1048576)</f>
        <v>0</v>
      </c>
      <c r="J136" s="106">
        <f ca="1">MAX(Table10[[#This Row],[HH]]*VLOOKUP("Winter Clothes Adult",NFI,6)-Table10[[#This Row],[Winter Clothes Adult ]],0)</f>
        <v>298</v>
      </c>
      <c r="K136" s="106">
        <f ca="1">MAX(Table10[[#This Row],[HH]]*VLOOKUP("Winter Clothes Children ",NFI,6)-Table10[[#This Row],[Winter Clothes Children ]],0)</f>
        <v>149</v>
      </c>
      <c r="L136" s="106">
        <f ca="1">MAX(Table10[[#This Row],[HH]]*VLOOKUP("Winter Items Other ",NFI,6)-Table10[[#This Row],[Winter Items Other ]],0)</f>
        <v>149</v>
      </c>
      <c r="M136" s="114" t="str">
        <f>IF(OR(Table10[[#This Row],[Winter Clothes Adult ]]&lt;&gt;0,Table10[[#This Row],[Winter Clothes Children ]]&lt;&gt;0,Table10[[#This Row],[Winter Items Other ]]&lt;&gt;0),"No","")</f>
        <v/>
      </c>
      <c r="N136" s="115">
        <f>COUNTIF(A:A,Table10[[#This Row],[Pcode]])-1</f>
        <v>0</v>
      </c>
    </row>
    <row r="137" spans="1:14" x14ac:dyDescent="0.3">
      <c r="A137" s="102" t="s">
        <v>374</v>
      </c>
      <c r="B137" s="7" t="e">
        <f ca="1">OFFSET(#REF!,MATCH(Table10[[#This Row],[Pcode]],CampList[CP_Pcode],0)-1,0,1,1)</f>
        <v>#REF!</v>
      </c>
      <c r="C137" s="7" t="str">
        <f ca="1">OFFSET(CampList[Camp],MATCH(Table10[[#This Row],[Pcode]],CampList[CP_Pcode],0)-1,0,1,1)</f>
        <v>Phan Khar Kone</v>
      </c>
      <c r="D137" s="7" t="str">
        <f ca="1">OFFSET(CampList[Township],MATCH(Table10[[#This Row],[Pcode]],CampList[CP_Pcode],0)-1,0,1,1)</f>
        <v>Bhamo</v>
      </c>
      <c r="E137" s="106">
        <f ca="1">OFFSET(CampList[HH],MATCH(Table10[[#This Row],[Pcode]],CampList[CP_Pcode],0)-1,0,1,1)</f>
        <v>147</v>
      </c>
      <c r="F137" s="106">
        <f ca="1">OFFSET(CampList[Total],MATCH(Table10[[#This Row],[Pcode]],CampList[CP_Pcode],0)-1,0,1,1)</f>
        <v>783</v>
      </c>
      <c r="G137" s="106">
        <f>SUMIF('NFI Distributions'!AW$53:AW$1048576,Table10[[#This Row],[Pcode]],'NFI Distributions'!AL$53:AL$1048576)</f>
        <v>0</v>
      </c>
      <c r="H137" s="106">
        <f>SUMIF('NFI Distributions'!AW$53:AW$1048576,Table10[[#This Row],[Pcode]],'NFI Distributions'!AM$53:AM$1048576)</f>
        <v>0</v>
      </c>
      <c r="I137" s="106">
        <f>SUMIF('NFI Distributions'!AW$53:AW$1048576,Table10[[#This Row],[Pcode]],'NFI Distributions'!AN$53:AN$1048576)</f>
        <v>0</v>
      </c>
      <c r="J137" s="106">
        <f ca="1">MAX(Table10[[#This Row],[HH]]*VLOOKUP("Winter Clothes Adult",NFI,6)-Table10[[#This Row],[Winter Clothes Adult ]],0)</f>
        <v>294</v>
      </c>
      <c r="K137" s="106">
        <f ca="1">MAX(Table10[[#This Row],[HH]]*VLOOKUP("Winter Clothes Children ",NFI,6)-Table10[[#This Row],[Winter Clothes Children ]],0)</f>
        <v>147</v>
      </c>
      <c r="L137" s="106">
        <f ca="1">MAX(Table10[[#This Row],[HH]]*VLOOKUP("Winter Items Other ",NFI,6)-Table10[[#This Row],[Winter Items Other ]],0)</f>
        <v>147</v>
      </c>
      <c r="M137" s="114" t="str">
        <f>IF(OR(Table10[[#This Row],[Winter Clothes Adult ]]&lt;&gt;0,Table10[[#This Row],[Winter Clothes Children ]]&lt;&gt;0,Table10[[#This Row],[Winter Items Other ]]&lt;&gt;0),"No","")</f>
        <v/>
      </c>
      <c r="N137" s="115">
        <f>COUNTIF(A:A,Table10[[#This Row],[Pcode]])-1</f>
        <v>0</v>
      </c>
    </row>
    <row r="138" spans="1:14" x14ac:dyDescent="0.3">
      <c r="A138" s="102" t="s">
        <v>220</v>
      </c>
      <c r="B138" s="7" t="e">
        <f ca="1">OFFSET(#REF!,MATCH(Table10[[#This Row],[Pcode]],CampList[CP_Pcode],0)-1,0,1,1)</f>
        <v>#REF!</v>
      </c>
      <c r="C138" s="7" t="str">
        <f ca="1">OFFSET(CampList[Camp],MATCH(Table10[[#This Row],[Pcode]],CampList[CP_Pcode],0)-1,0,1,1)</f>
        <v xml:space="preserve">Phar Kay/Nant Waing </v>
      </c>
      <c r="D138" s="7" t="str">
        <f ca="1">OFFSET(CampList[Township],MATCH(Table10[[#This Row],[Pcode]],CampList[CP_Pcode],0)-1,0,1,1)</f>
        <v>Momauk</v>
      </c>
      <c r="E138" s="106">
        <f ca="1">OFFSET(CampList[HH],MATCH(Table10[[#This Row],[Pcode]],CampList[CP_Pcode],0)-1,0,1,1)</f>
        <v>0</v>
      </c>
      <c r="F138" s="106">
        <f ca="1">OFFSET(CampList[Total],MATCH(Table10[[#This Row],[Pcode]],CampList[CP_Pcode],0)-1,0,1,1)</f>
        <v>0</v>
      </c>
      <c r="G138" s="106">
        <f>SUMIF('NFI Distributions'!AW$53:AW$1048576,Table10[[#This Row],[Pcode]],'NFI Distributions'!AL$53:AL$1048576)</f>
        <v>0</v>
      </c>
      <c r="H138" s="106">
        <f>SUMIF('NFI Distributions'!AW$53:AW$1048576,Table10[[#This Row],[Pcode]],'NFI Distributions'!AM$53:AM$1048576)</f>
        <v>0</v>
      </c>
      <c r="I138" s="106">
        <f>SUMIF('NFI Distributions'!AW$53:AW$1048576,Table10[[#This Row],[Pcode]],'NFI Distributions'!AN$53:AN$1048576)</f>
        <v>0</v>
      </c>
      <c r="J138" s="106">
        <f ca="1">MAX(Table10[[#This Row],[HH]]*VLOOKUP("Winter Clothes Adult",NFI,6)-Table10[[#This Row],[Winter Clothes Adult ]],0)</f>
        <v>0</v>
      </c>
      <c r="K138" s="106">
        <f ca="1">MAX(Table10[[#This Row],[HH]]*VLOOKUP("Winter Clothes Children ",NFI,6)-Table10[[#This Row],[Winter Clothes Children ]],0)</f>
        <v>0</v>
      </c>
      <c r="L138" s="106">
        <f ca="1">MAX(Table10[[#This Row],[HH]]*VLOOKUP("Winter Items Other ",NFI,6)-Table10[[#This Row],[Winter Items Other ]],0)</f>
        <v>0</v>
      </c>
      <c r="M138" s="114" t="str">
        <f>IF(OR(Table10[[#This Row],[Winter Clothes Adult ]]&lt;&gt;0,Table10[[#This Row],[Winter Clothes Children ]]&lt;&gt;0,Table10[[#This Row],[Winter Items Other ]]&lt;&gt;0),"No","")</f>
        <v/>
      </c>
      <c r="N138" s="115">
        <f>COUNTIF(A:A,Table10[[#This Row],[Pcode]])-1</f>
        <v>0</v>
      </c>
    </row>
    <row r="139" spans="1:14" x14ac:dyDescent="0.3">
      <c r="A139" s="102" t="s">
        <v>316</v>
      </c>
      <c r="B139" s="7" t="e">
        <f ca="1">OFFSET(#REF!,MATCH(Table10[[#This Row],[Pcode]],CampList[CP_Pcode],0)-1,0,1,1)</f>
        <v>#REF!</v>
      </c>
      <c r="C139" s="7" t="str">
        <f ca="1">OFFSET(CampList[Camp],MATCH(Table10[[#This Row],[Pcode]],CampList[CP_Pcode],0)-1,0,1,1)</f>
        <v>Qtr. 2 Lhaovo Baptist Church</v>
      </c>
      <c r="D139" s="7" t="str">
        <f ca="1">OFFSET(CampList[Township],MATCH(Table10[[#This Row],[Pcode]],CampList[CP_Pcode],0)-1,0,1,1)</f>
        <v>Waingmaw</v>
      </c>
      <c r="E139" s="106">
        <f ca="1">OFFSET(CampList[HH],MATCH(Table10[[#This Row],[Pcode]],CampList[CP_Pcode],0)-1,0,1,1)</f>
        <v>115</v>
      </c>
      <c r="F139" s="106">
        <f ca="1">OFFSET(CampList[Total],MATCH(Table10[[#This Row],[Pcode]],CampList[CP_Pcode],0)-1,0,1,1)</f>
        <v>493</v>
      </c>
      <c r="G139" s="106">
        <f>SUMIF('NFI Distributions'!AW$53:AW$1048576,Table10[[#This Row],[Pcode]],'NFI Distributions'!AL$53:AL$1048576)</f>
        <v>0</v>
      </c>
      <c r="H139" s="106">
        <f>SUMIF('NFI Distributions'!AW$53:AW$1048576,Table10[[#This Row],[Pcode]],'NFI Distributions'!AM$53:AM$1048576)</f>
        <v>0</v>
      </c>
      <c r="I139" s="106">
        <f>SUMIF('NFI Distributions'!AW$53:AW$1048576,Table10[[#This Row],[Pcode]],'NFI Distributions'!AN$53:AN$1048576)</f>
        <v>0</v>
      </c>
      <c r="J139" s="106">
        <f ca="1">MAX(Table10[[#This Row],[HH]]*VLOOKUP("Winter Clothes Adult",NFI,6)-Table10[[#This Row],[Winter Clothes Adult ]],0)</f>
        <v>230</v>
      </c>
      <c r="K139" s="106">
        <f ca="1">MAX(Table10[[#This Row],[HH]]*VLOOKUP("Winter Clothes Children ",NFI,6)-Table10[[#This Row],[Winter Clothes Children ]],0)</f>
        <v>115</v>
      </c>
      <c r="L139" s="106">
        <f ca="1">MAX(Table10[[#This Row],[HH]]*VLOOKUP("Winter Items Other ",NFI,6)-Table10[[#This Row],[Winter Items Other ]],0)</f>
        <v>115</v>
      </c>
      <c r="M139" s="114" t="str">
        <f>IF(OR(Table10[[#This Row],[Winter Clothes Adult ]]&lt;&gt;0,Table10[[#This Row],[Winter Clothes Children ]]&lt;&gt;0,Table10[[#This Row],[Winter Items Other ]]&lt;&gt;0),"No","")</f>
        <v/>
      </c>
      <c r="N139" s="115">
        <f>COUNTIF(A:A,Table10[[#This Row],[Pcode]])-1</f>
        <v>0</v>
      </c>
    </row>
    <row r="140" spans="1:14" x14ac:dyDescent="0.3">
      <c r="A140" s="102" t="s">
        <v>339</v>
      </c>
      <c r="B140" s="7" t="e">
        <f ca="1">OFFSET(#REF!,MATCH(Table10[[#This Row],[Pcode]],CampList[CP_Pcode],0)-1,0,1,1)</f>
        <v>#REF!</v>
      </c>
      <c r="C140" s="7" t="str">
        <f ca="1">OFFSET(CampList[Camp],MATCH(Table10[[#This Row],[Pcode]],CampList[CP_Pcode],0)-1,0,1,1)</f>
        <v>Qtr. 2 Myoma Baptist Church</v>
      </c>
      <c r="D140" s="7" t="str">
        <f ca="1">OFFSET(CampList[Township],MATCH(Table10[[#This Row],[Pcode]],CampList[CP_Pcode],0)-1,0,1,1)</f>
        <v>Waingmaw</v>
      </c>
      <c r="E140" s="106">
        <f ca="1">OFFSET(CampList[HH],MATCH(Table10[[#This Row],[Pcode]],CampList[CP_Pcode],0)-1,0,1,1)</f>
        <v>67</v>
      </c>
      <c r="F140" s="106">
        <f ca="1">OFFSET(CampList[Total],MATCH(Table10[[#This Row],[Pcode]],CampList[CP_Pcode],0)-1,0,1,1)</f>
        <v>341</v>
      </c>
      <c r="G140" s="106">
        <f>SUMIF('NFI Distributions'!AW$53:AW$1048576,Table10[[#This Row],[Pcode]],'NFI Distributions'!AL$53:AL$1048576)</f>
        <v>0</v>
      </c>
      <c r="H140" s="106">
        <f>SUMIF('NFI Distributions'!AW$53:AW$1048576,Table10[[#This Row],[Pcode]],'NFI Distributions'!AM$53:AM$1048576)</f>
        <v>0</v>
      </c>
      <c r="I140" s="106">
        <f>SUMIF('NFI Distributions'!AW$53:AW$1048576,Table10[[#This Row],[Pcode]],'NFI Distributions'!AN$53:AN$1048576)</f>
        <v>0</v>
      </c>
      <c r="J140" s="106">
        <f ca="1">MAX(Table10[[#This Row],[HH]]*VLOOKUP("Winter Clothes Adult",NFI,6)-Table10[[#This Row],[Winter Clothes Adult ]],0)</f>
        <v>134</v>
      </c>
      <c r="K140" s="106">
        <f ca="1">MAX(Table10[[#This Row],[HH]]*VLOOKUP("Winter Clothes Children ",NFI,6)-Table10[[#This Row],[Winter Clothes Children ]],0)</f>
        <v>67</v>
      </c>
      <c r="L140" s="106">
        <f ca="1">MAX(Table10[[#This Row],[HH]]*VLOOKUP("Winter Items Other ",NFI,6)-Table10[[#This Row],[Winter Items Other ]],0)</f>
        <v>67</v>
      </c>
      <c r="M140" s="114" t="str">
        <f>IF(OR(Table10[[#This Row],[Winter Clothes Adult ]]&lt;&gt;0,Table10[[#This Row],[Winter Clothes Children ]]&lt;&gt;0,Table10[[#This Row],[Winter Items Other ]]&lt;&gt;0),"No","")</f>
        <v/>
      </c>
      <c r="N140" s="115">
        <f>COUNTIF(A:A,Table10[[#This Row],[Pcode]])-1</f>
        <v>0</v>
      </c>
    </row>
    <row r="141" spans="1:14" x14ac:dyDescent="0.3">
      <c r="A141" s="102" t="s">
        <v>336</v>
      </c>
      <c r="B141" s="7" t="e">
        <f ca="1">OFFSET(#REF!,MATCH(Table10[[#This Row],[Pcode]],CampList[CP_Pcode],0)-1,0,1,1)</f>
        <v>#REF!</v>
      </c>
      <c r="C141" s="7" t="str">
        <f ca="1">OFFSET(CampList[Camp],MATCH(Table10[[#This Row],[Pcode]],CampList[CP_Pcode],0)-1,0,1,1)</f>
        <v>Qtr. 3 Mu-yin  Baptist Church</v>
      </c>
      <c r="D141" s="7" t="str">
        <f ca="1">OFFSET(CampList[Township],MATCH(Table10[[#This Row],[Pcode]],CampList[CP_Pcode],0)-1,0,1,1)</f>
        <v>Waingmaw</v>
      </c>
      <c r="E141" s="106">
        <f ca="1">OFFSET(CampList[HH],MATCH(Table10[[#This Row],[Pcode]],CampList[CP_Pcode],0)-1,0,1,1)</f>
        <v>36</v>
      </c>
      <c r="F141" s="106">
        <f ca="1">OFFSET(CampList[Total],MATCH(Table10[[#This Row],[Pcode]],CampList[CP_Pcode],0)-1,0,1,1)</f>
        <v>189</v>
      </c>
      <c r="G141" s="106">
        <f>SUMIF('NFI Distributions'!AW$53:AW$1048576,Table10[[#This Row],[Pcode]],'NFI Distributions'!AL$53:AL$1048576)</f>
        <v>0</v>
      </c>
      <c r="H141" s="106">
        <f>SUMIF('NFI Distributions'!AW$53:AW$1048576,Table10[[#This Row],[Pcode]],'NFI Distributions'!AM$53:AM$1048576)</f>
        <v>0</v>
      </c>
      <c r="I141" s="106">
        <f>SUMIF('NFI Distributions'!AW$53:AW$1048576,Table10[[#This Row],[Pcode]],'NFI Distributions'!AN$53:AN$1048576)</f>
        <v>0</v>
      </c>
      <c r="J141" s="106">
        <f ca="1">MAX(Table10[[#This Row],[HH]]*VLOOKUP("Winter Clothes Adult",NFI,6)-Table10[[#This Row],[Winter Clothes Adult ]],0)</f>
        <v>72</v>
      </c>
      <c r="K141" s="106">
        <f ca="1">MAX(Table10[[#This Row],[HH]]*VLOOKUP("Winter Clothes Children ",NFI,6)-Table10[[#This Row],[Winter Clothes Children ]],0)</f>
        <v>36</v>
      </c>
      <c r="L141" s="106">
        <f ca="1">MAX(Table10[[#This Row],[HH]]*VLOOKUP("Winter Items Other ",NFI,6)-Table10[[#This Row],[Winter Items Other ]],0)</f>
        <v>36</v>
      </c>
      <c r="M141" s="114" t="str">
        <f>IF(OR(Table10[[#This Row],[Winter Clothes Adult ]]&lt;&gt;0,Table10[[#This Row],[Winter Clothes Children ]]&lt;&gt;0,Table10[[#This Row],[Winter Items Other ]]&lt;&gt;0),"No","")</f>
        <v/>
      </c>
      <c r="N141" s="115">
        <f>COUNTIF(A:A,Table10[[#This Row],[Pcode]])-1</f>
        <v>0</v>
      </c>
    </row>
    <row r="142" spans="1:14" x14ac:dyDescent="0.3">
      <c r="A142" s="102" t="s">
        <v>348</v>
      </c>
      <c r="B142" s="7" t="e">
        <f ca="1">OFFSET(#REF!,MATCH(Table10[[#This Row],[Pcode]],CampList[CP_Pcode],0)-1,0,1,1)</f>
        <v>#REF!</v>
      </c>
      <c r="C142" s="7" t="str">
        <f ca="1">OFFSET(CampList[Camp],MATCH(Table10[[#This Row],[Pcode]],CampList[CP_Pcode],0)-1,0,1,1)</f>
        <v>Qtr. 4 Monestry (Thargaya Thayett Taw)</v>
      </c>
      <c r="D142" s="7" t="str">
        <f ca="1">OFFSET(CampList[Township],MATCH(Table10[[#This Row],[Pcode]],CampList[CP_Pcode],0)-1,0,1,1)</f>
        <v>Waingmaw</v>
      </c>
      <c r="E142" s="106">
        <f ca="1">OFFSET(CampList[HH],MATCH(Table10[[#This Row],[Pcode]],CampList[CP_Pcode],0)-1,0,1,1)</f>
        <v>92</v>
      </c>
      <c r="F142" s="106">
        <f ca="1">OFFSET(CampList[Total],MATCH(Table10[[#This Row],[Pcode]],CampList[CP_Pcode],0)-1,0,1,1)</f>
        <v>505</v>
      </c>
      <c r="G142" s="106">
        <f>SUMIF('NFI Distributions'!AW$53:AW$1048576,Table10[[#This Row],[Pcode]],'NFI Distributions'!AL$53:AL$1048576)</f>
        <v>0</v>
      </c>
      <c r="H142" s="106">
        <f>SUMIF('NFI Distributions'!AW$53:AW$1048576,Table10[[#This Row],[Pcode]],'NFI Distributions'!AM$53:AM$1048576)</f>
        <v>0</v>
      </c>
      <c r="I142" s="106">
        <f>SUMIF('NFI Distributions'!AW$53:AW$1048576,Table10[[#This Row],[Pcode]],'NFI Distributions'!AN$53:AN$1048576)</f>
        <v>0</v>
      </c>
      <c r="J142" s="106">
        <f ca="1">MAX(Table10[[#This Row],[HH]]*VLOOKUP("Winter Clothes Adult",NFI,6)-Table10[[#This Row],[Winter Clothes Adult ]],0)</f>
        <v>184</v>
      </c>
      <c r="K142" s="106">
        <f ca="1">MAX(Table10[[#This Row],[HH]]*VLOOKUP("Winter Clothes Children ",NFI,6)-Table10[[#This Row],[Winter Clothes Children ]],0)</f>
        <v>92</v>
      </c>
      <c r="L142" s="106">
        <f ca="1">MAX(Table10[[#This Row],[HH]]*VLOOKUP("Winter Items Other ",NFI,6)-Table10[[#This Row],[Winter Items Other ]],0)</f>
        <v>92</v>
      </c>
      <c r="M142" s="114" t="str">
        <f>IF(OR(Table10[[#This Row],[Winter Clothes Adult ]]&lt;&gt;0,Table10[[#This Row],[Winter Clothes Children ]]&lt;&gt;0,Table10[[#This Row],[Winter Items Other ]]&lt;&gt;0),"No","")</f>
        <v/>
      </c>
      <c r="N142" s="115">
        <f>COUNTIF(A:A,Table10[[#This Row],[Pcode]])-1</f>
        <v>0</v>
      </c>
    </row>
    <row r="143" spans="1:14" x14ac:dyDescent="0.3">
      <c r="A143" s="102" t="s">
        <v>117</v>
      </c>
      <c r="B143" s="7" t="e">
        <f ca="1">OFFSET(#REF!,MATCH(Table10[[#This Row],[Pcode]],CampList[CP_Pcode],0)-1,0,1,1)</f>
        <v>#REF!</v>
      </c>
      <c r="C143" s="7" t="str">
        <f ca="1">OFFSET(CampList[Camp],MATCH(Table10[[#This Row],[Pcode]],CampList[CP_Pcode],0)-1,0,1,1)</f>
        <v>Rawan Baptist Church, Maw Shan Vil., Seik Mu</v>
      </c>
      <c r="D143" s="7" t="str">
        <f ca="1">OFFSET(CampList[Township],MATCH(Table10[[#This Row],[Pcode]],CampList[CP_Pcode],0)-1,0,1,1)</f>
        <v>Hpakant</v>
      </c>
      <c r="E143" s="106">
        <f ca="1">OFFSET(CampList[HH],MATCH(Table10[[#This Row],[Pcode]],CampList[CP_Pcode],0)-1,0,1,1)</f>
        <v>10</v>
      </c>
      <c r="F143" s="106">
        <f ca="1">OFFSET(CampList[Total],MATCH(Table10[[#This Row],[Pcode]],CampList[CP_Pcode],0)-1,0,1,1)</f>
        <v>38</v>
      </c>
      <c r="G143" s="106">
        <f>SUMIF('NFI Distributions'!AW$53:AW$1048576,Table10[[#This Row],[Pcode]],'NFI Distributions'!AL$53:AL$1048576)</f>
        <v>0</v>
      </c>
      <c r="H143" s="106">
        <f>SUMIF('NFI Distributions'!AW$53:AW$1048576,Table10[[#This Row],[Pcode]],'NFI Distributions'!AM$53:AM$1048576)</f>
        <v>0</v>
      </c>
      <c r="I143" s="106">
        <f>SUMIF('NFI Distributions'!AW$53:AW$1048576,Table10[[#This Row],[Pcode]],'NFI Distributions'!AN$53:AN$1048576)</f>
        <v>0</v>
      </c>
      <c r="J143" s="106">
        <f ca="1">MAX(Table10[[#This Row],[HH]]*VLOOKUP("Winter Clothes Adult",NFI,6)-Table10[[#This Row],[Winter Clothes Adult ]],0)</f>
        <v>20</v>
      </c>
      <c r="K143" s="106">
        <f ca="1">MAX(Table10[[#This Row],[HH]]*VLOOKUP("Winter Clothes Children ",NFI,6)-Table10[[#This Row],[Winter Clothes Children ]],0)</f>
        <v>10</v>
      </c>
      <c r="L143" s="106">
        <f ca="1">MAX(Table10[[#This Row],[HH]]*VLOOKUP("Winter Items Other ",NFI,6)-Table10[[#This Row],[Winter Items Other ]],0)</f>
        <v>10</v>
      </c>
      <c r="M143" s="114" t="str">
        <f>IF(OR(Table10[[#This Row],[Winter Clothes Adult ]]&lt;&gt;0,Table10[[#This Row],[Winter Clothes Children ]]&lt;&gt;0,Table10[[#This Row],[Winter Items Other ]]&lt;&gt;0),"No","")</f>
        <v/>
      </c>
      <c r="N143" s="115">
        <f>COUNTIF(A:A,Table10[[#This Row],[Pcode]])-1</f>
        <v>0</v>
      </c>
    </row>
    <row r="144" spans="1:14" x14ac:dyDescent="0.3">
      <c r="A144" s="102" t="s">
        <v>21</v>
      </c>
      <c r="B144" s="7" t="e">
        <f ca="1">OFFSET(#REF!,MATCH(Table10[[#This Row],[Pcode]],CampList[CP_Pcode],0)-1,0,1,1)</f>
        <v>#REF!</v>
      </c>
      <c r="C144" s="7" t="str">
        <f ca="1">OFFSET(CampList[Camp],MATCH(Table10[[#This Row],[Pcode]],CampList[CP_Pcode],0)-1,0,1,1)</f>
        <v>Robert Church</v>
      </c>
      <c r="D144" s="7" t="str">
        <f ca="1">OFFSET(CampList[Township],MATCH(Table10[[#This Row],[Pcode]],CampList[CP_Pcode],0)-1,0,1,1)</f>
        <v>Bhamo</v>
      </c>
      <c r="E144" s="106">
        <f ca="1">OFFSET(CampList[HH],MATCH(Table10[[#This Row],[Pcode]],CampList[CP_Pcode],0)-1,0,1,1)</f>
        <v>641</v>
      </c>
      <c r="F144" s="106">
        <f ca="1">OFFSET(CampList[Total],MATCH(Table10[[#This Row],[Pcode]],CampList[CP_Pcode],0)-1,0,1,1)</f>
        <v>4027</v>
      </c>
      <c r="G144" s="106">
        <f>SUMIF('NFI Distributions'!AW$53:AW$1048576,Table10[[#This Row],[Pcode]],'NFI Distributions'!AL$53:AL$1048576)</f>
        <v>0</v>
      </c>
      <c r="H144" s="106">
        <f>SUMIF('NFI Distributions'!AW$53:AW$1048576,Table10[[#This Row],[Pcode]],'NFI Distributions'!AM$53:AM$1048576)</f>
        <v>0</v>
      </c>
      <c r="I144" s="106">
        <f>SUMIF('NFI Distributions'!AW$53:AW$1048576,Table10[[#This Row],[Pcode]],'NFI Distributions'!AN$53:AN$1048576)</f>
        <v>0</v>
      </c>
      <c r="J144" s="106">
        <f ca="1">MAX(Table10[[#This Row],[HH]]*VLOOKUP("Winter Clothes Adult",NFI,6)-Table10[[#This Row],[Winter Clothes Adult ]],0)</f>
        <v>1282</v>
      </c>
      <c r="K144" s="106">
        <f ca="1">MAX(Table10[[#This Row],[HH]]*VLOOKUP("Winter Clothes Children ",NFI,6)-Table10[[#This Row],[Winter Clothes Children ]],0)</f>
        <v>641</v>
      </c>
      <c r="L144" s="106">
        <f ca="1">MAX(Table10[[#This Row],[HH]]*VLOOKUP("Winter Items Other ",NFI,6)-Table10[[#This Row],[Winter Items Other ]],0)</f>
        <v>641</v>
      </c>
      <c r="M144" s="114" t="str">
        <f>IF(OR(Table10[[#This Row],[Winter Clothes Adult ]]&lt;&gt;0,Table10[[#This Row],[Winter Clothes Children ]]&lt;&gt;0,Table10[[#This Row],[Winter Items Other ]]&lt;&gt;0),"No","")</f>
        <v/>
      </c>
      <c r="N144" s="115">
        <f>COUNTIF(A:A,Table10[[#This Row],[Pcode]])-1</f>
        <v>0</v>
      </c>
    </row>
    <row r="145" spans="1:14" x14ac:dyDescent="0.3">
      <c r="A145" s="102" t="s">
        <v>123</v>
      </c>
      <c r="B145" s="7" t="e">
        <f ca="1">OFFSET(#REF!,MATCH(Table10[[#This Row],[Pcode]],CampList[CP_Pcode],0)-1,0,1,1)</f>
        <v>#REF!</v>
      </c>
      <c r="C145" s="7" t="str">
        <f ca="1">OFFSET(CampList[Camp],MATCH(Table10[[#This Row],[Pcode]],CampList[CP_Pcode],0)-1,0,1,1)</f>
        <v>Sai Nai Baptish Church, Maw Shan Vil., Seki Mu</v>
      </c>
      <c r="D145" s="7" t="str">
        <f ca="1">OFFSET(CampList[Township],MATCH(Table10[[#This Row],[Pcode]],CampList[CP_Pcode],0)-1,0,1,1)</f>
        <v>Hpakant</v>
      </c>
      <c r="E145" s="106">
        <f ca="1">OFFSET(CampList[HH],MATCH(Table10[[#This Row],[Pcode]],CampList[CP_Pcode],0)-1,0,1,1)</f>
        <v>8</v>
      </c>
      <c r="F145" s="106">
        <f ca="1">OFFSET(CampList[Total],MATCH(Table10[[#This Row],[Pcode]],CampList[CP_Pcode],0)-1,0,1,1)</f>
        <v>32</v>
      </c>
      <c r="G145" s="106">
        <f>SUMIF('NFI Distributions'!AW$53:AW$1048576,Table10[[#This Row],[Pcode]],'NFI Distributions'!AL$53:AL$1048576)</f>
        <v>0</v>
      </c>
      <c r="H145" s="106">
        <f>SUMIF('NFI Distributions'!AW$53:AW$1048576,Table10[[#This Row],[Pcode]],'NFI Distributions'!AM$53:AM$1048576)</f>
        <v>0</v>
      </c>
      <c r="I145" s="106">
        <f>SUMIF('NFI Distributions'!AW$53:AW$1048576,Table10[[#This Row],[Pcode]],'NFI Distributions'!AN$53:AN$1048576)</f>
        <v>0</v>
      </c>
      <c r="J145" s="106">
        <f ca="1">MAX(Table10[[#This Row],[HH]]*VLOOKUP("Winter Clothes Adult",NFI,6)-Table10[[#This Row],[Winter Clothes Adult ]],0)</f>
        <v>16</v>
      </c>
      <c r="K145" s="106">
        <f ca="1">MAX(Table10[[#This Row],[HH]]*VLOOKUP("Winter Clothes Children ",NFI,6)-Table10[[#This Row],[Winter Clothes Children ]],0)</f>
        <v>8</v>
      </c>
      <c r="L145" s="106">
        <f ca="1">MAX(Table10[[#This Row],[HH]]*VLOOKUP("Winter Items Other ",NFI,6)-Table10[[#This Row],[Winter Items Other ]],0)</f>
        <v>8</v>
      </c>
      <c r="M145" s="114" t="str">
        <f>IF(OR(Table10[[#This Row],[Winter Clothes Adult ]]&lt;&gt;0,Table10[[#This Row],[Winter Clothes Children ]]&lt;&gt;0,Table10[[#This Row],[Winter Items Other ]]&lt;&gt;0),"No","")</f>
        <v/>
      </c>
      <c r="N145" s="115">
        <f>COUNTIF(A:A,Table10[[#This Row],[Pcode]])-1</f>
        <v>0</v>
      </c>
    </row>
    <row r="146" spans="1:14" x14ac:dyDescent="0.3">
      <c r="A146" s="102" t="s">
        <v>275</v>
      </c>
      <c r="B146" s="7" t="e">
        <f ca="1">OFFSET(#REF!,MATCH(Table10[[#This Row],[Pcode]],CampList[CP_Pcode],0)-1,0,1,1)</f>
        <v>#REF!</v>
      </c>
      <c r="C146" s="7" t="str">
        <f ca="1">OFFSET(CampList[Camp],MATCH(Table10[[#This Row],[Pcode]],CampList[CP_Pcode],0)-1,0,1,1)</f>
        <v>Shatapru Sut Ngai Tawng</v>
      </c>
      <c r="D146" s="7" t="str">
        <f ca="1">OFFSET(CampList[Township],MATCH(Table10[[#This Row],[Pcode]],CampList[CP_Pcode],0)-1,0,1,1)</f>
        <v>Myitkyina</v>
      </c>
      <c r="E146" s="106">
        <f ca="1">OFFSET(CampList[HH],MATCH(Table10[[#This Row],[Pcode]],CampList[CP_Pcode],0)-1,0,1,1)</f>
        <v>124</v>
      </c>
      <c r="F146" s="106">
        <f ca="1">OFFSET(CampList[Total],MATCH(Table10[[#This Row],[Pcode]],CampList[CP_Pcode],0)-1,0,1,1)</f>
        <v>609</v>
      </c>
      <c r="G146" s="106">
        <f>SUMIF('NFI Distributions'!AW$53:AW$1048576,Table10[[#This Row],[Pcode]],'NFI Distributions'!AL$53:AL$1048576)</f>
        <v>0</v>
      </c>
      <c r="H146" s="106">
        <f>SUMIF('NFI Distributions'!AW$53:AW$1048576,Table10[[#This Row],[Pcode]],'NFI Distributions'!AM$53:AM$1048576)</f>
        <v>0</v>
      </c>
      <c r="I146" s="106">
        <f>SUMIF('NFI Distributions'!AW$53:AW$1048576,Table10[[#This Row],[Pcode]],'NFI Distributions'!AN$53:AN$1048576)</f>
        <v>0</v>
      </c>
      <c r="J146" s="106">
        <f ca="1">MAX(Table10[[#This Row],[HH]]*VLOOKUP("Winter Clothes Adult",NFI,6)-Table10[[#This Row],[Winter Clothes Adult ]],0)</f>
        <v>248</v>
      </c>
      <c r="K146" s="106">
        <f ca="1">MAX(Table10[[#This Row],[HH]]*VLOOKUP("Winter Clothes Children ",NFI,6)-Table10[[#This Row],[Winter Clothes Children ]],0)</f>
        <v>124</v>
      </c>
      <c r="L146" s="106">
        <f ca="1">MAX(Table10[[#This Row],[HH]]*VLOOKUP("Winter Items Other ",NFI,6)-Table10[[#This Row],[Winter Items Other ]],0)</f>
        <v>124</v>
      </c>
      <c r="M146" s="114" t="str">
        <f>IF(OR(Table10[[#This Row],[Winter Clothes Adult ]]&lt;&gt;0,Table10[[#This Row],[Winter Clothes Children ]]&lt;&gt;0,Table10[[#This Row],[Winter Items Other ]]&lt;&gt;0),"No","")</f>
        <v/>
      </c>
      <c r="N146" s="115">
        <f>COUNTIF(A:A,Table10[[#This Row],[Pcode]])-1</f>
        <v>0</v>
      </c>
    </row>
    <row r="147" spans="1:14" x14ac:dyDescent="0.3">
      <c r="A147" s="102" t="s">
        <v>277</v>
      </c>
      <c r="B147" s="7" t="e">
        <f ca="1">OFFSET(#REF!,MATCH(Table10[[#This Row],[Pcode]],CampList[CP_Pcode],0)-1,0,1,1)</f>
        <v>#REF!</v>
      </c>
      <c r="C147" s="7" t="str">
        <f ca="1">OFFSET(CampList[Camp],MATCH(Table10[[#This Row],[Pcode]],CampList[CP_Pcode],0)-1,0,1,1)</f>
        <v>Shatapru Thida Aye Baptist Church</v>
      </c>
      <c r="D147" s="7" t="str">
        <f ca="1">OFFSET(CampList[Township],MATCH(Table10[[#This Row],[Pcode]],CampList[CP_Pcode],0)-1,0,1,1)</f>
        <v>Myitkyina</v>
      </c>
      <c r="E147" s="106">
        <f ca="1">OFFSET(CampList[HH],MATCH(Table10[[#This Row],[Pcode]],CampList[CP_Pcode],0)-1,0,1,1)</f>
        <v>24</v>
      </c>
      <c r="F147" s="106">
        <f ca="1">OFFSET(CampList[Total],MATCH(Table10[[#This Row],[Pcode]],CampList[CP_Pcode],0)-1,0,1,1)</f>
        <v>111</v>
      </c>
      <c r="G147" s="106">
        <f>SUMIF('NFI Distributions'!AW$53:AW$1048576,Table10[[#This Row],[Pcode]],'NFI Distributions'!AL$53:AL$1048576)</f>
        <v>0</v>
      </c>
      <c r="H147" s="106">
        <f>SUMIF('NFI Distributions'!AW$53:AW$1048576,Table10[[#This Row],[Pcode]],'NFI Distributions'!AM$53:AM$1048576)</f>
        <v>0</v>
      </c>
      <c r="I147" s="106">
        <f>SUMIF('NFI Distributions'!AW$53:AW$1048576,Table10[[#This Row],[Pcode]],'NFI Distributions'!AN$53:AN$1048576)</f>
        <v>0</v>
      </c>
      <c r="J147" s="106">
        <f ca="1">MAX(Table10[[#This Row],[HH]]*VLOOKUP("Winter Clothes Adult",NFI,6)-Table10[[#This Row],[Winter Clothes Adult ]],0)</f>
        <v>48</v>
      </c>
      <c r="K147" s="106">
        <f ca="1">MAX(Table10[[#This Row],[HH]]*VLOOKUP("Winter Clothes Children ",NFI,6)-Table10[[#This Row],[Winter Clothes Children ]],0)</f>
        <v>24</v>
      </c>
      <c r="L147" s="106">
        <f ca="1">MAX(Table10[[#This Row],[HH]]*VLOOKUP("Winter Items Other ",NFI,6)-Table10[[#This Row],[Winter Items Other ]],0)</f>
        <v>24</v>
      </c>
      <c r="M147" s="114" t="str">
        <f>IF(OR(Table10[[#This Row],[Winter Clothes Adult ]]&lt;&gt;0,Table10[[#This Row],[Winter Clothes Children ]]&lt;&gt;0,Table10[[#This Row],[Winter Items Other ]]&lt;&gt;0),"No","")</f>
        <v/>
      </c>
      <c r="N147" s="115">
        <f>COUNTIF(A:A,Table10[[#This Row],[Pcode]])-1</f>
        <v>0</v>
      </c>
    </row>
    <row r="148" spans="1:14" x14ac:dyDescent="0.3">
      <c r="A148" s="102" t="s">
        <v>304</v>
      </c>
      <c r="B148" s="7" t="e">
        <f ca="1">OFFSET(#REF!,MATCH(Table10[[#This Row],[Pcode]],CampList[CP_Pcode],0)-1,0,1,1)</f>
        <v>#REF!</v>
      </c>
      <c r="C148" s="7" t="str">
        <f ca="1">OFFSET(CampList[Camp],MATCH(Table10[[#This Row],[Pcode]],CampList[CP_Pcode],0)-1,0,1,1)</f>
        <v>Shwe Gu Baptist Church</v>
      </c>
      <c r="D148" s="7" t="str">
        <f ca="1">OFFSET(CampList[Township],MATCH(Table10[[#This Row],[Pcode]],CampList[CP_Pcode],0)-1,0,1,1)</f>
        <v>Shwegu</v>
      </c>
      <c r="E148" s="106">
        <f ca="1">OFFSET(CampList[HH],MATCH(Table10[[#This Row],[Pcode]],CampList[CP_Pcode],0)-1,0,1,1)</f>
        <v>47</v>
      </c>
      <c r="F148" s="106">
        <f ca="1">OFFSET(CampList[Total],MATCH(Table10[[#This Row],[Pcode]],CampList[CP_Pcode],0)-1,0,1,1)</f>
        <v>276</v>
      </c>
      <c r="G148" s="106">
        <f>SUMIF('NFI Distributions'!AW$53:AW$1048576,Table10[[#This Row],[Pcode]],'NFI Distributions'!AL$53:AL$1048576)</f>
        <v>0</v>
      </c>
      <c r="H148" s="106">
        <f>SUMIF('NFI Distributions'!AW$53:AW$1048576,Table10[[#This Row],[Pcode]],'NFI Distributions'!AM$53:AM$1048576)</f>
        <v>0</v>
      </c>
      <c r="I148" s="106">
        <f>SUMIF('NFI Distributions'!AW$53:AW$1048576,Table10[[#This Row],[Pcode]],'NFI Distributions'!AN$53:AN$1048576)</f>
        <v>0</v>
      </c>
      <c r="J148" s="106">
        <f ca="1">MAX(Table10[[#This Row],[HH]]*VLOOKUP("Winter Clothes Adult",NFI,6)-Table10[[#This Row],[Winter Clothes Adult ]],0)</f>
        <v>94</v>
      </c>
      <c r="K148" s="106">
        <f ca="1">MAX(Table10[[#This Row],[HH]]*VLOOKUP("Winter Clothes Children ",NFI,6)-Table10[[#This Row],[Winter Clothes Children ]],0)</f>
        <v>47</v>
      </c>
      <c r="L148" s="106">
        <f ca="1">MAX(Table10[[#This Row],[HH]]*VLOOKUP("Winter Items Other ",NFI,6)-Table10[[#This Row],[Winter Items Other ]],0)</f>
        <v>47</v>
      </c>
      <c r="M148" s="114" t="str">
        <f>IF(OR(Table10[[#This Row],[Winter Clothes Adult ]]&lt;&gt;0,Table10[[#This Row],[Winter Clothes Children ]]&lt;&gt;0,Table10[[#This Row],[Winter Items Other ]]&lt;&gt;0),"No","")</f>
        <v/>
      </c>
      <c r="N148" s="115">
        <f>COUNTIF(A:A,Table10[[#This Row],[Pcode]])-1</f>
        <v>0</v>
      </c>
    </row>
    <row r="149" spans="1:14" x14ac:dyDescent="0.3">
      <c r="A149" s="102" t="s">
        <v>306</v>
      </c>
      <c r="B149" s="7" t="e">
        <f ca="1">OFFSET(#REF!,MATCH(Table10[[#This Row],[Pcode]],CampList[CP_Pcode],0)-1,0,1,1)</f>
        <v>#REF!</v>
      </c>
      <c r="C149" s="7" t="str">
        <f ca="1">OFFSET(CampList[Camp],MATCH(Table10[[#This Row],[Pcode]],CampList[CP_Pcode],0)-1,0,1,1)</f>
        <v>Shwe Gu Catholic Church</v>
      </c>
      <c r="D149" s="7" t="str">
        <f ca="1">OFFSET(CampList[Township],MATCH(Table10[[#This Row],[Pcode]],CampList[CP_Pcode],0)-1,0,1,1)</f>
        <v>Shwegu</v>
      </c>
      <c r="E149" s="106">
        <f ca="1">OFFSET(CampList[HH],MATCH(Table10[[#This Row],[Pcode]],CampList[CP_Pcode],0)-1,0,1,1)</f>
        <v>47</v>
      </c>
      <c r="F149" s="106">
        <f ca="1">OFFSET(CampList[Total],MATCH(Table10[[#This Row],[Pcode]],CampList[CP_Pcode],0)-1,0,1,1)</f>
        <v>194</v>
      </c>
      <c r="G149" s="106">
        <f>SUMIF('NFI Distributions'!AW$53:AW$1048576,Table10[[#This Row],[Pcode]],'NFI Distributions'!AL$53:AL$1048576)</f>
        <v>0</v>
      </c>
      <c r="H149" s="106">
        <f>SUMIF('NFI Distributions'!AW$53:AW$1048576,Table10[[#This Row],[Pcode]],'NFI Distributions'!AM$53:AM$1048576)</f>
        <v>0</v>
      </c>
      <c r="I149" s="106">
        <f>SUMIF('NFI Distributions'!AW$53:AW$1048576,Table10[[#This Row],[Pcode]],'NFI Distributions'!AN$53:AN$1048576)</f>
        <v>0</v>
      </c>
      <c r="J149" s="106">
        <f ca="1">MAX(Table10[[#This Row],[HH]]*VLOOKUP("Winter Clothes Adult",NFI,6)-Table10[[#This Row],[Winter Clothes Adult ]],0)</f>
        <v>94</v>
      </c>
      <c r="K149" s="106">
        <f ca="1">MAX(Table10[[#This Row],[HH]]*VLOOKUP("Winter Clothes Children ",NFI,6)-Table10[[#This Row],[Winter Clothes Children ]],0)</f>
        <v>47</v>
      </c>
      <c r="L149" s="106">
        <f ca="1">MAX(Table10[[#This Row],[HH]]*VLOOKUP("Winter Items Other ",NFI,6)-Table10[[#This Row],[Winter Items Other ]],0)</f>
        <v>47</v>
      </c>
      <c r="M149" s="114" t="str">
        <f>IF(OR(Table10[[#This Row],[Winter Clothes Adult ]]&lt;&gt;0,Table10[[#This Row],[Winter Clothes Children ]]&lt;&gt;0,Table10[[#This Row],[Winter Items Other ]]&lt;&gt;0),"No","")</f>
        <v/>
      </c>
      <c r="N149" s="115">
        <f>COUNTIF(A:A,Table10[[#This Row],[Pcode]])-1</f>
        <v>0</v>
      </c>
    </row>
    <row r="150" spans="1:14" x14ac:dyDescent="0.3">
      <c r="A150" s="102" t="s">
        <v>279</v>
      </c>
      <c r="B150" s="7" t="e">
        <f ca="1">OFFSET(#REF!,MATCH(Table10[[#This Row],[Pcode]],CampList[CP_Pcode],0)-1,0,1,1)</f>
        <v>#REF!</v>
      </c>
      <c r="C150" s="7" t="str">
        <f ca="1">OFFSET(CampList[Camp],MATCH(Table10[[#This Row],[Pcode]],CampList[CP_Pcode],0)-1,0,1,1)</f>
        <v>Shwe Zet Baptist Church</v>
      </c>
      <c r="D150" s="7" t="str">
        <f ca="1">OFFSET(CampList[Township],MATCH(Table10[[#This Row],[Pcode]],CampList[CP_Pcode],0)-1,0,1,1)</f>
        <v>Myitkyina</v>
      </c>
      <c r="E150" s="106">
        <f ca="1">OFFSET(CampList[HH],MATCH(Table10[[#This Row],[Pcode]],CampList[CP_Pcode],0)-1,0,1,1)</f>
        <v>95</v>
      </c>
      <c r="F150" s="106">
        <f ca="1">OFFSET(CampList[Total],MATCH(Table10[[#This Row],[Pcode]],CampList[CP_Pcode],0)-1,0,1,1)</f>
        <v>549</v>
      </c>
      <c r="G150" s="106">
        <f>SUMIF('NFI Distributions'!AW$53:AW$1048576,Table10[[#This Row],[Pcode]],'NFI Distributions'!AL$53:AL$1048576)</f>
        <v>0</v>
      </c>
      <c r="H150" s="106">
        <f>SUMIF('NFI Distributions'!AW$53:AW$1048576,Table10[[#This Row],[Pcode]],'NFI Distributions'!AM$53:AM$1048576)</f>
        <v>0</v>
      </c>
      <c r="I150" s="106">
        <f>SUMIF('NFI Distributions'!AW$53:AW$1048576,Table10[[#This Row],[Pcode]],'NFI Distributions'!AN$53:AN$1048576)</f>
        <v>0</v>
      </c>
      <c r="J150" s="106">
        <f ca="1">MAX(Table10[[#This Row],[HH]]*VLOOKUP("Winter Clothes Adult",NFI,6)-Table10[[#This Row],[Winter Clothes Adult ]],0)</f>
        <v>190</v>
      </c>
      <c r="K150" s="106">
        <f ca="1">MAX(Table10[[#This Row],[HH]]*VLOOKUP("Winter Clothes Children ",NFI,6)-Table10[[#This Row],[Winter Clothes Children ]],0)</f>
        <v>95</v>
      </c>
      <c r="L150" s="106">
        <f ca="1">MAX(Table10[[#This Row],[HH]]*VLOOKUP("Winter Items Other ",NFI,6)-Table10[[#This Row],[Winter Items Other ]],0)</f>
        <v>95</v>
      </c>
      <c r="M150" s="114" t="str">
        <f>IF(OR(Table10[[#This Row],[Winter Clothes Adult ]]&lt;&gt;0,Table10[[#This Row],[Winter Clothes Children ]]&lt;&gt;0,Table10[[#This Row],[Winter Items Other ]]&lt;&gt;0),"No","")</f>
        <v/>
      </c>
      <c r="N150" s="115">
        <f>COUNTIF(A:A,Table10[[#This Row],[Pcode]])-1</f>
        <v>0</v>
      </c>
    </row>
    <row r="151" spans="1:14" x14ac:dyDescent="0.3">
      <c r="A151" s="102" t="s">
        <v>179</v>
      </c>
      <c r="B151" s="7" t="e">
        <f ca="1">OFFSET(#REF!,MATCH(Table10[[#This Row],[Pcode]],CampList[CP_Pcode],0)-1,0,1,1)</f>
        <v>#REF!</v>
      </c>
      <c r="C151" s="7" t="str">
        <f ca="1">OFFSET(CampList[Camp],MATCH(Table10[[#This Row],[Pcode]],CampList[CP_Pcode],0)-1,0,1,1)</f>
        <v xml:space="preserve">St. Patrick Catholic Church </v>
      </c>
      <c r="D151" s="7" t="str">
        <f ca="1">OFFSET(CampList[Township],MATCH(Table10[[#This Row],[Pcode]],CampList[CP_Pcode],0)-1,0,1,1)</f>
        <v>Mohnyin</v>
      </c>
      <c r="E151" s="106">
        <f ca="1">OFFSET(CampList[HH],MATCH(Table10[[#This Row],[Pcode]],CampList[CP_Pcode],0)-1,0,1,1)</f>
        <v>11</v>
      </c>
      <c r="F151" s="106">
        <f ca="1">OFFSET(CampList[Total],MATCH(Table10[[#This Row],[Pcode]],CampList[CP_Pcode],0)-1,0,1,1)</f>
        <v>68</v>
      </c>
      <c r="G151" s="106">
        <f>SUMIF('NFI Distributions'!AW$53:AW$1048576,Table10[[#This Row],[Pcode]],'NFI Distributions'!AL$53:AL$1048576)</f>
        <v>0</v>
      </c>
      <c r="H151" s="106">
        <f>SUMIF('NFI Distributions'!AW$53:AW$1048576,Table10[[#This Row],[Pcode]],'NFI Distributions'!AM$53:AM$1048576)</f>
        <v>0</v>
      </c>
      <c r="I151" s="106">
        <f>SUMIF('NFI Distributions'!AW$53:AW$1048576,Table10[[#This Row],[Pcode]],'NFI Distributions'!AN$53:AN$1048576)</f>
        <v>0</v>
      </c>
      <c r="J151" s="106">
        <f ca="1">MAX(Table10[[#This Row],[HH]]*VLOOKUP("Winter Clothes Adult",NFI,6)-Table10[[#This Row],[Winter Clothes Adult ]],0)</f>
        <v>22</v>
      </c>
      <c r="K151" s="106">
        <f ca="1">MAX(Table10[[#This Row],[HH]]*VLOOKUP("Winter Clothes Children ",NFI,6)-Table10[[#This Row],[Winter Clothes Children ]],0)</f>
        <v>11</v>
      </c>
      <c r="L151" s="106">
        <f ca="1">MAX(Table10[[#This Row],[HH]]*VLOOKUP("Winter Items Other ",NFI,6)-Table10[[#This Row],[Winter Items Other ]],0)</f>
        <v>11</v>
      </c>
      <c r="M151" s="114" t="str">
        <f>IF(OR(Table10[[#This Row],[Winter Clothes Adult ]]&lt;&gt;0,Table10[[#This Row],[Winter Clothes Children ]]&lt;&gt;0,Table10[[#This Row],[Winter Items Other ]]&lt;&gt;0),"No","")</f>
        <v/>
      </c>
      <c r="N151" s="115">
        <f>COUNTIF(A:A,Table10[[#This Row],[Pcode]])-1</f>
        <v>0</v>
      </c>
    </row>
    <row r="152" spans="1:14" x14ac:dyDescent="0.3">
      <c r="A152" s="102" t="s">
        <v>750</v>
      </c>
      <c r="B152" s="7" t="e">
        <f ca="1">OFFSET(#REF!,MATCH(Table10[[#This Row],[Pcode]],CampList[CP_Pcode],0)-1,0,1,1)</f>
        <v>#REF!</v>
      </c>
      <c r="C152" s="7" t="str">
        <f ca="1">OFFSET(CampList[Camp],MATCH(Table10[[#This Row],[Pcode]],CampList[CP_Pcode],0)-1,0,1,1)</f>
        <v>Sumprabum</v>
      </c>
      <c r="D152" s="7" t="str">
        <f ca="1">OFFSET(CampList[Township],MATCH(Table10[[#This Row],[Pcode]],CampList[CP_Pcode],0)-1,0,1,1)</f>
        <v>Sumprabum</v>
      </c>
      <c r="E152" s="106">
        <f ca="1">OFFSET(CampList[HH],MATCH(Table10[[#This Row],[Pcode]],CampList[CP_Pcode],0)-1,0,1,1)</f>
        <v>5</v>
      </c>
      <c r="F152" s="106">
        <f ca="1">OFFSET(CampList[Total],MATCH(Table10[[#This Row],[Pcode]],CampList[CP_Pcode],0)-1,0,1,1)</f>
        <v>32</v>
      </c>
      <c r="G152" s="106">
        <f>SUMIF('NFI Distributions'!AW$53:AW$1048576,Table10[[#This Row],[Pcode]],'NFI Distributions'!AL$53:AL$1048576)</f>
        <v>0</v>
      </c>
      <c r="H152" s="106">
        <f>SUMIF('NFI Distributions'!AW$53:AW$1048576,Table10[[#This Row],[Pcode]],'NFI Distributions'!AM$53:AM$1048576)</f>
        <v>0</v>
      </c>
      <c r="I152" s="106">
        <f>SUMIF('NFI Distributions'!AW$53:AW$1048576,Table10[[#This Row],[Pcode]],'NFI Distributions'!AN$53:AN$1048576)</f>
        <v>0</v>
      </c>
      <c r="J152" s="106">
        <f ca="1">MAX(Table10[[#This Row],[HH]]*VLOOKUP("Winter Clothes Adult",NFI,6)-Table10[[#This Row],[Winter Clothes Adult ]],0)</f>
        <v>10</v>
      </c>
      <c r="K152" s="106">
        <f ca="1">MAX(Table10[[#This Row],[HH]]*VLOOKUP("Winter Clothes Children ",NFI,6)-Table10[[#This Row],[Winter Clothes Children ]],0)</f>
        <v>5</v>
      </c>
      <c r="L152" s="106">
        <f ca="1">MAX(Table10[[#This Row],[HH]]*VLOOKUP("Winter Items Other ",NFI,6)-Table10[[#This Row],[Winter Items Other ]],0)</f>
        <v>5</v>
      </c>
      <c r="M152" s="114" t="str">
        <f>IF(OR(Table10[[#This Row],[Winter Clothes Adult ]]&lt;&gt;0,Table10[[#This Row],[Winter Clothes Children ]]&lt;&gt;0,Table10[[#This Row],[Winter Items Other ]]&lt;&gt;0),"No","")</f>
        <v/>
      </c>
      <c r="N152" s="115">
        <f>COUNTIF(A:A,Table10[[#This Row],[Pcode]])-1</f>
        <v>0</v>
      </c>
    </row>
    <row r="153" spans="1:14" x14ac:dyDescent="0.3">
      <c r="A153" s="102" t="s">
        <v>23</v>
      </c>
      <c r="B153" s="7" t="e">
        <f ca="1">OFFSET(#REF!,MATCH(Table10[[#This Row],[Pcode]],CampList[CP_Pcode],0)-1,0,1,1)</f>
        <v>#REF!</v>
      </c>
      <c r="C153" s="7" t="str">
        <f ca="1">OFFSET(CampList[Camp],MATCH(Table10[[#This Row],[Pcode]],CampList[CP_Pcode],0)-1,0,1,1)</f>
        <v>Ta Gun Taing Monastery (Shwe Kyi Na)</v>
      </c>
      <c r="D153" s="7" t="str">
        <f ca="1">OFFSET(CampList[Township],MATCH(Table10[[#This Row],[Pcode]],CampList[CP_Pcode],0)-1,0,1,1)</f>
        <v>Bhamo</v>
      </c>
      <c r="E153" s="106">
        <f ca="1">OFFSET(CampList[HH],MATCH(Table10[[#This Row],[Pcode]],CampList[CP_Pcode],0)-1,0,1,1)</f>
        <v>20</v>
      </c>
      <c r="F153" s="106">
        <f ca="1">OFFSET(CampList[Total],MATCH(Table10[[#This Row],[Pcode]],CampList[CP_Pcode],0)-1,0,1,1)</f>
        <v>95</v>
      </c>
      <c r="G153" s="106">
        <f>SUMIF('NFI Distributions'!AW$53:AW$1048576,Table10[[#This Row],[Pcode]],'NFI Distributions'!AL$53:AL$1048576)</f>
        <v>0</v>
      </c>
      <c r="H153" s="106">
        <f>SUMIF('NFI Distributions'!AW$53:AW$1048576,Table10[[#This Row],[Pcode]],'NFI Distributions'!AM$53:AM$1048576)</f>
        <v>0</v>
      </c>
      <c r="I153" s="106">
        <f>SUMIF('NFI Distributions'!AW$53:AW$1048576,Table10[[#This Row],[Pcode]],'NFI Distributions'!AN$53:AN$1048576)</f>
        <v>0</v>
      </c>
      <c r="J153" s="106">
        <f ca="1">MAX(Table10[[#This Row],[HH]]*VLOOKUP("Winter Clothes Adult",NFI,6)-Table10[[#This Row],[Winter Clothes Adult ]],0)</f>
        <v>40</v>
      </c>
      <c r="K153" s="106">
        <f ca="1">MAX(Table10[[#This Row],[HH]]*VLOOKUP("Winter Clothes Children ",NFI,6)-Table10[[#This Row],[Winter Clothes Children ]],0)</f>
        <v>20</v>
      </c>
      <c r="L153" s="106">
        <f ca="1">MAX(Table10[[#This Row],[HH]]*VLOOKUP("Winter Items Other ",NFI,6)-Table10[[#This Row],[Winter Items Other ]],0)</f>
        <v>20</v>
      </c>
      <c r="M153" s="114" t="str">
        <f>IF(OR(Table10[[#This Row],[Winter Clothes Adult ]]&lt;&gt;0,Table10[[#This Row],[Winter Clothes Children ]]&lt;&gt;0,Table10[[#This Row],[Winter Items Other ]]&lt;&gt;0),"No","")</f>
        <v/>
      </c>
      <c r="N153" s="115">
        <f>COUNTIF(A:A,Table10[[#This Row],[Pcode]])-1</f>
        <v>0</v>
      </c>
    </row>
    <row r="154" spans="1:14" x14ac:dyDescent="0.3">
      <c r="A154" s="102" t="s">
        <v>226</v>
      </c>
      <c r="B154" s="7" t="e">
        <f ca="1">OFFSET(#REF!,MATCH(Table10[[#This Row],[Pcode]],CampList[CP_Pcode],0)-1,0,1,1)</f>
        <v>#REF!</v>
      </c>
      <c r="C154" s="7" t="str">
        <f ca="1">OFFSET(CampList[Camp],MATCH(Table10[[#This Row],[Pcode]],CampList[CP_Pcode],0)-1,0,1,1)</f>
        <v xml:space="preserve">Tarli </v>
      </c>
      <c r="D154" s="7" t="str">
        <f ca="1">OFFSET(CampList[Township],MATCH(Table10[[#This Row],[Pcode]],CampList[CP_Pcode],0)-1,0,1,1)</f>
        <v>Momauk</v>
      </c>
      <c r="E154" s="106">
        <f ca="1">OFFSET(CampList[HH],MATCH(Table10[[#This Row],[Pcode]],CampList[CP_Pcode],0)-1,0,1,1)</f>
        <v>0</v>
      </c>
      <c r="F154" s="106">
        <f ca="1">OFFSET(CampList[Total],MATCH(Table10[[#This Row],[Pcode]],CampList[CP_Pcode],0)-1,0,1,1)</f>
        <v>0</v>
      </c>
      <c r="G154" s="106">
        <f>SUMIF('NFI Distributions'!AW$53:AW$1048576,Table10[[#This Row],[Pcode]],'NFI Distributions'!AL$53:AL$1048576)</f>
        <v>0</v>
      </c>
      <c r="H154" s="106">
        <f>SUMIF('NFI Distributions'!AW$53:AW$1048576,Table10[[#This Row],[Pcode]],'NFI Distributions'!AM$53:AM$1048576)</f>
        <v>0</v>
      </c>
      <c r="I154" s="106">
        <f>SUMIF('NFI Distributions'!AW$53:AW$1048576,Table10[[#This Row],[Pcode]],'NFI Distributions'!AN$53:AN$1048576)</f>
        <v>0</v>
      </c>
      <c r="J154" s="106">
        <f ca="1">MAX(Table10[[#This Row],[HH]]*VLOOKUP("Winter Clothes Adult",NFI,6)-Table10[[#This Row],[Winter Clothes Adult ]],0)</f>
        <v>0</v>
      </c>
      <c r="K154" s="106">
        <f ca="1">MAX(Table10[[#This Row],[HH]]*VLOOKUP("Winter Clothes Children ",NFI,6)-Table10[[#This Row],[Winter Clothes Children ]],0)</f>
        <v>0</v>
      </c>
      <c r="L154" s="106">
        <f ca="1">MAX(Table10[[#This Row],[HH]]*VLOOKUP("Winter Items Other ",NFI,6)-Table10[[#This Row],[Winter Items Other ]],0)</f>
        <v>0</v>
      </c>
      <c r="M154" s="114" t="str">
        <f>IF(OR(Table10[[#This Row],[Winter Clothes Adult ]]&lt;&gt;0,Table10[[#This Row],[Winter Clothes Children ]]&lt;&gt;0,Table10[[#This Row],[Winter Items Other ]]&lt;&gt;0),"No","")</f>
        <v/>
      </c>
      <c r="N154" s="115">
        <f>COUNTIF(A:A,Table10[[#This Row],[Pcode]])-1</f>
        <v>0</v>
      </c>
    </row>
    <row r="155" spans="1:14" x14ac:dyDescent="0.3">
      <c r="A155" s="102" t="s">
        <v>236</v>
      </c>
      <c r="B155" s="7" t="e">
        <f ca="1">OFFSET(#REF!,MATCH(Table10[[#This Row],[Pcode]],CampList[CP_Pcode],0)-1,0,1,1)</f>
        <v>#REF!</v>
      </c>
      <c r="C155" s="7" t="str">
        <f ca="1">OFFSET(CampList[Camp],MATCH(Table10[[#This Row],[Pcode]],CampList[CP_Pcode],0)-1,0,1,1)</f>
        <v>Tat Kone Baptist Church</v>
      </c>
      <c r="D155" s="7" t="str">
        <f ca="1">OFFSET(CampList[Township],MATCH(Table10[[#This Row],[Pcode]],CampList[CP_Pcode],0)-1,0,1,1)</f>
        <v>Myitkyina</v>
      </c>
      <c r="E155" s="106">
        <f ca="1">OFFSET(CampList[HH],MATCH(Table10[[#This Row],[Pcode]],CampList[CP_Pcode],0)-1,0,1,1)</f>
        <v>78</v>
      </c>
      <c r="F155" s="106">
        <f ca="1">OFFSET(CampList[Total],MATCH(Table10[[#This Row],[Pcode]],CampList[CP_Pcode],0)-1,0,1,1)</f>
        <v>424</v>
      </c>
      <c r="G155" s="106">
        <f>SUMIF('NFI Distributions'!AW$53:AW$1048576,Table10[[#This Row],[Pcode]],'NFI Distributions'!AL$53:AL$1048576)</f>
        <v>0</v>
      </c>
      <c r="H155" s="106">
        <f>SUMIF('NFI Distributions'!AW$53:AW$1048576,Table10[[#This Row],[Pcode]],'NFI Distributions'!AM$53:AM$1048576)</f>
        <v>0</v>
      </c>
      <c r="I155" s="106">
        <f>SUMIF('NFI Distributions'!AW$53:AW$1048576,Table10[[#This Row],[Pcode]],'NFI Distributions'!AN$53:AN$1048576)</f>
        <v>0</v>
      </c>
      <c r="J155" s="106">
        <f ca="1">MAX(Table10[[#This Row],[HH]]*VLOOKUP("Winter Clothes Adult",NFI,6)-Table10[[#This Row],[Winter Clothes Adult ]],0)</f>
        <v>156</v>
      </c>
      <c r="K155" s="106">
        <f ca="1">MAX(Table10[[#This Row],[HH]]*VLOOKUP("Winter Clothes Children ",NFI,6)-Table10[[#This Row],[Winter Clothes Children ]],0)</f>
        <v>78</v>
      </c>
      <c r="L155" s="106">
        <f ca="1">MAX(Table10[[#This Row],[HH]]*VLOOKUP("Winter Items Other ",NFI,6)-Table10[[#This Row],[Winter Items Other ]],0)</f>
        <v>78</v>
      </c>
      <c r="M155" s="114" t="str">
        <f>IF(OR(Table10[[#This Row],[Winter Clothes Adult ]]&lt;&gt;0,Table10[[#This Row],[Winter Clothes Children ]]&lt;&gt;0,Table10[[#This Row],[Winter Items Other ]]&lt;&gt;0),"No","")</f>
        <v/>
      </c>
      <c r="N155" s="115">
        <f>COUNTIF(A:A,Table10[[#This Row],[Pcode]])-1</f>
        <v>0</v>
      </c>
    </row>
    <row r="156" spans="1:14" x14ac:dyDescent="0.3">
      <c r="A156" s="102" t="s">
        <v>241</v>
      </c>
      <c r="B156" s="7" t="e">
        <f ca="1">OFFSET(#REF!,MATCH(Table10[[#This Row],[Pcode]],CampList[CP_Pcode],0)-1,0,1,1)</f>
        <v>#REF!</v>
      </c>
      <c r="C156" s="7" t="str">
        <f ca="1">OFFSET(CampList[Camp],MATCH(Table10[[#This Row],[Pcode]],CampList[CP_Pcode],0)-1,0,1,1)</f>
        <v>Tat Kone COC Baptist - Tat Kone Htoi San</v>
      </c>
      <c r="D156" s="7" t="str">
        <f ca="1">OFFSET(CampList[Township],MATCH(Table10[[#This Row],[Pcode]],CampList[CP_Pcode],0)-1,0,1,1)</f>
        <v>Myitkyina</v>
      </c>
      <c r="E156" s="106">
        <f ca="1">OFFSET(CampList[HH],MATCH(Table10[[#This Row],[Pcode]],CampList[CP_Pcode],0)-1,0,1,1)</f>
        <v>54</v>
      </c>
      <c r="F156" s="106">
        <f ca="1">OFFSET(CampList[Total],MATCH(Table10[[#This Row],[Pcode]],CampList[CP_Pcode],0)-1,0,1,1)</f>
        <v>250</v>
      </c>
      <c r="G156" s="106">
        <f>SUMIF('NFI Distributions'!AW$53:AW$1048576,Table10[[#This Row],[Pcode]],'NFI Distributions'!AL$53:AL$1048576)</f>
        <v>0</v>
      </c>
      <c r="H156" s="106">
        <f>SUMIF('NFI Distributions'!AW$53:AW$1048576,Table10[[#This Row],[Pcode]],'NFI Distributions'!AM$53:AM$1048576)</f>
        <v>0</v>
      </c>
      <c r="I156" s="106">
        <f>SUMIF('NFI Distributions'!AW$53:AW$1048576,Table10[[#This Row],[Pcode]],'NFI Distributions'!AN$53:AN$1048576)</f>
        <v>0</v>
      </c>
      <c r="J156" s="106">
        <f ca="1">MAX(Table10[[#This Row],[HH]]*VLOOKUP("Winter Clothes Adult",NFI,6)-Table10[[#This Row],[Winter Clothes Adult ]],0)</f>
        <v>108</v>
      </c>
      <c r="K156" s="106">
        <f ca="1">MAX(Table10[[#This Row],[HH]]*VLOOKUP("Winter Clothes Children ",NFI,6)-Table10[[#This Row],[Winter Clothes Children ]],0)</f>
        <v>54</v>
      </c>
      <c r="L156" s="106">
        <f ca="1">MAX(Table10[[#This Row],[HH]]*VLOOKUP("Winter Items Other ",NFI,6)-Table10[[#This Row],[Winter Items Other ]],0)</f>
        <v>54</v>
      </c>
      <c r="M156" s="114" t="str">
        <f>IF(OR(Table10[[#This Row],[Winter Clothes Adult ]]&lt;&gt;0,Table10[[#This Row],[Winter Clothes Children ]]&lt;&gt;0,Table10[[#This Row],[Winter Items Other ]]&lt;&gt;0),"No","")</f>
        <v/>
      </c>
      <c r="N156" s="115">
        <f>COUNTIF(A:A,Table10[[#This Row],[Pcode]])-1</f>
        <v>0</v>
      </c>
    </row>
    <row r="157" spans="1:14" x14ac:dyDescent="0.3">
      <c r="A157" s="102" t="s">
        <v>247</v>
      </c>
      <c r="B157" s="7" t="e">
        <f ca="1">OFFSET(#REF!,MATCH(Table10[[#This Row],[Pcode]],CampList[CP_Pcode],0)-1,0,1,1)</f>
        <v>#REF!</v>
      </c>
      <c r="C157" s="7" t="str">
        <f ca="1">OFFSET(CampList[Camp],MATCH(Table10[[#This Row],[Pcode]],CampList[CP_Pcode],0)-1,0,1,1)</f>
        <v>Tat Kone Emanuel Church</v>
      </c>
      <c r="D157" s="7" t="str">
        <f ca="1">OFFSET(CampList[Township],MATCH(Table10[[#This Row],[Pcode]],CampList[CP_Pcode],0)-1,0,1,1)</f>
        <v>Myitkyina</v>
      </c>
      <c r="E157" s="106">
        <f ca="1">OFFSET(CampList[HH],MATCH(Table10[[#This Row],[Pcode]],CampList[CP_Pcode],0)-1,0,1,1)</f>
        <v>17</v>
      </c>
      <c r="F157" s="106">
        <f ca="1">OFFSET(CampList[Total],MATCH(Table10[[#This Row],[Pcode]],CampList[CP_Pcode],0)-1,0,1,1)</f>
        <v>83</v>
      </c>
      <c r="G157" s="106">
        <f>SUMIF('NFI Distributions'!AW$53:AW$1048576,Table10[[#This Row],[Pcode]],'NFI Distributions'!AL$53:AL$1048576)</f>
        <v>0</v>
      </c>
      <c r="H157" s="106">
        <f>SUMIF('NFI Distributions'!AW$53:AW$1048576,Table10[[#This Row],[Pcode]],'NFI Distributions'!AM$53:AM$1048576)</f>
        <v>0</v>
      </c>
      <c r="I157" s="106">
        <f>SUMIF('NFI Distributions'!AW$53:AW$1048576,Table10[[#This Row],[Pcode]],'NFI Distributions'!AN$53:AN$1048576)</f>
        <v>0</v>
      </c>
      <c r="J157" s="106">
        <f ca="1">MAX(Table10[[#This Row],[HH]]*VLOOKUP("Winter Clothes Adult",NFI,6)-Table10[[#This Row],[Winter Clothes Adult ]],0)</f>
        <v>34</v>
      </c>
      <c r="K157" s="106">
        <f ca="1">MAX(Table10[[#This Row],[HH]]*VLOOKUP("Winter Clothes Children ",NFI,6)-Table10[[#This Row],[Winter Clothes Children ]],0)</f>
        <v>17</v>
      </c>
      <c r="L157" s="106">
        <f ca="1">MAX(Table10[[#This Row],[HH]]*VLOOKUP("Winter Items Other ",NFI,6)-Table10[[#This Row],[Winter Items Other ]],0)</f>
        <v>17</v>
      </c>
      <c r="M157" s="114" t="str">
        <f>IF(OR(Table10[[#This Row],[Winter Clothes Adult ]]&lt;&gt;0,Table10[[#This Row],[Winter Clothes Children ]]&lt;&gt;0,Table10[[#This Row],[Winter Items Other ]]&lt;&gt;0),"No","")</f>
        <v/>
      </c>
      <c r="N157" s="115">
        <f>COUNTIF(A:A,Table10[[#This Row],[Pcode]])-1</f>
        <v>0</v>
      </c>
    </row>
    <row r="158" spans="1:14" x14ac:dyDescent="0.3">
      <c r="A158" s="102" t="s">
        <v>249</v>
      </c>
      <c r="B158" s="7" t="e">
        <f ca="1">OFFSET(#REF!,MATCH(Table10[[#This Row],[Pcode]],CampList[CP_Pcode],0)-1,0,1,1)</f>
        <v>#REF!</v>
      </c>
      <c r="C158" s="7" t="str">
        <f ca="1">OFFSET(CampList[Camp],MATCH(Table10[[#This Row],[Pcode]],CampList[CP_Pcode],0)-1,0,1,1)</f>
        <v>Tat Kone Galile Baptist Church</v>
      </c>
      <c r="D158" s="7" t="str">
        <f ca="1">OFFSET(CampList[Township],MATCH(Table10[[#This Row],[Pcode]],CampList[CP_Pcode],0)-1,0,1,1)</f>
        <v>Myitkyina</v>
      </c>
      <c r="E158" s="106">
        <f ca="1">OFFSET(CampList[HH],MATCH(Table10[[#This Row],[Pcode]],CampList[CP_Pcode],0)-1,0,1,1)</f>
        <v>33</v>
      </c>
      <c r="F158" s="106">
        <f ca="1">OFFSET(CampList[Total],MATCH(Table10[[#This Row],[Pcode]],CampList[CP_Pcode],0)-1,0,1,1)</f>
        <v>184</v>
      </c>
      <c r="G158" s="106">
        <f>SUMIF('NFI Distributions'!AW$53:AW$1048576,Table10[[#This Row],[Pcode]],'NFI Distributions'!AL$53:AL$1048576)</f>
        <v>0</v>
      </c>
      <c r="H158" s="106">
        <f>SUMIF('NFI Distributions'!AW$53:AW$1048576,Table10[[#This Row],[Pcode]],'NFI Distributions'!AM$53:AM$1048576)</f>
        <v>0</v>
      </c>
      <c r="I158" s="106">
        <f>SUMIF('NFI Distributions'!AW$53:AW$1048576,Table10[[#This Row],[Pcode]],'NFI Distributions'!AN$53:AN$1048576)</f>
        <v>0</v>
      </c>
      <c r="J158" s="106">
        <f ca="1">MAX(Table10[[#This Row],[HH]]*VLOOKUP("Winter Clothes Adult",NFI,6)-Table10[[#This Row],[Winter Clothes Adult ]],0)</f>
        <v>66</v>
      </c>
      <c r="K158" s="106">
        <f ca="1">MAX(Table10[[#This Row],[HH]]*VLOOKUP("Winter Clothes Children ",NFI,6)-Table10[[#This Row],[Winter Clothes Children ]],0)</f>
        <v>33</v>
      </c>
      <c r="L158" s="106">
        <f ca="1">MAX(Table10[[#This Row],[HH]]*VLOOKUP("Winter Items Other ",NFI,6)-Table10[[#This Row],[Winter Items Other ]],0)</f>
        <v>33</v>
      </c>
      <c r="M158" s="114" t="str">
        <f>IF(OR(Table10[[#This Row],[Winter Clothes Adult ]]&lt;&gt;0,Table10[[#This Row],[Winter Clothes Children ]]&lt;&gt;0,Table10[[#This Row],[Winter Items Other ]]&lt;&gt;0),"No","")</f>
        <v/>
      </c>
      <c r="N158" s="115">
        <f>COUNTIF(A:A,Table10[[#This Row],[Pcode]])-1</f>
        <v>0</v>
      </c>
    </row>
    <row r="159" spans="1:14" x14ac:dyDescent="0.3">
      <c r="A159" s="102" t="s">
        <v>273</v>
      </c>
      <c r="B159" s="7" t="e">
        <f ca="1">OFFSET(#REF!,MATCH(Table10[[#This Row],[Pcode]],CampList[CP_Pcode],0)-1,0,1,1)</f>
        <v>#REF!</v>
      </c>
      <c r="C159" s="7" t="str">
        <f ca="1">OFFSET(CampList[Camp],MATCH(Table10[[#This Row],[Pcode]],CampList[CP_Pcode],0)-1,0,1,1)</f>
        <v>Tat Kone San Pya Baptist Church</v>
      </c>
      <c r="D159" s="7" t="str">
        <f ca="1">OFFSET(CampList[Township],MATCH(Table10[[#This Row],[Pcode]],CampList[CP_Pcode],0)-1,0,1,1)</f>
        <v>Myitkyina</v>
      </c>
      <c r="E159" s="106">
        <f ca="1">OFFSET(CampList[HH],MATCH(Table10[[#This Row],[Pcode]],CampList[CP_Pcode],0)-1,0,1,1)</f>
        <v>46</v>
      </c>
      <c r="F159" s="106">
        <f ca="1">OFFSET(CampList[Total],MATCH(Table10[[#This Row],[Pcode]],CampList[CP_Pcode],0)-1,0,1,1)</f>
        <v>242</v>
      </c>
      <c r="G159" s="106">
        <f>SUMIF('NFI Distributions'!AW$53:AW$1048576,Table10[[#This Row],[Pcode]],'NFI Distributions'!AL$53:AL$1048576)</f>
        <v>0</v>
      </c>
      <c r="H159" s="106">
        <f>SUMIF('NFI Distributions'!AW$53:AW$1048576,Table10[[#This Row],[Pcode]],'NFI Distributions'!AM$53:AM$1048576)</f>
        <v>0</v>
      </c>
      <c r="I159" s="106">
        <f>SUMIF('NFI Distributions'!AW$53:AW$1048576,Table10[[#This Row],[Pcode]],'NFI Distributions'!AN$53:AN$1048576)</f>
        <v>0</v>
      </c>
      <c r="J159" s="106">
        <f ca="1">MAX(Table10[[#This Row],[HH]]*VLOOKUP("Winter Clothes Adult",NFI,6)-Table10[[#This Row],[Winter Clothes Adult ]],0)</f>
        <v>92</v>
      </c>
      <c r="K159" s="106">
        <f ca="1">MAX(Table10[[#This Row],[HH]]*VLOOKUP("Winter Clothes Children ",NFI,6)-Table10[[#This Row],[Winter Clothes Children ]],0)</f>
        <v>46</v>
      </c>
      <c r="L159" s="106">
        <f ca="1">MAX(Table10[[#This Row],[HH]]*VLOOKUP("Winter Items Other ",NFI,6)-Table10[[#This Row],[Winter Items Other ]],0)</f>
        <v>46</v>
      </c>
      <c r="M159" s="114" t="str">
        <f>IF(OR(Table10[[#This Row],[Winter Clothes Adult ]]&lt;&gt;0,Table10[[#This Row],[Winter Clothes Children ]]&lt;&gt;0,Table10[[#This Row],[Winter Items Other ]]&lt;&gt;0),"No","")</f>
        <v/>
      </c>
      <c r="N159" s="115">
        <f>COUNTIF(A:A,Table10[[#This Row],[Pcode]])-1</f>
        <v>0</v>
      </c>
    </row>
    <row r="160" spans="1:14" x14ac:dyDescent="0.3">
      <c r="A160" s="102" t="s">
        <v>346</v>
      </c>
      <c r="B160" s="7" t="e">
        <f ca="1">OFFSET(#REF!,MATCH(Table10[[#This Row],[Pcode]],CampList[CP_Pcode],0)-1,0,1,1)</f>
        <v>#REF!</v>
      </c>
      <c r="C160" s="7" t="str">
        <f ca="1">OFFSET(CampList[Camp],MATCH(Table10[[#This Row],[Pcode]],CampList[CP_Pcode],0)-1,0,1,1)</f>
        <v>Thargaya Lisu Baptist Church</v>
      </c>
      <c r="D160" s="7" t="str">
        <f ca="1">OFFSET(CampList[Township],MATCH(Table10[[#This Row],[Pcode]],CampList[CP_Pcode],0)-1,0,1,1)</f>
        <v>Waingmaw</v>
      </c>
      <c r="E160" s="106">
        <f ca="1">OFFSET(CampList[HH],MATCH(Table10[[#This Row],[Pcode]],CampList[CP_Pcode],0)-1,0,1,1)</f>
        <v>46</v>
      </c>
      <c r="F160" s="106">
        <f ca="1">OFFSET(CampList[Total],MATCH(Table10[[#This Row],[Pcode]],CampList[CP_Pcode],0)-1,0,1,1)</f>
        <v>190</v>
      </c>
      <c r="G160" s="106">
        <f>SUMIF('NFI Distributions'!AW$53:AW$1048576,Table10[[#This Row],[Pcode]],'NFI Distributions'!AL$53:AL$1048576)</f>
        <v>0</v>
      </c>
      <c r="H160" s="106">
        <f>SUMIF('NFI Distributions'!AW$53:AW$1048576,Table10[[#This Row],[Pcode]],'NFI Distributions'!AM$53:AM$1048576)</f>
        <v>0</v>
      </c>
      <c r="I160" s="106">
        <f>SUMIF('NFI Distributions'!AW$53:AW$1048576,Table10[[#This Row],[Pcode]],'NFI Distributions'!AN$53:AN$1048576)</f>
        <v>0</v>
      </c>
      <c r="J160" s="106">
        <f ca="1">MAX(Table10[[#This Row],[HH]]*VLOOKUP("Winter Clothes Adult",NFI,6)-Table10[[#This Row],[Winter Clothes Adult ]],0)</f>
        <v>92</v>
      </c>
      <c r="K160" s="106">
        <f ca="1">MAX(Table10[[#This Row],[HH]]*VLOOKUP("Winter Clothes Children ",NFI,6)-Table10[[#This Row],[Winter Clothes Children ]],0)</f>
        <v>46</v>
      </c>
      <c r="L160" s="106">
        <f ca="1">MAX(Table10[[#This Row],[HH]]*VLOOKUP("Winter Items Other ",NFI,6)-Table10[[#This Row],[Winter Items Other ]],0)</f>
        <v>46</v>
      </c>
      <c r="M160" s="114" t="str">
        <f>IF(OR(Table10[[#This Row],[Winter Clothes Adult ]]&lt;&gt;0,Table10[[#This Row],[Winter Clothes Children ]]&lt;&gt;0,Table10[[#This Row],[Winter Items Other ]]&lt;&gt;0),"No","")</f>
        <v/>
      </c>
      <c r="N160" s="115">
        <f>COUNTIF(A:A,Table10[[#This Row],[Pcode]])-1</f>
        <v>0</v>
      </c>
    </row>
    <row r="161" spans="1:14" x14ac:dyDescent="0.3">
      <c r="A161" s="102" t="s">
        <v>872</v>
      </c>
      <c r="B161" s="7" t="e">
        <f ca="1">OFFSET(#REF!,MATCH(Table10[[#This Row],[Pcode]],CampList[CP_Pcode],0)-1,0,1,1)</f>
        <v>#REF!</v>
      </c>
      <c r="C161" s="7" t="str">
        <f ca="1">OFFSET(CampList[Camp],MATCH(Table10[[#This Row],[Pcode]],CampList[CP_Pcode],0)-1,0,1,1)</f>
        <v>Tharthana Ahlin Yaung New Monastery</v>
      </c>
      <c r="D161" s="7" t="str">
        <f ca="1">OFFSET(CampList[Township],MATCH(Table10[[#This Row],[Pcode]],CampList[CP_Pcode],0)-1,0,1,1)</f>
        <v>Bhamo</v>
      </c>
      <c r="E161" s="106">
        <f ca="1">OFFSET(CampList[HH],MATCH(Table10[[#This Row],[Pcode]],CampList[CP_Pcode],0)-1,0,1,1)</f>
        <v>0</v>
      </c>
      <c r="F161" s="106">
        <f ca="1">OFFSET(CampList[Total],MATCH(Table10[[#This Row],[Pcode]],CampList[CP_Pcode],0)-1,0,1,1)</f>
        <v>0</v>
      </c>
      <c r="G161" s="106">
        <f>SUMIF('NFI Distributions'!AW$53:AW$1048576,Table10[[#This Row],[Pcode]],'NFI Distributions'!AL$53:AL$1048576)</f>
        <v>0</v>
      </c>
      <c r="H161" s="106">
        <f>SUMIF('NFI Distributions'!AW$53:AW$1048576,Table10[[#This Row],[Pcode]],'NFI Distributions'!AM$53:AM$1048576)</f>
        <v>0</v>
      </c>
      <c r="I161" s="106">
        <f>SUMIF('NFI Distributions'!AW$53:AW$1048576,Table10[[#This Row],[Pcode]],'NFI Distributions'!AN$53:AN$1048576)</f>
        <v>0</v>
      </c>
      <c r="J161" s="106">
        <f ca="1">MAX(Table10[[#This Row],[HH]]*VLOOKUP("Winter Clothes Adult",NFI,6)-Table10[[#This Row],[Winter Clothes Adult ]],0)</f>
        <v>0</v>
      </c>
      <c r="K161" s="106">
        <f ca="1">MAX(Table10[[#This Row],[HH]]*VLOOKUP("Winter Clothes Children ",NFI,6)-Table10[[#This Row],[Winter Clothes Children ]],0)</f>
        <v>0</v>
      </c>
      <c r="L161" s="106">
        <f ca="1">MAX(Table10[[#This Row],[HH]]*VLOOKUP("Winter Items Other ",NFI,6)-Table10[[#This Row],[Winter Items Other ]],0)</f>
        <v>0</v>
      </c>
      <c r="M161" s="114" t="str">
        <f>IF(OR(Table10[[#This Row],[Winter Clothes Adult ]]&lt;&gt;0,Table10[[#This Row],[Winter Clothes Children ]]&lt;&gt;0,Table10[[#This Row],[Winter Items Other ]]&lt;&gt;0),"No","")</f>
        <v/>
      </c>
      <c r="N161" s="115">
        <f>COUNTIF(A:A,Table10[[#This Row],[Pcode]])-1</f>
        <v>0</v>
      </c>
    </row>
    <row r="162" spans="1:14" x14ac:dyDescent="0.3">
      <c r="A162" s="102" t="s">
        <v>314</v>
      </c>
      <c r="B162" s="7" t="e">
        <f ca="1">OFFSET(#REF!,MATCH(Table10[[#This Row],[Pcode]],CampList[CP_Pcode],0)-1,0,1,1)</f>
        <v>#REF!</v>
      </c>
      <c r="C162" s="7" t="str">
        <f ca="1">OFFSET(CampList[Camp],MATCH(Table10[[#This Row],[Pcode]],CampList[CP_Pcode],0)-1,0,1,1)</f>
        <v>Waingmaw AG Church</v>
      </c>
      <c r="D162" s="7" t="str">
        <f ca="1">OFFSET(CampList[Township],MATCH(Table10[[#This Row],[Pcode]],CampList[CP_Pcode],0)-1,0,1,1)</f>
        <v>Waingmaw</v>
      </c>
      <c r="E162" s="106">
        <f ca="1">OFFSET(CampList[HH],MATCH(Table10[[#This Row],[Pcode]],CampList[CP_Pcode],0)-1,0,1,1)</f>
        <v>67</v>
      </c>
      <c r="F162" s="106">
        <f ca="1">OFFSET(CampList[Total],MATCH(Table10[[#This Row],[Pcode]],CampList[CP_Pcode],0)-1,0,1,1)</f>
        <v>283</v>
      </c>
      <c r="G162" s="106">
        <f>SUMIF('NFI Distributions'!AW$53:AW$1048576,Table10[[#This Row],[Pcode]],'NFI Distributions'!AL$53:AL$1048576)</f>
        <v>0</v>
      </c>
      <c r="H162" s="106">
        <f>SUMIF('NFI Distributions'!AW$53:AW$1048576,Table10[[#This Row],[Pcode]],'NFI Distributions'!AM$53:AM$1048576)</f>
        <v>0</v>
      </c>
      <c r="I162" s="106">
        <f>SUMIF('NFI Distributions'!AW$53:AW$1048576,Table10[[#This Row],[Pcode]],'NFI Distributions'!AN$53:AN$1048576)</f>
        <v>0</v>
      </c>
      <c r="J162" s="106">
        <f ca="1">MAX(Table10[[#This Row],[HH]]*VLOOKUP("Winter Clothes Adult",NFI,6)-Table10[[#This Row],[Winter Clothes Adult ]],0)</f>
        <v>134</v>
      </c>
      <c r="K162" s="106">
        <f ca="1">MAX(Table10[[#This Row],[HH]]*VLOOKUP("Winter Clothes Children ",NFI,6)-Table10[[#This Row],[Winter Clothes Children ]],0)</f>
        <v>67</v>
      </c>
      <c r="L162" s="106">
        <f ca="1">MAX(Table10[[#This Row],[HH]]*VLOOKUP("Winter Items Other ",NFI,6)-Table10[[#This Row],[Winter Items Other ]],0)</f>
        <v>67</v>
      </c>
      <c r="M162" s="114" t="str">
        <f>IF(OR(Table10[[#This Row],[Winter Clothes Adult ]]&lt;&gt;0,Table10[[#This Row],[Winter Clothes Children ]]&lt;&gt;0,Table10[[#This Row],[Winter Items Other ]]&lt;&gt;0),"No","")</f>
        <v/>
      </c>
      <c r="N162" s="115">
        <f>COUNTIF(A:A,Table10[[#This Row],[Pcode]])-1</f>
        <v>0</v>
      </c>
    </row>
    <row r="163" spans="1:14" x14ac:dyDescent="0.3">
      <c r="A163" s="102" t="s">
        <v>308</v>
      </c>
      <c r="B163" s="7" t="e">
        <f ca="1">OFFSET(#REF!,MATCH(Table10[[#This Row],[Pcode]],CampList[CP_Pcode],0)-1,0,1,1)</f>
        <v>#REF!</v>
      </c>
      <c r="C163" s="7" t="str">
        <f ca="1">OFFSET(CampList[Camp],MATCH(Table10[[#This Row],[Pcode]],CampList[CP_Pcode],0)-1,0,1,1)</f>
        <v>Waingmaw Baptist Zonal Office</v>
      </c>
      <c r="D163" s="7" t="str">
        <f ca="1">OFFSET(CampList[Township],MATCH(Table10[[#This Row],[Pcode]],CampList[CP_Pcode],0)-1,0,1,1)</f>
        <v>Waingmaw</v>
      </c>
      <c r="E163" s="106">
        <f ca="1">OFFSET(CampList[HH],MATCH(Table10[[#This Row],[Pcode]],CampList[CP_Pcode],0)-1,0,1,1)</f>
        <v>0</v>
      </c>
      <c r="F163" s="106">
        <f ca="1">OFFSET(CampList[Total],MATCH(Table10[[#This Row],[Pcode]],CampList[CP_Pcode],0)-1,0,1,1)</f>
        <v>0</v>
      </c>
      <c r="G163" s="106">
        <f>SUMIF('NFI Distributions'!AW$53:AW$1048576,Table10[[#This Row],[Pcode]],'NFI Distributions'!AL$53:AL$1048576)</f>
        <v>0</v>
      </c>
      <c r="H163" s="106">
        <f>SUMIF('NFI Distributions'!AW$53:AW$1048576,Table10[[#This Row],[Pcode]],'NFI Distributions'!AM$53:AM$1048576)</f>
        <v>0</v>
      </c>
      <c r="I163" s="106">
        <f>SUMIF('NFI Distributions'!AW$53:AW$1048576,Table10[[#This Row],[Pcode]],'NFI Distributions'!AN$53:AN$1048576)</f>
        <v>0</v>
      </c>
      <c r="J163" s="106">
        <f ca="1">MAX(Table10[[#This Row],[HH]]*VLOOKUP("Winter Clothes Adult",NFI,6)-Table10[[#This Row],[Winter Clothes Adult ]],0)</f>
        <v>0</v>
      </c>
      <c r="K163" s="106">
        <f ca="1">MAX(Table10[[#This Row],[HH]]*VLOOKUP("Winter Clothes Children ",NFI,6)-Table10[[#This Row],[Winter Clothes Children ]],0)</f>
        <v>0</v>
      </c>
      <c r="L163" s="106">
        <f ca="1">MAX(Table10[[#This Row],[HH]]*VLOOKUP("Winter Items Other ",NFI,6)-Table10[[#This Row],[Winter Items Other ]],0)</f>
        <v>0</v>
      </c>
      <c r="M163" s="114" t="str">
        <f>IF(OR(Table10[[#This Row],[Winter Clothes Adult ]]&lt;&gt;0,Table10[[#This Row],[Winter Clothes Children ]]&lt;&gt;0,Table10[[#This Row],[Winter Items Other ]]&lt;&gt;0),"No","")</f>
        <v/>
      </c>
      <c r="N163" s="115">
        <f>COUNTIF(A:A,Table10[[#This Row],[Pcode]])-1</f>
        <v>0</v>
      </c>
    </row>
    <row r="164" spans="1:14" x14ac:dyDescent="0.3">
      <c r="A164" s="102" t="s">
        <v>125</v>
      </c>
      <c r="B164" s="7" t="e">
        <f ca="1">OFFSET(#REF!,MATCH(Table10[[#This Row],[Pcode]],CampList[CP_Pcode],0)-1,0,1,1)</f>
        <v>#REF!</v>
      </c>
      <c r="C164" s="7" t="str">
        <f ca="1">OFFSET(CampList[Camp],MATCH(Table10[[#This Row],[Pcode]],CampList[CP_Pcode],0)-1,0,1,1)</f>
        <v xml:space="preserve">Ward 2 Sai Taung Baptist Church, Seik Mu </v>
      </c>
      <c r="D164" s="7" t="str">
        <f ca="1">OFFSET(CampList[Township],MATCH(Table10[[#This Row],[Pcode]],CampList[CP_Pcode],0)-1,0,1,1)</f>
        <v>Hpakant</v>
      </c>
      <c r="E164" s="106">
        <f ca="1">OFFSET(CampList[HH],MATCH(Table10[[#This Row],[Pcode]],CampList[CP_Pcode],0)-1,0,1,1)</f>
        <v>32</v>
      </c>
      <c r="F164" s="106">
        <f ca="1">OFFSET(CampList[Total],MATCH(Table10[[#This Row],[Pcode]],CampList[CP_Pcode],0)-1,0,1,1)</f>
        <v>173</v>
      </c>
      <c r="G164" s="106">
        <f>SUMIF('NFI Distributions'!AW$53:AW$1048576,Table10[[#This Row],[Pcode]],'NFI Distributions'!AL$53:AL$1048576)</f>
        <v>0</v>
      </c>
      <c r="H164" s="106">
        <f>SUMIF('NFI Distributions'!AW$53:AW$1048576,Table10[[#This Row],[Pcode]],'NFI Distributions'!AM$53:AM$1048576)</f>
        <v>0</v>
      </c>
      <c r="I164" s="106">
        <f>SUMIF('NFI Distributions'!AW$53:AW$1048576,Table10[[#This Row],[Pcode]],'NFI Distributions'!AN$53:AN$1048576)</f>
        <v>0</v>
      </c>
      <c r="J164" s="106">
        <f ca="1">MAX(Table10[[#This Row],[HH]]*VLOOKUP("Winter Clothes Adult",NFI,6)-Table10[[#This Row],[Winter Clothes Adult ]],0)</f>
        <v>64</v>
      </c>
      <c r="K164" s="106">
        <f ca="1">MAX(Table10[[#This Row],[HH]]*VLOOKUP("Winter Clothes Children ",NFI,6)-Table10[[#This Row],[Winter Clothes Children ]],0)</f>
        <v>32</v>
      </c>
      <c r="L164" s="106">
        <f ca="1">MAX(Table10[[#This Row],[HH]]*VLOOKUP("Winter Items Other ",NFI,6)-Table10[[#This Row],[Winter Items Other ]],0)</f>
        <v>32</v>
      </c>
      <c r="M164" s="114" t="str">
        <f>IF(OR(Table10[[#This Row],[Winter Clothes Adult ]]&lt;&gt;0,Table10[[#This Row],[Winter Clothes Children ]]&lt;&gt;0,Table10[[#This Row],[Winter Items Other ]]&lt;&gt;0),"No","")</f>
        <v/>
      </c>
      <c r="N164" s="115">
        <f>COUNTIF(A:A,Table10[[#This Row],[Pcode]])-1</f>
        <v>0</v>
      </c>
    </row>
    <row r="165" spans="1:14" x14ac:dyDescent="0.3">
      <c r="A165" s="102" t="s">
        <v>350</v>
      </c>
      <c r="B165" s="7" t="e">
        <f ca="1">OFFSET(#REF!,MATCH(Table10[[#This Row],[Pcode]],CampList[CP_Pcode],0)-1,0,1,1)</f>
        <v>#REF!</v>
      </c>
      <c r="C165" s="7" t="str">
        <f ca="1">OFFSET(CampList[Camp],MATCH(Table10[[#This Row],[Pcode]],CampList[CP_Pcode],0)-1,0,1,1)</f>
        <v xml:space="preserve">Woi Chyai </v>
      </c>
      <c r="D165" s="7" t="str">
        <f ca="1">OFFSET(CampList[Township],MATCH(Table10[[#This Row],[Pcode]],CampList[CP_Pcode],0)-1,0,1,1)</f>
        <v>Waingmaw</v>
      </c>
      <c r="E165" s="106">
        <f ca="1">OFFSET(CampList[HH],MATCH(Table10[[#This Row],[Pcode]],CampList[CP_Pcode],0)-1,0,1,1)</f>
        <v>1403</v>
      </c>
      <c r="F165" s="106">
        <f ca="1">OFFSET(CampList[Total],MATCH(Table10[[#This Row],[Pcode]],CampList[CP_Pcode],0)-1,0,1,1)</f>
        <v>7165</v>
      </c>
      <c r="G165" s="106">
        <f>SUMIF('NFI Distributions'!AW$53:AW$1048576,Table10[[#This Row],[Pcode]],'NFI Distributions'!AL$53:AL$1048576)</f>
        <v>0</v>
      </c>
      <c r="H165" s="106">
        <f>SUMIF('NFI Distributions'!AW$53:AW$1048576,Table10[[#This Row],[Pcode]],'NFI Distributions'!AM$53:AM$1048576)</f>
        <v>0</v>
      </c>
      <c r="I165" s="106">
        <f>SUMIF('NFI Distributions'!AW$53:AW$1048576,Table10[[#This Row],[Pcode]],'NFI Distributions'!AN$53:AN$1048576)</f>
        <v>0</v>
      </c>
      <c r="J165" s="106">
        <f ca="1">MAX(Table10[[#This Row],[HH]]*VLOOKUP("Winter Clothes Adult",NFI,6)-Table10[[#This Row],[Winter Clothes Adult ]],0)</f>
        <v>2806</v>
      </c>
      <c r="K165" s="106">
        <f ca="1">MAX(Table10[[#This Row],[HH]]*VLOOKUP("Winter Clothes Children ",NFI,6)-Table10[[#This Row],[Winter Clothes Children ]],0)</f>
        <v>1403</v>
      </c>
      <c r="L165" s="106">
        <f ca="1">MAX(Table10[[#This Row],[HH]]*VLOOKUP("Winter Items Other ",NFI,6)-Table10[[#This Row],[Winter Items Other ]],0)</f>
        <v>1403</v>
      </c>
      <c r="M165" s="114" t="str">
        <f>IF(OR(Table10[[#This Row],[Winter Clothes Adult ]]&lt;&gt;0,Table10[[#This Row],[Winter Clothes Children ]]&lt;&gt;0,Table10[[#This Row],[Winter Items Other ]]&lt;&gt;0),"No","")</f>
        <v/>
      </c>
      <c r="N165" s="115">
        <f>COUNTIF(A:A,Table10[[#This Row],[Pcode]])-1</f>
        <v>0</v>
      </c>
    </row>
    <row r="166" spans="1:14" x14ac:dyDescent="0.3">
      <c r="A166" s="102" t="s">
        <v>281</v>
      </c>
      <c r="B166" s="7" t="e">
        <f ca="1">OFFSET(#REF!,MATCH(Table10[[#This Row],[Pcode]],CampList[CP_Pcode],0)-1,0,1,1)</f>
        <v>#REF!</v>
      </c>
      <c r="C166" s="7" t="str">
        <f ca="1">OFFSET(CampList[Camp],MATCH(Table10[[#This Row],[Pcode]],CampList[CP_Pcode],0)-1,0,1,1)</f>
        <v>Wun Tho Buddhist Monastery</v>
      </c>
      <c r="D166" s="7" t="str">
        <f ca="1">OFFSET(CampList[Township],MATCH(Table10[[#This Row],[Pcode]],CampList[CP_Pcode],0)-1,0,1,1)</f>
        <v>Myitkyina</v>
      </c>
      <c r="E166" s="106">
        <f ca="1">OFFSET(CampList[HH],MATCH(Table10[[#This Row],[Pcode]],CampList[CP_Pcode],0)-1,0,1,1)</f>
        <v>7</v>
      </c>
      <c r="F166" s="106">
        <f ca="1">OFFSET(CampList[Total],MATCH(Table10[[#This Row],[Pcode]],CampList[CP_Pcode],0)-1,0,1,1)</f>
        <v>37</v>
      </c>
      <c r="G166" s="106">
        <f>SUMIF('NFI Distributions'!AW$53:AW$1048576,Table10[[#This Row],[Pcode]],'NFI Distributions'!AL$53:AL$1048576)</f>
        <v>0</v>
      </c>
      <c r="H166" s="106">
        <f>SUMIF('NFI Distributions'!AW$53:AW$1048576,Table10[[#This Row],[Pcode]],'NFI Distributions'!AM$53:AM$1048576)</f>
        <v>0</v>
      </c>
      <c r="I166" s="106">
        <f>SUMIF('NFI Distributions'!AW$53:AW$1048576,Table10[[#This Row],[Pcode]],'NFI Distributions'!AN$53:AN$1048576)</f>
        <v>0</v>
      </c>
      <c r="J166" s="106">
        <f ca="1">MAX(Table10[[#This Row],[HH]]*VLOOKUP("Winter Clothes Adult",NFI,6)-Table10[[#This Row],[Winter Clothes Adult ]],0)</f>
        <v>14</v>
      </c>
      <c r="K166" s="106">
        <f ca="1">MAX(Table10[[#This Row],[HH]]*VLOOKUP("Winter Clothes Children ",NFI,6)-Table10[[#This Row],[Winter Clothes Children ]],0)</f>
        <v>7</v>
      </c>
      <c r="L166" s="106">
        <f ca="1">MAX(Table10[[#This Row],[HH]]*VLOOKUP("Winter Items Other ",NFI,6)-Table10[[#This Row],[Winter Items Other ]],0)</f>
        <v>7</v>
      </c>
      <c r="M166" s="114" t="str">
        <f>IF(OR(Table10[[#This Row],[Winter Clothes Adult ]]&lt;&gt;0,Table10[[#This Row],[Winter Clothes Children ]]&lt;&gt;0,Table10[[#This Row],[Winter Items Other ]]&lt;&gt;0),"No","")</f>
        <v/>
      </c>
      <c r="N166" s="115">
        <f>COUNTIF(A:A,Table10[[#This Row],[Pcode]])-1</f>
        <v>0</v>
      </c>
    </row>
    <row r="167" spans="1:14" x14ac:dyDescent="0.3">
      <c r="A167" s="102" t="s">
        <v>25</v>
      </c>
      <c r="B167" s="7" t="e">
        <f ca="1">OFFSET(#REF!,MATCH(Table10[[#This Row],[Pcode]],CampList[CP_Pcode],0)-1,0,1,1)</f>
        <v>#REF!</v>
      </c>
      <c r="C167" s="7" t="str">
        <f ca="1">OFFSET(CampList[Camp],MATCH(Table10[[#This Row],[Pcode]],CampList[CP_Pcode],0)-1,0,1,1)</f>
        <v>Yoe Kyi Monastery</v>
      </c>
      <c r="D167" s="7" t="str">
        <f ca="1">OFFSET(CampList[Township],MATCH(Table10[[#This Row],[Pcode]],CampList[CP_Pcode],0)-1,0,1,1)</f>
        <v>Bhamo</v>
      </c>
      <c r="E167" s="106">
        <f ca="1">OFFSET(CampList[HH],MATCH(Table10[[#This Row],[Pcode]],CampList[CP_Pcode],0)-1,0,1,1)</f>
        <v>11</v>
      </c>
      <c r="F167" s="106">
        <f ca="1">OFFSET(CampList[Total],MATCH(Table10[[#This Row],[Pcode]],CampList[CP_Pcode],0)-1,0,1,1)</f>
        <v>63</v>
      </c>
      <c r="G167" s="106">
        <f>SUMIF('NFI Distributions'!AW$53:AW$1048576,Table10[[#This Row],[Pcode]],'NFI Distributions'!AL$53:AL$1048576)</f>
        <v>0</v>
      </c>
      <c r="H167" s="106">
        <f>SUMIF('NFI Distributions'!AW$53:AW$1048576,Table10[[#This Row],[Pcode]],'NFI Distributions'!AM$53:AM$1048576)</f>
        <v>0</v>
      </c>
      <c r="I167" s="106">
        <f>SUMIF('NFI Distributions'!AW$53:AW$1048576,Table10[[#This Row],[Pcode]],'NFI Distributions'!AN$53:AN$1048576)</f>
        <v>0</v>
      </c>
      <c r="J167" s="106">
        <f ca="1">MAX(Table10[[#This Row],[HH]]*VLOOKUP("Winter Clothes Adult",NFI,6)-Table10[[#This Row],[Winter Clothes Adult ]],0)</f>
        <v>22</v>
      </c>
      <c r="K167" s="106">
        <f ca="1">MAX(Table10[[#This Row],[HH]]*VLOOKUP("Winter Clothes Children ",NFI,6)-Table10[[#This Row],[Winter Clothes Children ]],0)</f>
        <v>11</v>
      </c>
      <c r="L167" s="106">
        <f ca="1">MAX(Table10[[#This Row],[HH]]*VLOOKUP("Winter Items Other ",NFI,6)-Table10[[#This Row],[Winter Items Other ]],0)</f>
        <v>11</v>
      </c>
      <c r="M167" s="114" t="str">
        <f>IF(OR(Table10[[#This Row],[Winter Clothes Adult ]]&lt;&gt;0,Table10[[#This Row],[Winter Clothes Children ]]&lt;&gt;0,Table10[[#This Row],[Winter Items Other ]]&lt;&gt;0),"No","")</f>
        <v/>
      </c>
      <c r="N167" s="115">
        <f>COUNTIF(A:A,Table10[[#This Row],[Pcode]])-1</f>
        <v>0</v>
      </c>
    </row>
    <row r="168" spans="1:14" x14ac:dyDescent="0.3">
      <c r="A168" s="101" t="s">
        <v>139</v>
      </c>
      <c r="B168" s="108" t="e">
        <f ca="1">OFFSET(#REF!,MATCH(Table10[[#This Row],[Pcode]],CampList[CP_Pcode],0)-1,0,1,1)</f>
        <v>#REF!</v>
      </c>
      <c r="C168" s="108" t="str">
        <f ca="1">OFFSET(CampList[Camp],MATCH(Table10[[#This Row],[Pcode]],CampList[CP_Pcode],0)-1,0,1,1)</f>
        <v>Yumar Baptist Church</v>
      </c>
      <c r="D168" s="108" t="str">
        <f ca="1">OFFSET(CampList[Township],MATCH(Table10[[#This Row],[Pcode]],CampList[CP_Pcode],0)-1,0,1,1)</f>
        <v>Hpakant</v>
      </c>
      <c r="E168" s="116">
        <f ca="1">OFFSET(CampList[HH],MATCH(Table10[[#This Row],[Pcode]],CampList[CP_Pcode],0)-1,0,1,1)</f>
        <v>16</v>
      </c>
      <c r="F168" s="116">
        <f ca="1">OFFSET(CampList[Total],MATCH(Table10[[#This Row],[Pcode]],CampList[CP_Pcode],0)-1,0,1,1)</f>
        <v>69</v>
      </c>
      <c r="G168" s="116">
        <f>SUMIF('NFI Distributions'!AW$53:AW$1048576,Table10[[#This Row],[Pcode]],'NFI Distributions'!AL$53:AL$1048576)</f>
        <v>0</v>
      </c>
      <c r="H168" s="116">
        <f>SUMIF('NFI Distributions'!AW$53:AW$1048576,Table10[[#This Row],[Pcode]],'NFI Distributions'!AM$53:AM$1048576)</f>
        <v>0</v>
      </c>
      <c r="I168" s="116">
        <f>SUMIF('NFI Distributions'!AW$53:AW$1048576,Table10[[#This Row],[Pcode]],'NFI Distributions'!AN$53:AN$1048576)</f>
        <v>0</v>
      </c>
      <c r="J168" s="116">
        <f ca="1">MAX(Table10[[#This Row],[HH]]*VLOOKUP("Winter Clothes Adult",NFI,6)-Table10[[#This Row],[Winter Clothes Adult ]],0)</f>
        <v>32</v>
      </c>
      <c r="K168" s="116">
        <f ca="1">MAX(Table10[[#This Row],[HH]]*VLOOKUP("Winter Clothes Children ",NFI,6)-Table10[[#This Row],[Winter Clothes Children ]],0)</f>
        <v>16</v>
      </c>
      <c r="L168" s="116">
        <f ca="1">MAX(Table10[[#This Row],[HH]]*VLOOKUP("Winter Items Other ",NFI,6)-Table10[[#This Row],[Winter Items Other ]],0)</f>
        <v>16</v>
      </c>
      <c r="M168" s="117" t="str">
        <f>IF(OR(Table10[[#This Row],[Winter Clothes Adult ]]&lt;&gt;0,Table10[[#This Row],[Winter Clothes Children ]]&lt;&gt;0,Table10[[#This Row],[Winter Items Other ]]&lt;&gt;0),"No","")</f>
        <v/>
      </c>
      <c r="N168" s="118">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E201"/>
  <sheetViews>
    <sheetView zoomScale="115" zoomScaleNormal="115" workbookViewId="0">
      <selection activeCell="B17" sqref="B17"/>
    </sheetView>
  </sheetViews>
  <sheetFormatPr defaultRowHeight="14.4" x14ac:dyDescent="0.3"/>
  <cols>
    <col min="1" max="1" width="20" style="38" customWidth="1"/>
    <col min="2" max="2" width="23" style="38" customWidth="1"/>
    <col min="3" max="3" width="11.6640625" style="77" customWidth="1"/>
    <col min="5" max="5" width="15.33203125" bestFit="1" customWidth="1"/>
  </cols>
  <sheetData>
    <row r="1" spans="1:5" s="79" customFormat="1" x14ac:dyDescent="0.3">
      <c r="A1" s="78" t="s">
        <v>833</v>
      </c>
      <c r="B1" s="80" t="s">
        <v>994</v>
      </c>
      <c r="C1" s="81" t="s">
        <v>995</v>
      </c>
    </row>
    <row r="2" spans="1:5" x14ac:dyDescent="0.3">
      <c r="A2" s="39" t="s">
        <v>236</v>
      </c>
      <c r="B2" s="70" t="s">
        <v>611</v>
      </c>
      <c r="C2" s="74">
        <v>3.1341427522963001</v>
      </c>
      <c r="E2" s="189" t="s">
        <v>13</v>
      </c>
    </row>
    <row r="3" spans="1:5" x14ac:dyDescent="0.3">
      <c r="A3" s="39" t="s">
        <v>267</v>
      </c>
      <c r="B3" s="70" t="s">
        <v>611</v>
      </c>
      <c r="C3" s="74">
        <v>3.8820329084732199</v>
      </c>
      <c r="E3" s="190" t="s">
        <v>376</v>
      </c>
    </row>
    <row r="4" spans="1:5" x14ac:dyDescent="0.3">
      <c r="A4" s="39" t="s">
        <v>249</v>
      </c>
      <c r="B4" s="70" t="s">
        <v>611</v>
      </c>
      <c r="C4" s="74">
        <v>2.30454782591254</v>
      </c>
      <c r="E4" s="189" t="s">
        <v>955</v>
      </c>
    </row>
    <row r="5" spans="1:5" x14ac:dyDescent="0.3">
      <c r="A5" s="39" t="s">
        <v>247</v>
      </c>
      <c r="B5" s="70" t="s">
        <v>611</v>
      </c>
      <c r="C5" s="74">
        <v>3.3637010801853577</v>
      </c>
      <c r="E5" s="190" t="s">
        <v>1043</v>
      </c>
    </row>
    <row r="6" spans="1:5" x14ac:dyDescent="0.3">
      <c r="A6" s="39" t="s">
        <v>273</v>
      </c>
      <c r="B6" s="70" t="s">
        <v>611</v>
      </c>
      <c r="C6" s="74">
        <v>2.0123527499589278</v>
      </c>
      <c r="E6" s="189" t="s">
        <v>1054</v>
      </c>
    </row>
    <row r="7" spans="1:5" x14ac:dyDescent="0.3">
      <c r="A7" s="39" t="s">
        <v>275</v>
      </c>
      <c r="B7" s="70" t="s">
        <v>611</v>
      </c>
      <c r="C7" s="74">
        <v>2.9133254097712102</v>
      </c>
      <c r="E7" s="192" t="s">
        <v>1055</v>
      </c>
    </row>
    <row r="8" spans="1:5" x14ac:dyDescent="0.3">
      <c r="A8" s="39" t="s">
        <v>277</v>
      </c>
      <c r="B8" s="70" t="s">
        <v>611</v>
      </c>
      <c r="C8" s="74">
        <v>4.9021696969220816</v>
      </c>
      <c r="E8" s="191" t="s">
        <v>1065</v>
      </c>
    </row>
    <row r="9" spans="1:5" x14ac:dyDescent="0.3">
      <c r="A9" s="71" t="s">
        <v>259</v>
      </c>
      <c r="B9" s="70" t="s">
        <v>611</v>
      </c>
      <c r="C9" s="74">
        <v>5.4145379230647226</v>
      </c>
      <c r="E9" s="192" t="s">
        <v>1067</v>
      </c>
    </row>
    <row r="10" spans="1:5" x14ac:dyDescent="0.3">
      <c r="A10" s="71" t="s">
        <v>279</v>
      </c>
      <c r="B10" s="70" t="s">
        <v>611</v>
      </c>
      <c r="C10" s="74">
        <v>6.6198004689728469</v>
      </c>
      <c r="E10" s="189" t="s">
        <v>1132</v>
      </c>
    </row>
    <row r="11" spans="1:5" x14ac:dyDescent="0.3">
      <c r="A11" s="39" t="s">
        <v>244</v>
      </c>
      <c r="B11" s="70" t="s">
        <v>611</v>
      </c>
      <c r="C11" s="74">
        <v>1.1985969617964649</v>
      </c>
      <c r="E11" s="192" t="s">
        <v>940</v>
      </c>
    </row>
    <row r="12" spans="1:5" x14ac:dyDescent="0.3">
      <c r="A12" s="39" t="s">
        <v>245</v>
      </c>
      <c r="B12" s="70" t="s">
        <v>611</v>
      </c>
      <c r="C12" s="74">
        <v>1.3510454549069482</v>
      </c>
      <c r="E12" s="189" t="s">
        <v>1042</v>
      </c>
    </row>
    <row r="13" spans="1:5" x14ac:dyDescent="0.3">
      <c r="A13" s="39" t="s">
        <v>242</v>
      </c>
      <c r="B13" s="70" t="s">
        <v>611</v>
      </c>
      <c r="C13" s="74">
        <v>1.5295244799681529</v>
      </c>
      <c r="E13" s="190" t="s">
        <v>1081</v>
      </c>
    </row>
    <row r="14" spans="1:5" x14ac:dyDescent="0.3">
      <c r="A14" s="39" t="s">
        <v>255</v>
      </c>
      <c r="B14" s="70" t="s">
        <v>611</v>
      </c>
      <c r="C14" s="74">
        <v>2.8164250706222882</v>
      </c>
      <c r="E14" s="191" t="s">
        <v>1119</v>
      </c>
    </row>
    <row r="15" spans="1:5" x14ac:dyDescent="0.3">
      <c r="A15" s="39" t="s">
        <v>283</v>
      </c>
      <c r="B15" s="70" t="s">
        <v>611</v>
      </c>
      <c r="C15" s="74">
        <v>4.262018365878137</v>
      </c>
      <c r="E15" s="192" t="s">
        <v>1120</v>
      </c>
    </row>
    <row r="16" spans="1:5" x14ac:dyDescent="0.3">
      <c r="A16" s="39" t="s">
        <v>239</v>
      </c>
      <c r="B16" s="70" t="s">
        <v>611</v>
      </c>
      <c r="C16" s="74">
        <v>3.3602711423118103</v>
      </c>
      <c r="E16" s="191" t="s">
        <v>1121</v>
      </c>
    </row>
    <row r="17" spans="1:5" x14ac:dyDescent="0.3">
      <c r="A17" s="39" t="s">
        <v>257</v>
      </c>
      <c r="B17" s="70" t="s">
        <v>635</v>
      </c>
      <c r="C17" s="74">
        <v>3.3362307375127798</v>
      </c>
      <c r="E17" s="192" t="s">
        <v>1122</v>
      </c>
    </row>
    <row r="18" spans="1:5" x14ac:dyDescent="0.3">
      <c r="A18" s="39" t="s">
        <v>265</v>
      </c>
      <c r="B18" s="70" t="s">
        <v>611</v>
      </c>
      <c r="C18" s="74">
        <v>1.3751794210741128</v>
      </c>
      <c r="E18" s="191" t="s">
        <v>1123</v>
      </c>
    </row>
    <row r="19" spans="1:5" x14ac:dyDescent="0.3">
      <c r="A19" s="39" t="s">
        <v>251</v>
      </c>
      <c r="B19" s="70" t="s">
        <v>611</v>
      </c>
      <c r="C19" s="74">
        <v>2.4647367211404561</v>
      </c>
      <c r="E19" s="192" t="s">
        <v>1124</v>
      </c>
    </row>
    <row r="20" spans="1:5" x14ac:dyDescent="0.3">
      <c r="A20" s="39" t="s">
        <v>253</v>
      </c>
      <c r="B20" s="70" t="s">
        <v>611</v>
      </c>
      <c r="C20" s="74">
        <v>1.8563710010113432</v>
      </c>
      <c r="E20" s="191" t="s">
        <v>1125</v>
      </c>
    </row>
    <row r="21" spans="1:5" x14ac:dyDescent="0.3">
      <c r="A21" s="39" t="s">
        <v>261</v>
      </c>
      <c r="B21" s="70" t="s">
        <v>611</v>
      </c>
      <c r="C21" s="74">
        <v>10.744749696609457</v>
      </c>
      <c r="E21" s="192" t="s">
        <v>1126</v>
      </c>
    </row>
    <row r="22" spans="1:5" x14ac:dyDescent="0.3">
      <c r="A22" s="39" t="s">
        <v>263</v>
      </c>
      <c r="B22" s="70" t="s">
        <v>611</v>
      </c>
      <c r="C22" s="74">
        <v>10.15228229456989</v>
      </c>
    </row>
    <row r="23" spans="1:5" x14ac:dyDescent="0.3">
      <c r="A23" s="39" t="s">
        <v>281</v>
      </c>
      <c r="B23" s="70" t="s">
        <v>611</v>
      </c>
      <c r="C23" s="74">
        <v>1.7877148351104664</v>
      </c>
    </row>
    <row r="24" spans="1:5" x14ac:dyDescent="0.3">
      <c r="A24" s="39" t="s">
        <v>241</v>
      </c>
      <c r="B24" s="70" t="s">
        <v>611</v>
      </c>
      <c r="C24" s="74">
        <v>2.6190942927115026</v>
      </c>
    </row>
    <row r="25" spans="1:5" x14ac:dyDescent="0.3">
      <c r="A25" s="39" t="s">
        <v>269</v>
      </c>
      <c r="B25" s="70" t="s">
        <v>611</v>
      </c>
      <c r="C25" s="74">
        <v>4.037940696665812</v>
      </c>
    </row>
    <row r="26" spans="1:5" x14ac:dyDescent="0.3">
      <c r="A26" s="39" t="s">
        <v>339</v>
      </c>
      <c r="B26" s="70" t="s">
        <v>635</v>
      </c>
      <c r="C26" s="74">
        <v>0.4474205416025816</v>
      </c>
    </row>
    <row r="27" spans="1:5" x14ac:dyDescent="0.3">
      <c r="A27" s="39" t="s">
        <v>348</v>
      </c>
      <c r="B27" s="70" t="s">
        <v>635</v>
      </c>
      <c r="C27" s="74">
        <v>1.0367202051285227</v>
      </c>
    </row>
    <row r="28" spans="1:5" x14ac:dyDescent="0.3">
      <c r="A28" s="75" t="s">
        <v>318</v>
      </c>
      <c r="B28" s="70" t="s">
        <v>635</v>
      </c>
      <c r="C28" s="74">
        <v>1.1134935940025397</v>
      </c>
    </row>
    <row r="29" spans="1:5" x14ac:dyDescent="0.3">
      <c r="A29" s="39" t="s">
        <v>311</v>
      </c>
      <c r="B29" s="70" t="s">
        <v>635</v>
      </c>
      <c r="C29" s="74">
        <v>5.0655036329811631</v>
      </c>
    </row>
    <row r="30" spans="1:5" x14ac:dyDescent="0.3">
      <c r="A30" s="71" t="s">
        <v>328</v>
      </c>
      <c r="B30" s="70" t="s">
        <v>611</v>
      </c>
      <c r="C30" s="74">
        <v>5.7019834469756479</v>
      </c>
    </row>
    <row r="31" spans="1:5" x14ac:dyDescent="0.3">
      <c r="A31" s="39" t="s">
        <v>336</v>
      </c>
      <c r="B31" s="70" t="s">
        <v>635</v>
      </c>
      <c r="C31" s="74">
        <v>0.77827912736780092</v>
      </c>
    </row>
    <row r="32" spans="1:5" x14ac:dyDescent="0.3">
      <c r="A32" s="39" t="s">
        <v>326</v>
      </c>
      <c r="B32" s="70" t="s">
        <v>611</v>
      </c>
      <c r="C32" s="74">
        <v>5.9727739497559158</v>
      </c>
    </row>
    <row r="33" spans="1:3" x14ac:dyDescent="0.3">
      <c r="A33" s="39" t="s">
        <v>316</v>
      </c>
      <c r="B33" s="70" t="s">
        <v>635</v>
      </c>
      <c r="C33" s="74">
        <v>0.37684287609457234</v>
      </c>
    </row>
    <row r="34" spans="1:3" x14ac:dyDescent="0.3">
      <c r="A34" s="39" t="s">
        <v>341</v>
      </c>
      <c r="B34" s="70" t="s">
        <v>611</v>
      </c>
      <c r="C34" s="74">
        <v>6.0275881703713861</v>
      </c>
    </row>
    <row r="35" spans="1:3" x14ac:dyDescent="0.3">
      <c r="A35" s="75" t="s">
        <v>308</v>
      </c>
      <c r="B35" s="70" t="s">
        <v>635</v>
      </c>
      <c r="C35" s="74">
        <v>0.70725493400809891</v>
      </c>
    </row>
    <row r="36" spans="1:3" x14ac:dyDescent="0.3">
      <c r="A36" s="39" t="s">
        <v>346</v>
      </c>
      <c r="B36" s="70" t="s">
        <v>635</v>
      </c>
      <c r="C36" s="74">
        <v>2.4174307716662291</v>
      </c>
    </row>
    <row r="37" spans="1:3" x14ac:dyDescent="0.3">
      <c r="A37" s="39" t="s">
        <v>314</v>
      </c>
      <c r="B37" s="70" t="s">
        <v>635</v>
      </c>
      <c r="C37" s="74">
        <v>0.15089472113650237</v>
      </c>
    </row>
    <row r="38" spans="1:3" x14ac:dyDescent="0.3">
      <c r="A38" s="39" t="s">
        <v>324</v>
      </c>
      <c r="B38" s="70" t="s">
        <v>611</v>
      </c>
      <c r="C38" s="74">
        <v>4.3887485673235673</v>
      </c>
    </row>
    <row r="39" spans="1:3" x14ac:dyDescent="0.3">
      <c r="A39" s="39" t="s">
        <v>322</v>
      </c>
      <c r="B39" s="70" t="s">
        <v>611</v>
      </c>
      <c r="C39" s="74">
        <v>5.2238983299151851</v>
      </c>
    </row>
    <row r="40" spans="1:3" x14ac:dyDescent="0.3">
      <c r="A40" s="39" t="s">
        <v>344</v>
      </c>
      <c r="B40" s="70" t="s">
        <v>1010</v>
      </c>
      <c r="C40" s="74">
        <v>9.3609732231189877</v>
      </c>
    </row>
    <row r="41" spans="1:3" x14ac:dyDescent="0.3">
      <c r="A41" s="39" t="s">
        <v>30</v>
      </c>
      <c r="B41" s="70" t="s">
        <v>731</v>
      </c>
      <c r="C41" s="74">
        <v>0.15809623370782155</v>
      </c>
    </row>
    <row r="42" spans="1:3" x14ac:dyDescent="0.3">
      <c r="A42" s="39" t="s">
        <v>29</v>
      </c>
      <c r="B42" s="70" t="s">
        <v>997</v>
      </c>
      <c r="C42" s="74">
        <v>19.834999342466848</v>
      </c>
    </row>
    <row r="43" spans="1:3" x14ac:dyDescent="0.3">
      <c r="A43" s="39" t="s">
        <v>33</v>
      </c>
      <c r="B43" s="70" t="s">
        <v>997</v>
      </c>
      <c r="C43" s="74">
        <v>12.486065224161463</v>
      </c>
    </row>
    <row r="44" spans="1:3" x14ac:dyDescent="0.3">
      <c r="A44" s="39" t="s">
        <v>21</v>
      </c>
      <c r="B44" s="70" t="s">
        <v>577</v>
      </c>
      <c r="C44" s="74">
        <v>1.5797992800898704</v>
      </c>
    </row>
    <row r="45" spans="1:3" x14ac:dyDescent="0.3">
      <c r="A45" s="39" t="s">
        <v>17</v>
      </c>
      <c r="B45" s="70" t="s">
        <v>577</v>
      </c>
      <c r="C45" s="74">
        <v>1.0876401420946245</v>
      </c>
    </row>
    <row r="46" spans="1:3" x14ac:dyDescent="0.3">
      <c r="A46" s="39" t="s">
        <v>4</v>
      </c>
      <c r="B46" s="70" t="s">
        <v>577</v>
      </c>
      <c r="C46" s="74">
        <v>0.78440046838596356</v>
      </c>
    </row>
    <row r="47" spans="1:3" x14ac:dyDescent="0.3">
      <c r="A47" s="39" t="s">
        <v>7</v>
      </c>
      <c r="B47" s="70" t="s">
        <v>577</v>
      </c>
      <c r="C47" s="74">
        <v>0.20824727902294948</v>
      </c>
    </row>
    <row r="48" spans="1:3" x14ac:dyDescent="0.3">
      <c r="A48" s="39" t="s">
        <v>13</v>
      </c>
      <c r="B48" s="70" t="s">
        <v>577</v>
      </c>
      <c r="C48" s="74">
        <v>0.84749304721635399</v>
      </c>
    </row>
    <row r="49" spans="1:3" x14ac:dyDescent="0.3">
      <c r="A49" s="39" t="s">
        <v>25</v>
      </c>
      <c r="B49" s="70" t="s">
        <v>577</v>
      </c>
      <c r="C49" s="74">
        <v>0.87147615879849294</v>
      </c>
    </row>
    <row r="50" spans="1:3" x14ac:dyDescent="0.3">
      <c r="A50" s="71" t="s">
        <v>19</v>
      </c>
      <c r="B50" s="70" t="s">
        <v>602</v>
      </c>
      <c r="C50" s="74">
        <v>8.3788619521763046</v>
      </c>
    </row>
    <row r="51" spans="1:3" x14ac:dyDescent="0.3">
      <c r="A51" s="39" t="s">
        <v>23</v>
      </c>
      <c r="B51" s="70" t="s">
        <v>577</v>
      </c>
      <c r="C51" s="74">
        <v>4.108228790802368</v>
      </c>
    </row>
    <row r="52" spans="1:3" x14ac:dyDescent="0.3">
      <c r="A52" s="39" t="s">
        <v>208</v>
      </c>
      <c r="B52" s="70" t="s">
        <v>602</v>
      </c>
      <c r="C52" s="74">
        <v>0.62513510418653162</v>
      </c>
    </row>
    <row r="53" spans="1:3" x14ac:dyDescent="0.3">
      <c r="A53" s="39" t="s">
        <v>206</v>
      </c>
      <c r="B53" s="70" t="s">
        <v>602</v>
      </c>
      <c r="C53" s="74">
        <v>0.49034468319599833</v>
      </c>
    </row>
    <row r="54" spans="1:3" x14ac:dyDescent="0.3">
      <c r="A54" s="39" t="s">
        <v>216</v>
      </c>
      <c r="B54" s="70" t="s">
        <v>602</v>
      </c>
      <c r="C54" s="74">
        <v>0.32830807173487342</v>
      </c>
    </row>
    <row r="55" spans="1:3" x14ac:dyDescent="0.3">
      <c r="A55" s="39" t="s">
        <v>226</v>
      </c>
      <c r="B55" s="70" t="s">
        <v>1007</v>
      </c>
      <c r="C55" s="74">
        <v>14.236592976936194</v>
      </c>
    </row>
    <row r="56" spans="1:3" x14ac:dyDescent="0.3">
      <c r="A56" s="39" t="s">
        <v>212</v>
      </c>
      <c r="B56" s="70" t="s">
        <v>602</v>
      </c>
      <c r="C56" s="74">
        <v>17.689123339899055</v>
      </c>
    </row>
    <row r="57" spans="1:3" x14ac:dyDescent="0.3">
      <c r="A57" s="39" t="s">
        <v>201</v>
      </c>
      <c r="B57" s="70" t="s">
        <v>602</v>
      </c>
      <c r="C57" s="74">
        <v>2.4411071835305544</v>
      </c>
    </row>
    <row r="58" spans="1:3" x14ac:dyDescent="0.3">
      <c r="A58" s="39" t="s">
        <v>203</v>
      </c>
      <c r="B58" s="70" t="s">
        <v>602</v>
      </c>
      <c r="C58" s="74">
        <v>17.282528446236295</v>
      </c>
    </row>
    <row r="59" spans="1:3" x14ac:dyDescent="0.3">
      <c r="A59" s="39" t="s">
        <v>199</v>
      </c>
      <c r="B59" s="70" t="s">
        <v>1007</v>
      </c>
      <c r="C59" s="74">
        <v>19.860265975801305</v>
      </c>
    </row>
    <row r="60" spans="1:3" x14ac:dyDescent="0.3">
      <c r="A60" s="75" t="s">
        <v>220</v>
      </c>
      <c r="B60" s="70" t="s">
        <v>1007</v>
      </c>
      <c r="C60" s="74">
        <v>3.6887624513681017</v>
      </c>
    </row>
    <row r="61" spans="1:3" x14ac:dyDescent="0.3">
      <c r="A61" s="39" t="s">
        <v>150</v>
      </c>
      <c r="B61" s="70" t="s">
        <v>590</v>
      </c>
      <c r="C61" s="74">
        <v>1.0576516850656514</v>
      </c>
    </row>
    <row r="62" spans="1:3" x14ac:dyDescent="0.3">
      <c r="A62" s="39" t="s">
        <v>304</v>
      </c>
      <c r="B62" s="70" t="s">
        <v>561</v>
      </c>
      <c r="C62" s="74">
        <v>0.74396039478864395</v>
      </c>
    </row>
    <row r="63" spans="1:3" x14ac:dyDescent="0.3">
      <c r="A63" s="39" t="s">
        <v>306</v>
      </c>
      <c r="B63" s="70" t="s">
        <v>561</v>
      </c>
      <c r="C63" s="74">
        <v>0.74330366237812662</v>
      </c>
    </row>
    <row r="64" spans="1:3" x14ac:dyDescent="0.3">
      <c r="A64" s="39" t="s">
        <v>222</v>
      </c>
      <c r="B64" s="70" t="s">
        <v>693</v>
      </c>
      <c r="C64" s="74">
        <v>0.77978735578277303</v>
      </c>
    </row>
    <row r="65" spans="1:3" x14ac:dyDescent="0.3">
      <c r="A65" s="39" t="s">
        <v>189</v>
      </c>
      <c r="B65" s="70" t="s">
        <v>693</v>
      </c>
      <c r="C65" s="74">
        <v>0.38934692601696641</v>
      </c>
    </row>
    <row r="66" spans="1:3" x14ac:dyDescent="0.3">
      <c r="A66" s="39" t="s">
        <v>184</v>
      </c>
      <c r="B66" s="70" t="s">
        <v>693</v>
      </c>
      <c r="C66" s="74">
        <v>0.28829825866869707</v>
      </c>
    </row>
    <row r="67" spans="1:3" x14ac:dyDescent="0.3">
      <c r="A67" s="39" t="s">
        <v>228</v>
      </c>
      <c r="B67" s="70" t="s">
        <v>693</v>
      </c>
      <c r="C67" s="74">
        <v>0.77561767807574999</v>
      </c>
    </row>
    <row r="68" spans="1:3" x14ac:dyDescent="0.3">
      <c r="A68" s="39" t="s">
        <v>224</v>
      </c>
      <c r="B68" s="70" t="s">
        <v>693</v>
      </c>
      <c r="C68" s="74">
        <v>1.343152344964242</v>
      </c>
    </row>
    <row r="69" spans="1:3" x14ac:dyDescent="0.3">
      <c r="A69" s="39" t="s">
        <v>143</v>
      </c>
      <c r="B69" s="70" t="s">
        <v>1001</v>
      </c>
      <c r="C69" s="74">
        <v>28.422357500443528</v>
      </c>
    </row>
    <row r="70" spans="1:3" x14ac:dyDescent="0.3">
      <c r="A70" s="75" t="s">
        <v>298</v>
      </c>
      <c r="B70" s="70" t="s">
        <v>740</v>
      </c>
      <c r="C70" s="74">
        <v>1.3759254000531889</v>
      </c>
    </row>
    <row r="71" spans="1:3" x14ac:dyDescent="0.3">
      <c r="A71" s="39" t="s">
        <v>175</v>
      </c>
      <c r="B71" s="70" t="s">
        <v>570</v>
      </c>
      <c r="C71" s="74">
        <v>0.71141459237180937</v>
      </c>
    </row>
    <row r="72" spans="1:3" x14ac:dyDescent="0.3">
      <c r="A72" s="39" t="s">
        <v>172</v>
      </c>
      <c r="B72" s="70" t="s">
        <v>570</v>
      </c>
      <c r="C72" s="74">
        <v>1.815139598767344</v>
      </c>
    </row>
    <row r="73" spans="1:3" x14ac:dyDescent="0.3">
      <c r="A73" s="39" t="s">
        <v>177</v>
      </c>
      <c r="B73" s="70" t="s">
        <v>570</v>
      </c>
      <c r="C73" s="74">
        <v>0.86042374061342075</v>
      </c>
    </row>
    <row r="74" spans="1:3" x14ac:dyDescent="0.3">
      <c r="A74" s="39" t="s">
        <v>179</v>
      </c>
      <c r="B74" s="70" t="s">
        <v>958</v>
      </c>
      <c r="C74" s="74">
        <v>1.7021273757523427</v>
      </c>
    </row>
    <row r="75" spans="1:3" x14ac:dyDescent="0.3">
      <c r="A75" s="39" t="s">
        <v>99</v>
      </c>
      <c r="B75" s="70" t="s">
        <v>998</v>
      </c>
      <c r="C75" s="74">
        <v>0.79577754007276646</v>
      </c>
    </row>
    <row r="76" spans="1:3" x14ac:dyDescent="0.3">
      <c r="A76" s="39" t="s">
        <v>107</v>
      </c>
      <c r="B76" s="70" t="s">
        <v>998</v>
      </c>
      <c r="C76" s="74">
        <v>2.9334852607184256</v>
      </c>
    </row>
    <row r="77" spans="1:3" x14ac:dyDescent="0.3">
      <c r="A77" s="39" t="s">
        <v>139</v>
      </c>
      <c r="B77" s="70" t="s">
        <v>998</v>
      </c>
      <c r="C77" s="74">
        <v>1.5942018764815451</v>
      </c>
    </row>
    <row r="78" spans="1:3" x14ac:dyDescent="0.3">
      <c r="A78" s="39" t="s">
        <v>71</v>
      </c>
      <c r="B78" s="70" t="s">
        <v>998</v>
      </c>
      <c r="C78" s="74">
        <v>4.4704963044882238</v>
      </c>
    </row>
    <row r="79" spans="1:3" x14ac:dyDescent="0.3">
      <c r="A79" s="39" t="s">
        <v>354</v>
      </c>
      <c r="B79" s="70" t="s">
        <v>1011</v>
      </c>
      <c r="C79" s="74">
        <v>32.827754639406997</v>
      </c>
    </row>
    <row r="80" spans="1:3" x14ac:dyDescent="0.3">
      <c r="A80" s="39" t="s">
        <v>332</v>
      </c>
      <c r="B80" s="70" t="s">
        <v>1011</v>
      </c>
      <c r="C80" s="74">
        <v>18.198335991626355</v>
      </c>
    </row>
    <row r="81" spans="1:3" x14ac:dyDescent="0.3">
      <c r="A81" s="39" t="s">
        <v>334</v>
      </c>
      <c r="B81" s="70" t="s">
        <v>1011</v>
      </c>
      <c r="C81" s="74">
        <v>21.287604662770121</v>
      </c>
    </row>
    <row r="82" spans="1:3" x14ac:dyDescent="0.3">
      <c r="A82" s="71" t="s">
        <v>350</v>
      </c>
      <c r="B82" s="70" t="s">
        <v>1006</v>
      </c>
      <c r="C82" s="74">
        <v>1.7420415164460403</v>
      </c>
    </row>
    <row r="83" spans="1:3" x14ac:dyDescent="0.3">
      <c r="A83" s="71" t="s">
        <v>313</v>
      </c>
      <c r="B83" s="70" t="s">
        <v>1006</v>
      </c>
      <c r="C83" s="74">
        <v>1.857513522619473</v>
      </c>
    </row>
    <row r="84" spans="1:3" x14ac:dyDescent="0.3">
      <c r="A84" s="39" t="s">
        <v>320</v>
      </c>
      <c r="B84" s="70" t="s">
        <v>1006</v>
      </c>
      <c r="C84" s="74">
        <v>28.888856599204185</v>
      </c>
    </row>
    <row r="85" spans="1:3" x14ac:dyDescent="0.3">
      <c r="A85" s="39" t="s">
        <v>343</v>
      </c>
      <c r="B85" s="70" t="s">
        <v>1006</v>
      </c>
      <c r="C85" s="74">
        <v>20.599512012485512</v>
      </c>
    </row>
    <row r="86" spans="1:3" x14ac:dyDescent="0.3">
      <c r="A86" s="39" t="s">
        <v>195</v>
      </c>
      <c r="B86" s="70" t="s">
        <v>1006</v>
      </c>
      <c r="C86" s="74">
        <v>7.985347533011188</v>
      </c>
    </row>
    <row r="87" spans="1:3" x14ac:dyDescent="0.3">
      <c r="A87" s="39" t="s">
        <v>193</v>
      </c>
      <c r="B87" s="70" t="s">
        <v>1006</v>
      </c>
      <c r="C87" s="74">
        <v>10.953347686331073</v>
      </c>
    </row>
    <row r="88" spans="1:3" x14ac:dyDescent="0.3">
      <c r="A88" s="39" t="s">
        <v>191</v>
      </c>
      <c r="B88" s="70" t="s">
        <v>1007</v>
      </c>
      <c r="C88" s="74">
        <v>18.65617244319267</v>
      </c>
    </row>
    <row r="89" spans="1:3" x14ac:dyDescent="0.3">
      <c r="A89" s="39" t="s">
        <v>218</v>
      </c>
      <c r="B89" s="70" t="s">
        <v>693</v>
      </c>
      <c r="C89" s="74">
        <v>8.953204937938569</v>
      </c>
    </row>
    <row r="90" spans="1:3" x14ac:dyDescent="0.3">
      <c r="A90" s="39" t="s">
        <v>197</v>
      </c>
      <c r="B90" s="70" t="s">
        <v>693</v>
      </c>
      <c r="C90" s="74">
        <v>18.620903555062636</v>
      </c>
    </row>
    <row r="91" spans="1:3" x14ac:dyDescent="0.3">
      <c r="A91" s="39" t="s">
        <v>187</v>
      </c>
      <c r="B91" s="70" t="s">
        <v>1002</v>
      </c>
      <c r="C91" s="74">
        <v>19.796407430638478</v>
      </c>
    </row>
    <row r="92" spans="1:3" x14ac:dyDescent="0.3">
      <c r="A92" s="39" t="s">
        <v>214</v>
      </c>
      <c r="B92" s="70" t="s">
        <v>693</v>
      </c>
      <c r="C92" s="74">
        <v>20.558236360788097</v>
      </c>
    </row>
    <row r="93" spans="1:3" x14ac:dyDescent="0.3">
      <c r="A93" s="39" t="s">
        <v>153</v>
      </c>
      <c r="B93" s="70" t="s">
        <v>1002</v>
      </c>
      <c r="C93" s="74">
        <v>10.509375400480517</v>
      </c>
    </row>
    <row r="94" spans="1:3" x14ac:dyDescent="0.3">
      <c r="A94" s="39" t="s">
        <v>159</v>
      </c>
      <c r="B94" s="70" t="s">
        <v>1002</v>
      </c>
      <c r="C94" s="74">
        <v>9.3704379947870464</v>
      </c>
    </row>
    <row r="95" spans="1:3" x14ac:dyDescent="0.3">
      <c r="A95" s="39" t="s">
        <v>155</v>
      </c>
      <c r="B95" s="70" t="s">
        <v>1002</v>
      </c>
      <c r="C95" s="74">
        <v>9.5650381623500511</v>
      </c>
    </row>
    <row r="96" spans="1:3" x14ac:dyDescent="0.3">
      <c r="A96" s="39" t="s">
        <v>157</v>
      </c>
      <c r="B96" s="70" t="s">
        <v>1002</v>
      </c>
      <c r="C96" s="74">
        <v>12.392289083396149</v>
      </c>
    </row>
    <row r="97" spans="1:3" x14ac:dyDescent="0.3">
      <c r="A97" s="39" t="s">
        <v>87</v>
      </c>
      <c r="B97" s="70" t="s">
        <v>999</v>
      </c>
      <c r="C97" s="74">
        <v>1.1537462444167914</v>
      </c>
    </row>
    <row r="98" spans="1:3" x14ac:dyDescent="0.3">
      <c r="A98" s="71" t="s">
        <v>338</v>
      </c>
      <c r="B98" s="70" t="s">
        <v>1011</v>
      </c>
      <c r="C98" s="74">
        <v>34.344689881690819</v>
      </c>
    </row>
    <row r="99" spans="1:3" x14ac:dyDescent="0.3">
      <c r="A99" s="39" t="s">
        <v>285</v>
      </c>
      <c r="B99" s="70" t="s">
        <v>1005</v>
      </c>
      <c r="C99" s="74">
        <v>16.668825701583572</v>
      </c>
    </row>
    <row r="100" spans="1:3" x14ac:dyDescent="0.3">
      <c r="A100" s="39" t="s">
        <v>352</v>
      </c>
      <c r="B100" s="70" t="s">
        <v>1011</v>
      </c>
      <c r="C100" s="74">
        <v>17.035515422123492</v>
      </c>
    </row>
    <row r="101" spans="1:3" x14ac:dyDescent="0.3">
      <c r="A101" s="71" t="s">
        <v>271</v>
      </c>
      <c r="B101" s="70" t="s">
        <v>611</v>
      </c>
      <c r="C101" s="74">
        <v>12.627188913244609</v>
      </c>
    </row>
    <row r="102" spans="1:3" x14ac:dyDescent="0.3">
      <c r="A102" s="39" t="s">
        <v>11</v>
      </c>
      <c r="B102" s="70" t="s">
        <v>577</v>
      </c>
      <c r="C102" s="74">
        <v>1.1354007641426449</v>
      </c>
    </row>
    <row r="103" spans="1:3" x14ac:dyDescent="0.3">
      <c r="A103" s="39" t="s">
        <v>91</v>
      </c>
      <c r="B103" s="70" t="s">
        <v>998</v>
      </c>
      <c r="C103" s="74">
        <v>0.75842119772531946</v>
      </c>
    </row>
    <row r="104" spans="1:3" x14ac:dyDescent="0.3">
      <c r="A104" s="39" t="s">
        <v>119</v>
      </c>
      <c r="B104" s="70" t="s">
        <v>998</v>
      </c>
      <c r="C104" s="74">
        <v>6.3039408411778268</v>
      </c>
    </row>
    <row r="105" spans="1:3" x14ac:dyDescent="0.3">
      <c r="A105" s="39" t="s">
        <v>51</v>
      </c>
      <c r="B105" s="70" t="s">
        <v>998</v>
      </c>
      <c r="C105" s="74">
        <v>5.184483270539272</v>
      </c>
    </row>
    <row r="106" spans="1:3" x14ac:dyDescent="0.3">
      <c r="A106" s="39" t="s">
        <v>75</v>
      </c>
      <c r="B106" s="70" t="s">
        <v>998</v>
      </c>
      <c r="C106" s="74">
        <v>4.8862832644478198</v>
      </c>
    </row>
    <row r="107" spans="1:3" x14ac:dyDescent="0.3">
      <c r="A107" s="39" t="s">
        <v>40</v>
      </c>
      <c r="B107" s="70" t="s">
        <v>998</v>
      </c>
      <c r="C107" s="74">
        <v>4.1842484710239098</v>
      </c>
    </row>
    <row r="108" spans="1:3" x14ac:dyDescent="0.3">
      <c r="A108" s="39" t="s">
        <v>61</v>
      </c>
      <c r="B108" s="70" t="s">
        <v>998</v>
      </c>
      <c r="C108" s="74">
        <v>6.4753396248436657</v>
      </c>
    </row>
    <row r="109" spans="1:3" x14ac:dyDescent="0.3">
      <c r="A109" s="39" t="s">
        <v>89</v>
      </c>
      <c r="B109" s="70" t="s">
        <v>998</v>
      </c>
      <c r="C109" s="74">
        <v>6.7094919928483892</v>
      </c>
    </row>
    <row r="110" spans="1:3" x14ac:dyDescent="0.3">
      <c r="A110" s="39" t="s">
        <v>117</v>
      </c>
      <c r="B110" s="70" t="s">
        <v>998</v>
      </c>
      <c r="C110" s="74">
        <v>6.2085564346706201</v>
      </c>
    </row>
    <row r="111" spans="1:3" x14ac:dyDescent="0.3">
      <c r="A111" s="39" t="s">
        <v>123</v>
      </c>
      <c r="B111" s="70" t="s">
        <v>998</v>
      </c>
      <c r="C111" s="74">
        <v>7.419312682373878</v>
      </c>
    </row>
    <row r="112" spans="1:3" x14ac:dyDescent="0.3">
      <c r="A112" s="39" t="s">
        <v>125</v>
      </c>
      <c r="B112" s="70" t="s">
        <v>998</v>
      </c>
      <c r="C112" s="74">
        <v>4.6754712546149264</v>
      </c>
    </row>
    <row r="113" spans="1:3" x14ac:dyDescent="0.3">
      <c r="A113" s="39" t="s">
        <v>57</v>
      </c>
      <c r="B113" s="70" t="s">
        <v>999</v>
      </c>
      <c r="C113" s="74">
        <v>23.222739740353646</v>
      </c>
    </row>
    <row r="114" spans="1:3" x14ac:dyDescent="0.3">
      <c r="A114" s="39" t="s">
        <v>42</v>
      </c>
      <c r="B114" s="70" t="s">
        <v>998</v>
      </c>
      <c r="C114" s="74">
        <v>0.66733171900141897</v>
      </c>
    </row>
    <row r="115" spans="1:3" x14ac:dyDescent="0.3">
      <c r="A115" s="39" t="s">
        <v>45</v>
      </c>
      <c r="B115" s="70" t="s">
        <v>998</v>
      </c>
      <c r="C115" s="74">
        <v>0.56771790814545575</v>
      </c>
    </row>
    <row r="116" spans="1:3" x14ac:dyDescent="0.3">
      <c r="A116" s="39" t="s">
        <v>46</v>
      </c>
      <c r="B116" s="70" t="s">
        <v>998</v>
      </c>
      <c r="C116" s="74">
        <v>2.814225084976667</v>
      </c>
    </row>
    <row r="117" spans="1:3" x14ac:dyDescent="0.3">
      <c r="A117" s="39" t="s">
        <v>374</v>
      </c>
      <c r="B117" s="70" t="s">
        <v>577</v>
      </c>
      <c r="C117" s="74">
        <v>4.067486452659054</v>
      </c>
    </row>
    <row r="118" spans="1:3" x14ac:dyDescent="0.3">
      <c r="A118" s="39" t="s">
        <v>375</v>
      </c>
      <c r="B118" s="70" t="s">
        <v>577</v>
      </c>
      <c r="C118" s="74">
        <v>1.9489261822960435</v>
      </c>
    </row>
    <row r="119" spans="1:3" s="131" customFormat="1" x14ac:dyDescent="0.3">
      <c r="A119" s="39" t="s">
        <v>376</v>
      </c>
      <c r="B119" s="70" t="s">
        <v>731</v>
      </c>
      <c r="C119" s="74">
        <v>0</v>
      </c>
    </row>
    <row r="120" spans="1:3" x14ac:dyDescent="0.3">
      <c r="A120" s="39" t="s">
        <v>388</v>
      </c>
      <c r="B120" s="70" t="s">
        <v>590</v>
      </c>
      <c r="C120" s="74">
        <v>0.51447052329458698</v>
      </c>
    </row>
    <row r="121" spans="1:3" x14ac:dyDescent="0.3">
      <c r="A121" s="39" t="s">
        <v>389</v>
      </c>
      <c r="B121" s="70" t="s">
        <v>602</v>
      </c>
      <c r="C121" s="74">
        <v>0.60629049139006752</v>
      </c>
    </row>
    <row r="122" spans="1:3" x14ac:dyDescent="0.3">
      <c r="A122" s="39" t="s">
        <v>390</v>
      </c>
      <c r="B122" s="70" t="s">
        <v>1007</v>
      </c>
      <c r="C122" s="74">
        <v>24.701686141136339</v>
      </c>
    </row>
    <row r="123" spans="1:3" x14ac:dyDescent="0.3">
      <c r="A123" s="39" t="s">
        <v>391</v>
      </c>
      <c r="B123" s="70" t="s">
        <v>561</v>
      </c>
      <c r="C123" s="74">
        <v>2.3794331620169178</v>
      </c>
    </row>
    <row r="124" spans="1:3" x14ac:dyDescent="0.3">
      <c r="A124" s="39" t="s">
        <v>475</v>
      </c>
      <c r="B124" s="70" t="s">
        <v>602</v>
      </c>
      <c r="C124" s="74">
        <v>13.446032768350749</v>
      </c>
    </row>
    <row r="125" spans="1:3" x14ac:dyDescent="0.3">
      <c r="A125" s="75" t="s">
        <v>750</v>
      </c>
      <c r="B125" s="70" t="s">
        <v>748</v>
      </c>
      <c r="C125" s="74">
        <v>0.23004407510846425</v>
      </c>
    </row>
    <row r="126" spans="1:3" x14ac:dyDescent="0.3">
      <c r="A126" s="71" t="s">
        <v>752</v>
      </c>
      <c r="B126" s="70" t="s">
        <v>1006</v>
      </c>
      <c r="C126" s="74">
        <v>2.3307568207764655</v>
      </c>
    </row>
    <row r="127" spans="1:3" x14ac:dyDescent="0.3">
      <c r="A127" s="75" t="s">
        <v>789</v>
      </c>
      <c r="B127" s="70" t="s">
        <v>997</v>
      </c>
      <c r="C127" s="74">
        <v>0.18710270881855062</v>
      </c>
    </row>
    <row r="128" spans="1:3" x14ac:dyDescent="0.3">
      <c r="A128" s="39" t="s">
        <v>812</v>
      </c>
      <c r="B128" s="70" t="s">
        <v>590</v>
      </c>
      <c r="C128" s="74">
        <v>17.731070777343263</v>
      </c>
    </row>
    <row r="129" spans="1:3" x14ac:dyDescent="0.3">
      <c r="A129" s="75" t="s">
        <v>816</v>
      </c>
      <c r="B129" s="70" t="s">
        <v>1012</v>
      </c>
      <c r="C129" s="74">
        <v>1.7005689699647599</v>
      </c>
    </row>
    <row r="130" spans="1:3" x14ac:dyDescent="0.3">
      <c r="A130" s="75" t="s">
        <v>820</v>
      </c>
      <c r="B130" s="70" t="s">
        <v>1012</v>
      </c>
      <c r="C130" s="74">
        <v>1.136583238544624</v>
      </c>
    </row>
    <row r="131" spans="1:3" x14ac:dyDescent="0.3">
      <c r="A131" s="39" t="s">
        <v>844</v>
      </c>
      <c r="B131" s="70" t="s">
        <v>999</v>
      </c>
      <c r="C131" s="74">
        <v>12.257552920582597</v>
      </c>
    </row>
    <row r="132" spans="1:3" x14ac:dyDescent="0.3">
      <c r="A132" s="39" t="s">
        <v>874</v>
      </c>
      <c r="B132" s="70" t="s">
        <v>996</v>
      </c>
      <c r="C132" s="74">
        <v>0</v>
      </c>
    </row>
    <row r="133" spans="1:3" x14ac:dyDescent="0.3">
      <c r="A133" s="35" t="s">
        <v>887</v>
      </c>
      <c r="B133" s="70" t="s">
        <v>1002</v>
      </c>
      <c r="C133" s="74">
        <v>19.631786732140053</v>
      </c>
    </row>
    <row r="134" spans="1:3" x14ac:dyDescent="0.3">
      <c r="A134" s="76" t="s">
        <v>891</v>
      </c>
      <c r="B134" s="70" t="s">
        <v>1012</v>
      </c>
      <c r="C134" s="74">
        <v>4.789460146835963</v>
      </c>
    </row>
    <row r="135" spans="1:3" x14ac:dyDescent="0.3">
      <c r="A135" s="39" t="s">
        <v>910</v>
      </c>
      <c r="B135" s="70" t="s">
        <v>1002</v>
      </c>
      <c r="C135" s="74">
        <v>10.527586947557506</v>
      </c>
    </row>
    <row r="136" spans="1:3" x14ac:dyDescent="0.3">
      <c r="A136" s="39" t="s">
        <v>914</v>
      </c>
      <c r="B136" s="70" t="s">
        <v>998</v>
      </c>
      <c r="C136" s="74">
        <v>0.19374952337076978</v>
      </c>
    </row>
    <row r="137" spans="1:3" s="301" customFormat="1" x14ac:dyDescent="0.3">
      <c r="A137" s="195" t="s">
        <v>955</v>
      </c>
      <c r="B137" s="70" t="s">
        <v>998</v>
      </c>
      <c r="C137" s="74">
        <v>10</v>
      </c>
    </row>
    <row r="138" spans="1:3" s="301" customFormat="1" x14ac:dyDescent="0.3">
      <c r="A138" s="195" t="s">
        <v>984</v>
      </c>
      <c r="B138" s="70" t="s">
        <v>1005</v>
      </c>
      <c r="C138" s="74">
        <v>0</v>
      </c>
    </row>
    <row r="139" spans="1:3" s="301" customFormat="1" x14ac:dyDescent="0.3">
      <c r="A139" s="195" t="s">
        <v>985</v>
      </c>
      <c r="B139" s="70" t="s">
        <v>958</v>
      </c>
      <c r="C139" s="74">
        <v>0</v>
      </c>
    </row>
    <row r="140" spans="1:3" s="301" customFormat="1" x14ac:dyDescent="0.3">
      <c r="A140" s="195" t="s">
        <v>1043</v>
      </c>
      <c r="B140" s="70" t="s">
        <v>740</v>
      </c>
      <c r="C140" s="74">
        <v>0</v>
      </c>
    </row>
    <row r="141" spans="1:3" s="301" customFormat="1" x14ac:dyDescent="0.3">
      <c r="A141" s="195" t="s">
        <v>1053</v>
      </c>
      <c r="B141" s="70" t="s">
        <v>570</v>
      </c>
      <c r="C141" s="74">
        <v>5</v>
      </c>
    </row>
    <row r="142" spans="1:3" s="301" customFormat="1" x14ac:dyDescent="0.3">
      <c r="A142" s="195" t="s">
        <v>1054</v>
      </c>
      <c r="B142" s="70" t="s">
        <v>570</v>
      </c>
      <c r="C142" s="74">
        <v>5</v>
      </c>
    </row>
    <row r="143" spans="1:3" s="301" customFormat="1" x14ac:dyDescent="0.3">
      <c r="A143" s="196" t="s">
        <v>1055</v>
      </c>
      <c r="B143" s="70" t="s">
        <v>570</v>
      </c>
      <c r="C143" s="74">
        <v>0.75</v>
      </c>
    </row>
    <row r="144" spans="1:3" s="301" customFormat="1" x14ac:dyDescent="0.3">
      <c r="A144" s="196" t="s">
        <v>1065</v>
      </c>
      <c r="B144" s="70" t="s">
        <v>748</v>
      </c>
      <c r="C144" s="74"/>
    </row>
    <row r="145" spans="1:3" s="301" customFormat="1" x14ac:dyDescent="0.3">
      <c r="A145" s="196" t="s">
        <v>1067</v>
      </c>
      <c r="B145" s="70" t="s">
        <v>748</v>
      </c>
      <c r="C145" s="74"/>
    </row>
    <row r="146" spans="1:3" s="301" customFormat="1" x14ac:dyDescent="0.3">
      <c r="A146" s="197" t="s">
        <v>1079</v>
      </c>
      <c r="B146" s="35" t="s">
        <v>1007</v>
      </c>
      <c r="C146" s="194">
        <v>0</v>
      </c>
    </row>
    <row r="147" spans="1:3" s="301" customFormat="1" x14ac:dyDescent="0.3">
      <c r="A147" s="197" t="s">
        <v>1132</v>
      </c>
      <c r="B147" s="35" t="s">
        <v>998</v>
      </c>
      <c r="C147" s="194"/>
    </row>
    <row r="148" spans="1:3" s="301" customFormat="1" x14ac:dyDescent="0.3">
      <c r="A148" s="181" t="s">
        <v>1158</v>
      </c>
      <c r="B148" s="70" t="s">
        <v>998</v>
      </c>
      <c r="C148" s="74"/>
    </row>
    <row r="149" spans="1:3" s="301" customFormat="1" x14ac:dyDescent="0.3">
      <c r="A149" s="181" t="s">
        <v>1159</v>
      </c>
      <c r="B149" s="70" t="s">
        <v>998</v>
      </c>
      <c r="C149" s="74"/>
    </row>
    <row r="150" spans="1:3" s="301" customFormat="1" x14ac:dyDescent="0.3">
      <c r="A150" s="181" t="s">
        <v>1160</v>
      </c>
      <c r="B150" s="70" t="s">
        <v>998</v>
      </c>
      <c r="C150" s="74"/>
    </row>
    <row r="151" spans="1:3" s="301" customFormat="1" x14ac:dyDescent="0.3">
      <c r="A151" s="181" t="s">
        <v>1161</v>
      </c>
      <c r="B151" s="70" t="s">
        <v>998</v>
      </c>
      <c r="C151" s="74"/>
    </row>
    <row r="152" spans="1:3" s="301" customFormat="1" x14ac:dyDescent="0.3">
      <c r="A152" s="181" t="s">
        <v>1162</v>
      </c>
      <c r="B152" s="70" t="s">
        <v>998</v>
      </c>
      <c r="C152" s="194"/>
    </row>
    <row r="153" spans="1:3" s="301" customFormat="1" x14ac:dyDescent="0.3">
      <c r="A153" s="70" t="s">
        <v>1614</v>
      </c>
      <c r="B153" s="70" t="s">
        <v>1633</v>
      </c>
      <c r="C153" s="74">
        <v>0.4</v>
      </c>
    </row>
    <row r="154" spans="1:3" s="301" customFormat="1" x14ac:dyDescent="0.3">
      <c r="A154" s="70" t="s">
        <v>1615</v>
      </c>
      <c r="B154" s="70" t="s">
        <v>1633</v>
      </c>
      <c r="C154" s="74">
        <v>0.4</v>
      </c>
    </row>
    <row r="155" spans="1:3" s="301" customFormat="1" x14ac:dyDescent="0.3">
      <c r="A155" s="70" t="s">
        <v>1616</v>
      </c>
      <c r="B155" s="70" t="s">
        <v>1633</v>
      </c>
      <c r="C155" s="74">
        <v>0.4</v>
      </c>
    </row>
    <row r="156" spans="1:3" s="301" customFormat="1" x14ac:dyDescent="0.3">
      <c r="A156" s="70" t="s">
        <v>1617</v>
      </c>
      <c r="B156" s="70" t="s">
        <v>1633</v>
      </c>
      <c r="C156" s="74">
        <v>0.4</v>
      </c>
    </row>
    <row r="157" spans="1:3" s="301" customFormat="1" x14ac:dyDescent="0.3">
      <c r="A157" s="70" t="s">
        <v>1618</v>
      </c>
      <c r="B157" s="70" t="s">
        <v>611</v>
      </c>
      <c r="C157" s="74">
        <v>8</v>
      </c>
    </row>
    <row r="158" spans="1:3" s="301" customFormat="1" x14ac:dyDescent="0.3">
      <c r="A158" s="303" t="s">
        <v>1619</v>
      </c>
      <c r="B158" s="70" t="s">
        <v>611</v>
      </c>
      <c r="C158" s="74">
        <v>27</v>
      </c>
    </row>
    <row r="159" spans="1:3" s="301" customFormat="1" x14ac:dyDescent="0.3">
      <c r="A159" s="303" t="s">
        <v>302</v>
      </c>
      <c r="B159" s="70" t="s">
        <v>1651</v>
      </c>
      <c r="C159" s="74"/>
    </row>
    <row r="160" spans="1:3" s="301" customFormat="1" x14ac:dyDescent="0.3">
      <c r="A160" s="303" t="s">
        <v>1247</v>
      </c>
      <c r="B160" s="70" t="s">
        <v>635</v>
      </c>
      <c r="C160" s="74"/>
    </row>
    <row r="161" spans="1:3" s="301" customFormat="1" x14ac:dyDescent="0.3">
      <c r="A161" s="303" t="s">
        <v>1259</v>
      </c>
      <c r="B161" s="70" t="s">
        <v>635</v>
      </c>
      <c r="C161" s="74"/>
    </row>
    <row r="162" spans="1:3" s="301" customFormat="1" x14ac:dyDescent="0.3">
      <c r="A162" s="303" t="s">
        <v>1265</v>
      </c>
      <c r="B162" s="70" t="s">
        <v>998</v>
      </c>
      <c r="C162" s="74"/>
    </row>
    <row r="163" spans="1:3" s="301" customFormat="1" x14ac:dyDescent="0.3">
      <c r="A163" s="303" t="s">
        <v>1397</v>
      </c>
      <c r="B163" s="70" t="s">
        <v>1644</v>
      </c>
      <c r="C163" s="74"/>
    </row>
    <row r="164" spans="1:3" s="301" customFormat="1" x14ac:dyDescent="0.3">
      <c r="A164" s="303" t="s">
        <v>1398</v>
      </c>
      <c r="B164" s="70" t="s">
        <v>1644</v>
      </c>
      <c r="C164" s="74"/>
    </row>
    <row r="165" spans="1:3" s="301" customFormat="1" x14ac:dyDescent="0.3">
      <c r="A165" s="303" t="s">
        <v>1399</v>
      </c>
      <c r="B165" s="70" t="s">
        <v>1644</v>
      </c>
      <c r="C165" s="74"/>
    </row>
    <row r="166" spans="1:3" s="301" customFormat="1" x14ac:dyDescent="0.3">
      <c r="A166" s="303" t="s">
        <v>1400</v>
      </c>
      <c r="B166" s="70" t="s">
        <v>1644</v>
      </c>
      <c r="C166" s="74"/>
    </row>
    <row r="167" spans="1:3" s="301" customFormat="1" x14ac:dyDescent="0.3">
      <c r="A167" s="303" t="s">
        <v>1536</v>
      </c>
      <c r="B167" s="70" t="s">
        <v>611</v>
      </c>
      <c r="C167" s="74"/>
    </row>
    <row r="168" spans="1:3" s="301" customFormat="1" x14ac:dyDescent="0.3">
      <c r="A168" s="635" t="s">
        <v>1538</v>
      </c>
      <c r="B168" s="70" t="s">
        <v>1011</v>
      </c>
      <c r="C168" s="74"/>
    </row>
    <row r="169" spans="1:3" x14ac:dyDescent="0.3">
      <c r="A169" s="39" t="s">
        <v>937</v>
      </c>
      <c r="B169" s="70" t="s">
        <v>1002</v>
      </c>
      <c r="C169" s="74">
        <v>9.2957189123335944</v>
      </c>
    </row>
    <row r="170" spans="1:3" s="301" customFormat="1" x14ac:dyDescent="0.3">
      <c r="A170" s="195" t="s">
        <v>1653</v>
      </c>
      <c r="B170" s="70" t="s">
        <v>611</v>
      </c>
      <c r="C170" s="74">
        <v>10</v>
      </c>
    </row>
    <row r="171" spans="1:3" s="301" customFormat="1" x14ac:dyDescent="0.3">
      <c r="A171" s="195" t="s">
        <v>1654</v>
      </c>
      <c r="B171" s="70" t="s">
        <v>1659</v>
      </c>
      <c r="C171" s="74">
        <v>0</v>
      </c>
    </row>
    <row r="172" spans="1:3" s="301" customFormat="1" x14ac:dyDescent="0.3">
      <c r="A172" s="195" t="s">
        <v>1655</v>
      </c>
      <c r="B172" s="70" t="s">
        <v>611</v>
      </c>
      <c r="C172" s="74">
        <v>51</v>
      </c>
    </row>
    <row r="173" spans="1:3" s="301" customFormat="1" x14ac:dyDescent="0.3">
      <c r="A173" s="195" t="s">
        <v>1656</v>
      </c>
      <c r="B173" s="70" t="s">
        <v>999</v>
      </c>
      <c r="C173" s="74">
        <v>10</v>
      </c>
    </row>
    <row r="174" spans="1:3" s="301" customFormat="1" x14ac:dyDescent="0.3">
      <c r="A174" s="195" t="s">
        <v>1657</v>
      </c>
      <c r="B174" s="195" t="s">
        <v>635</v>
      </c>
      <c r="C174" s="74">
        <v>0</v>
      </c>
    </row>
    <row r="175" spans="1:3" s="301" customFormat="1" x14ac:dyDescent="0.3">
      <c r="A175" s="195" t="s">
        <v>1658</v>
      </c>
      <c r="B175" s="195" t="s">
        <v>999</v>
      </c>
      <c r="C175" s="74">
        <v>0</v>
      </c>
    </row>
    <row r="176" spans="1:3" x14ac:dyDescent="0.3">
      <c r="A176" s="39" t="s">
        <v>287</v>
      </c>
      <c r="B176" s="70" t="s">
        <v>1002</v>
      </c>
      <c r="C176" s="74">
        <v>1.5619149693996526</v>
      </c>
    </row>
    <row r="177" spans="1:3" x14ac:dyDescent="0.3">
      <c r="A177" s="39" t="s">
        <v>294</v>
      </c>
      <c r="B177" s="70" t="s">
        <v>1002</v>
      </c>
      <c r="C177" s="74">
        <v>1.5239325151406049</v>
      </c>
    </row>
    <row r="178" spans="1:3" x14ac:dyDescent="0.3">
      <c r="A178" s="39" t="s">
        <v>290</v>
      </c>
      <c r="B178" s="70" t="s">
        <v>1002</v>
      </c>
      <c r="C178" s="74">
        <v>1.7369508287203668</v>
      </c>
    </row>
    <row r="179" spans="1:3" x14ac:dyDescent="0.3">
      <c r="A179" s="39" t="s">
        <v>234</v>
      </c>
      <c r="B179" s="70" t="s">
        <v>1009</v>
      </c>
      <c r="C179" s="74">
        <v>7.490291417449443</v>
      </c>
    </row>
    <row r="180" spans="1:3" x14ac:dyDescent="0.3">
      <c r="A180" s="39" t="s">
        <v>147</v>
      </c>
      <c r="B180" s="70" t="s">
        <v>1003</v>
      </c>
      <c r="C180" s="74">
        <v>23.172399462804503</v>
      </c>
    </row>
    <row r="181" spans="1:3" x14ac:dyDescent="0.3">
      <c r="A181" s="39" t="s">
        <v>148</v>
      </c>
      <c r="B181" s="70" t="s">
        <v>1002</v>
      </c>
      <c r="C181" s="74">
        <v>21.148671772283631</v>
      </c>
    </row>
    <row r="182" spans="1:3" x14ac:dyDescent="0.3">
      <c r="A182" s="39" t="s">
        <v>165</v>
      </c>
      <c r="B182" s="70" t="s">
        <v>1004</v>
      </c>
      <c r="C182" s="74">
        <v>0.43878855438285824</v>
      </c>
    </row>
    <row r="183" spans="1:3" x14ac:dyDescent="0.3">
      <c r="A183" s="39" t="s">
        <v>168</v>
      </c>
      <c r="B183" s="70" t="s">
        <v>1009</v>
      </c>
      <c r="C183" s="74">
        <v>18.405283544772924</v>
      </c>
    </row>
    <row r="184" spans="1:3" x14ac:dyDescent="0.3">
      <c r="A184" s="39" t="s">
        <v>170</v>
      </c>
      <c r="B184" s="70" t="s">
        <v>1009</v>
      </c>
      <c r="C184" s="74">
        <v>12.794700705104317</v>
      </c>
    </row>
    <row r="185" spans="1:3" x14ac:dyDescent="0.3">
      <c r="A185" s="39" t="s">
        <v>232</v>
      </c>
      <c r="B185" s="70" t="s">
        <v>1008</v>
      </c>
      <c r="C185" s="74">
        <v>1.789574394782699</v>
      </c>
    </row>
    <row r="186" spans="1:3" x14ac:dyDescent="0.3">
      <c r="A186" s="39" t="s">
        <v>296</v>
      </c>
      <c r="B186" s="70" t="s">
        <v>755</v>
      </c>
      <c r="C186" s="74">
        <v>0.37588352961435612</v>
      </c>
    </row>
    <row r="187" spans="1:3" x14ac:dyDescent="0.3">
      <c r="A187" s="39" t="s">
        <v>380</v>
      </c>
      <c r="B187" s="70" t="s">
        <v>669</v>
      </c>
      <c r="C187" s="74">
        <v>11.65743881259678</v>
      </c>
    </row>
    <row r="188" spans="1:3" x14ac:dyDescent="0.3">
      <c r="A188" s="39" t="s">
        <v>381</v>
      </c>
      <c r="B188" s="70" t="s">
        <v>669</v>
      </c>
      <c r="C188" s="74">
        <v>1.9281430163271129</v>
      </c>
    </row>
    <row r="189" spans="1:3" x14ac:dyDescent="0.3">
      <c r="A189" s="39" t="s">
        <v>382</v>
      </c>
      <c r="B189" s="70" t="s">
        <v>669</v>
      </c>
      <c r="C189" s="74">
        <v>0.42212558305526549</v>
      </c>
    </row>
    <row r="190" spans="1:3" x14ac:dyDescent="0.3">
      <c r="A190" s="39" t="s">
        <v>383</v>
      </c>
      <c r="B190" s="70" t="s">
        <v>669</v>
      </c>
      <c r="C190" s="74">
        <v>21.050742639251741</v>
      </c>
    </row>
    <row r="191" spans="1:3" x14ac:dyDescent="0.3">
      <c r="A191" s="39" t="s">
        <v>385</v>
      </c>
      <c r="B191" s="70" t="s">
        <v>669</v>
      </c>
      <c r="C191" s="74">
        <v>13.632081902964599</v>
      </c>
    </row>
    <row r="192" spans="1:3" x14ac:dyDescent="0.3">
      <c r="A192" s="39" t="s">
        <v>386</v>
      </c>
      <c r="B192" s="70" t="s">
        <v>1009</v>
      </c>
      <c r="C192" s="74">
        <v>5.5919136174199959</v>
      </c>
    </row>
    <row r="193" spans="1:3" x14ac:dyDescent="0.3">
      <c r="A193" s="39" t="s">
        <v>772</v>
      </c>
      <c r="B193" s="70" t="s">
        <v>1000</v>
      </c>
      <c r="C193" s="74">
        <v>30.037709702375544</v>
      </c>
    </row>
    <row r="194" spans="1:3" x14ac:dyDescent="0.3">
      <c r="A194" s="39" t="s">
        <v>761</v>
      </c>
      <c r="B194" s="70" t="s">
        <v>1004</v>
      </c>
      <c r="C194" s="74">
        <v>0.71762888500316424</v>
      </c>
    </row>
    <row r="195" spans="1:3" x14ac:dyDescent="0.3">
      <c r="A195" s="39" t="s">
        <v>762</v>
      </c>
      <c r="B195" s="70" t="s">
        <v>755</v>
      </c>
      <c r="C195" s="74">
        <v>0.63626694856259092</v>
      </c>
    </row>
    <row r="196" spans="1:3" x14ac:dyDescent="0.3">
      <c r="A196" s="35" t="s">
        <v>902</v>
      </c>
      <c r="B196" s="70" t="s">
        <v>897</v>
      </c>
      <c r="C196" s="74">
        <v>1.989668595899414</v>
      </c>
    </row>
    <row r="197" spans="1:3" x14ac:dyDescent="0.3">
      <c r="A197" s="35" t="s">
        <v>904</v>
      </c>
      <c r="B197" s="70" t="s">
        <v>1002</v>
      </c>
      <c r="C197" s="74">
        <v>2.0141034419413328</v>
      </c>
    </row>
    <row r="198" spans="1:3" x14ac:dyDescent="0.3">
      <c r="A198" s="35" t="s">
        <v>908</v>
      </c>
      <c r="B198" s="70" t="s">
        <v>1002</v>
      </c>
      <c r="C198" s="74">
        <v>2.8590638493982405</v>
      </c>
    </row>
    <row r="199" spans="1:3" s="301" customFormat="1" x14ac:dyDescent="0.3">
      <c r="A199" s="195" t="s">
        <v>955</v>
      </c>
      <c r="B199" s="70" t="s">
        <v>998</v>
      </c>
      <c r="C199" s="74"/>
    </row>
    <row r="200" spans="1:3" x14ac:dyDescent="0.3">
      <c r="A200" s="35" t="s">
        <v>912</v>
      </c>
      <c r="B200" s="70" t="s">
        <v>897</v>
      </c>
      <c r="C200" s="74">
        <v>2.1362355825722199</v>
      </c>
    </row>
    <row r="201" spans="1:3" x14ac:dyDescent="0.3">
      <c r="A201" s="303" t="s">
        <v>1695</v>
      </c>
      <c r="B201" s="70" t="s">
        <v>611</v>
      </c>
      <c r="C201" s="74">
        <v>6</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39997558519241921"/>
    <pageSetUpPr fitToPage="1"/>
  </sheetPr>
  <dimension ref="A1:WD2808"/>
  <sheetViews>
    <sheetView showGridLines="0" showZeros="0" topLeftCell="A16" zoomScale="112" zoomScaleNormal="112" zoomScaleSheetLayoutView="80" workbookViewId="0">
      <selection activeCell="S26" sqref="S26"/>
    </sheetView>
  </sheetViews>
  <sheetFormatPr defaultColWidth="11.44140625" defaultRowHeight="14.4" x14ac:dyDescent="0.3"/>
  <cols>
    <col min="1" max="1" width="2.44140625" style="38" customWidth="1"/>
    <col min="2" max="2" width="1.5546875" style="38" customWidth="1"/>
    <col min="3" max="3" width="12.88671875" style="8" customWidth="1"/>
    <col min="4" max="4" width="9.33203125" style="8" customWidth="1"/>
    <col min="5" max="5" width="8" style="8" customWidth="1"/>
    <col min="6" max="6" width="11.109375" style="8" customWidth="1"/>
    <col min="7" max="7" width="13.33203125" style="8" customWidth="1"/>
    <col min="8" max="8" width="10.77734375" style="8" customWidth="1"/>
    <col min="9" max="9" width="0.88671875" style="8" customWidth="1"/>
    <col min="10" max="10" width="6" style="8" customWidth="1"/>
    <col min="11" max="11" width="2" style="38" customWidth="1"/>
    <col min="12" max="12" width="14.88671875" style="8" customWidth="1"/>
    <col min="13" max="13" width="7.44140625" style="8" customWidth="1"/>
    <col min="14" max="14" width="9.88671875" style="8" customWidth="1"/>
    <col min="15" max="16" width="9.109375" style="8" customWidth="1"/>
    <col min="17" max="17" width="5.6640625" style="9" customWidth="1"/>
    <col min="18" max="19" width="5.6640625" style="38" customWidth="1"/>
    <col min="20" max="20" width="1.33203125" style="38" customWidth="1"/>
    <col min="21" max="21" width="5" style="38" customWidth="1"/>
    <col min="22" max="22" width="7.6640625" style="38" hidden="1" customWidth="1"/>
    <col min="23" max="23" width="7.5546875" style="38" hidden="1" customWidth="1"/>
    <col min="24" max="24" width="4.33203125" style="38" hidden="1" customWidth="1"/>
    <col min="25" max="25" width="7.109375" style="38" hidden="1" customWidth="1"/>
    <col min="26" max="27" width="10.109375" style="38" hidden="1" customWidth="1"/>
    <col min="28" max="28" width="9.5546875" style="38" hidden="1" customWidth="1"/>
    <col min="29" max="29" width="9.33203125" style="38" hidden="1" customWidth="1"/>
    <col min="30" max="30" width="9.88671875" style="38" hidden="1" customWidth="1"/>
    <col min="31" max="31" width="10.33203125" style="38" hidden="1" customWidth="1"/>
    <col min="32" max="32" width="8.88671875" style="8" hidden="1" customWidth="1"/>
    <col min="33" max="34" width="11" style="8" customWidth="1"/>
    <col min="35" max="40" width="11" style="301" customWidth="1"/>
    <col min="41" max="45" width="11" style="8" customWidth="1"/>
    <col min="46" max="46" width="11.44140625" style="301"/>
    <col min="47" max="47" width="37.21875" style="8" customWidth="1"/>
    <col min="48" max="48" width="17.109375" style="8" customWidth="1"/>
    <col min="49" max="49" width="11.44140625" style="8" customWidth="1"/>
    <col min="50" max="50" width="15.44140625" style="8" customWidth="1"/>
    <col min="51" max="51" width="16.44140625" style="8" customWidth="1"/>
    <col min="52" max="52" width="8.109375" style="8" customWidth="1"/>
    <col min="53" max="53" width="11.44140625" style="8" customWidth="1"/>
    <col min="54" max="54" width="13.6640625" style="8" customWidth="1"/>
    <col min="55" max="55" width="11.109375" style="8" customWidth="1"/>
    <col min="56" max="56" width="11.5546875" style="8" customWidth="1"/>
    <col min="57" max="266" width="11.44140625" style="8"/>
    <col min="267" max="267" width="5.33203125" style="8" customWidth="1"/>
    <col min="268" max="268" width="15.33203125" style="8" customWidth="1"/>
    <col min="269" max="269" width="14.44140625" style="8" bestFit="1" customWidth="1"/>
    <col min="270" max="270" width="10.44140625" style="8" bestFit="1" customWidth="1"/>
    <col min="271" max="271" width="12.33203125" style="8" customWidth="1"/>
    <col min="272" max="276" width="11.44140625" style="8" customWidth="1"/>
    <col min="277" max="278" width="10.5546875" style="8" bestFit="1" customWidth="1"/>
    <col min="279" max="280" width="11.44140625" style="8" customWidth="1"/>
    <col min="281" max="281" width="6.109375" style="8" customWidth="1"/>
    <col min="282" max="292" width="11.44140625" style="8" customWidth="1"/>
    <col min="293" max="522" width="11.44140625" style="8"/>
    <col min="523" max="523" width="5.33203125" style="8" customWidth="1"/>
    <col min="524" max="524" width="15.33203125" style="8" customWidth="1"/>
    <col min="525" max="525" width="14.44140625" style="8" bestFit="1" customWidth="1"/>
    <col min="526" max="526" width="10.44140625" style="8" bestFit="1" customWidth="1"/>
    <col min="527" max="527" width="12.33203125" style="8" customWidth="1"/>
    <col min="528" max="532" width="11.44140625" style="8" customWidth="1"/>
    <col min="533" max="534" width="10.5546875" style="8" bestFit="1" customWidth="1"/>
    <col min="535" max="536" width="11.44140625" style="8" customWidth="1"/>
    <col min="537" max="537" width="6.109375" style="8" customWidth="1"/>
    <col min="538" max="548" width="11.44140625" style="8" customWidth="1"/>
    <col min="549" max="601" width="11.44140625" style="8"/>
    <col min="602" max="602" width="11.44140625" style="13"/>
    <col min="603" max="778" width="11.44140625" style="8"/>
    <col min="779" max="779" width="5.33203125" style="8" customWidth="1"/>
    <col min="780" max="780" width="15.33203125" style="8" customWidth="1"/>
    <col min="781" max="781" width="14.44140625" style="8" bestFit="1" customWidth="1"/>
    <col min="782" max="782" width="10.44140625" style="8" bestFit="1" customWidth="1"/>
    <col min="783" max="783" width="12.33203125" style="8" customWidth="1"/>
    <col min="784" max="788" width="11.44140625" style="8" customWidth="1"/>
    <col min="789" max="790" width="10.5546875" style="8" bestFit="1" customWidth="1"/>
    <col min="791" max="792" width="11.44140625" style="8" customWidth="1"/>
    <col min="793" max="793" width="6.109375" style="8" customWidth="1"/>
    <col min="794" max="804" width="11.44140625" style="8" customWidth="1"/>
    <col min="805" max="1034" width="11.44140625" style="8"/>
    <col min="1035" max="1035" width="5.33203125" style="8" customWidth="1"/>
    <col min="1036" max="1036" width="15.33203125" style="8" customWidth="1"/>
    <col min="1037" max="1037" width="14.44140625" style="8" bestFit="1" customWidth="1"/>
    <col min="1038" max="1038" width="10.44140625" style="8" bestFit="1" customWidth="1"/>
    <col min="1039" max="1039" width="12.33203125" style="8" customWidth="1"/>
    <col min="1040" max="1044" width="11.44140625" style="8" customWidth="1"/>
    <col min="1045" max="1046" width="10.5546875" style="8" bestFit="1" customWidth="1"/>
    <col min="1047" max="1048" width="11.44140625" style="8" customWidth="1"/>
    <col min="1049" max="1049" width="6.109375" style="8" customWidth="1"/>
    <col min="1050" max="1060" width="11.44140625" style="8" customWidth="1"/>
    <col min="1061" max="1290" width="11.44140625" style="8"/>
    <col min="1291" max="1291" width="5.33203125" style="8" customWidth="1"/>
    <col min="1292" max="1292" width="15.33203125" style="8" customWidth="1"/>
    <col min="1293" max="1293" width="14.44140625" style="8" bestFit="1" customWidth="1"/>
    <col min="1294" max="1294" width="10.44140625" style="8" bestFit="1" customWidth="1"/>
    <col min="1295" max="1295" width="12.33203125" style="8" customWidth="1"/>
    <col min="1296" max="1300" width="11.44140625" style="8" customWidth="1"/>
    <col min="1301" max="1302" width="10.5546875" style="8" bestFit="1" customWidth="1"/>
    <col min="1303" max="1304" width="11.44140625" style="8" customWidth="1"/>
    <col min="1305" max="1305" width="6.109375" style="8" customWidth="1"/>
    <col min="1306" max="1316" width="11.44140625" style="8" customWidth="1"/>
    <col min="1317" max="1546" width="11.44140625" style="8"/>
    <col min="1547" max="1547" width="5.33203125" style="8" customWidth="1"/>
    <col min="1548" max="1548" width="15.33203125" style="8" customWidth="1"/>
    <col min="1549" max="1549" width="14.44140625" style="8" bestFit="1" customWidth="1"/>
    <col min="1550" max="1550" width="10.44140625" style="8" bestFit="1" customWidth="1"/>
    <col min="1551" max="1551" width="12.33203125" style="8" customWidth="1"/>
    <col min="1552" max="1556" width="11.44140625" style="8" customWidth="1"/>
    <col min="1557" max="1558" width="10.5546875" style="8" bestFit="1" customWidth="1"/>
    <col min="1559" max="1560" width="11.44140625" style="8" customWidth="1"/>
    <col min="1561" max="1561" width="6.109375" style="8" customWidth="1"/>
    <col min="1562" max="1572" width="11.44140625" style="8" customWidth="1"/>
    <col min="1573" max="1802" width="11.44140625" style="8"/>
    <col min="1803" max="1803" width="5.33203125" style="8" customWidth="1"/>
    <col min="1804" max="1804" width="15.33203125" style="8" customWidth="1"/>
    <col min="1805" max="1805" width="14.44140625" style="8" bestFit="1" customWidth="1"/>
    <col min="1806" max="1806" width="10.44140625" style="8" bestFit="1" customWidth="1"/>
    <col min="1807" max="1807" width="12.33203125" style="8" customWidth="1"/>
    <col min="1808" max="1812" width="11.44140625" style="8" customWidth="1"/>
    <col min="1813" max="1814" width="10.5546875" style="8" bestFit="1" customWidth="1"/>
    <col min="1815" max="1816" width="11.44140625" style="8" customWidth="1"/>
    <col min="1817" max="1817" width="6.109375" style="8" customWidth="1"/>
    <col min="1818" max="1828" width="11.44140625" style="8" customWidth="1"/>
    <col min="1829" max="2058" width="11.44140625" style="8"/>
    <col min="2059" max="2059" width="5.33203125" style="8" customWidth="1"/>
    <col min="2060" max="2060" width="15.33203125" style="8" customWidth="1"/>
    <col min="2061" max="2061" width="14.44140625" style="8" bestFit="1" customWidth="1"/>
    <col min="2062" max="2062" width="10.44140625" style="8" bestFit="1" customWidth="1"/>
    <col min="2063" max="2063" width="12.33203125" style="8" customWidth="1"/>
    <col min="2064" max="2068" width="11.44140625" style="8" customWidth="1"/>
    <col min="2069" max="2070" width="10.5546875" style="8" bestFit="1" customWidth="1"/>
    <col min="2071" max="2072" width="11.44140625" style="8" customWidth="1"/>
    <col min="2073" max="2073" width="6.109375" style="8" customWidth="1"/>
    <col min="2074" max="2084" width="11.44140625" style="8" customWidth="1"/>
    <col min="2085" max="2314" width="11.44140625" style="8"/>
    <col min="2315" max="2315" width="5.33203125" style="8" customWidth="1"/>
    <col min="2316" max="2316" width="15.33203125" style="8" customWidth="1"/>
    <col min="2317" max="2317" width="14.44140625" style="8" bestFit="1" customWidth="1"/>
    <col min="2318" max="2318" width="10.44140625" style="8" bestFit="1" customWidth="1"/>
    <col min="2319" max="2319" width="12.33203125" style="8" customWidth="1"/>
    <col min="2320" max="2324" width="11.44140625" style="8" customWidth="1"/>
    <col min="2325" max="2326" width="10.5546875" style="8" bestFit="1" customWidth="1"/>
    <col min="2327" max="2328" width="11.44140625" style="8" customWidth="1"/>
    <col min="2329" max="2329" width="6.109375" style="8" customWidth="1"/>
    <col min="2330" max="2340" width="11.44140625" style="8" customWidth="1"/>
    <col min="2341" max="2570" width="11.44140625" style="8"/>
    <col min="2571" max="2571" width="5.33203125" style="8" customWidth="1"/>
    <col min="2572" max="2572" width="15.33203125" style="8" customWidth="1"/>
    <col min="2573" max="2573" width="14.44140625" style="8" bestFit="1" customWidth="1"/>
    <col min="2574" max="2574" width="10.44140625" style="8" bestFit="1" customWidth="1"/>
    <col min="2575" max="2575" width="12.33203125" style="8" customWidth="1"/>
    <col min="2576" max="2580" width="11.44140625" style="8" customWidth="1"/>
    <col min="2581" max="2582" width="10.5546875" style="8" bestFit="1" customWidth="1"/>
    <col min="2583" max="2584" width="11.44140625" style="8" customWidth="1"/>
    <col min="2585" max="2585" width="6.109375" style="8" customWidth="1"/>
    <col min="2586" max="2596" width="11.44140625" style="8" customWidth="1"/>
    <col min="2597" max="2826" width="11.44140625" style="8"/>
    <col min="2827" max="2827" width="5.33203125" style="8" customWidth="1"/>
    <col min="2828" max="2828" width="15.33203125" style="8" customWidth="1"/>
    <col min="2829" max="2829" width="14.44140625" style="8" bestFit="1" customWidth="1"/>
    <col min="2830" max="2830" width="10.44140625" style="8" bestFit="1" customWidth="1"/>
    <col min="2831" max="2831" width="12.33203125" style="8" customWidth="1"/>
    <col min="2832" max="2836" width="11.44140625" style="8" customWidth="1"/>
    <col min="2837" max="2838" width="10.5546875" style="8" bestFit="1" customWidth="1"/>
    <col min="2839" max="2840" width="11.44140625" style="8" customWidth="1"/>
    <col min="2841" max="2841" width="6.109375" style="8" customWidth="1"/>
    <col min="2842" max="2852" width="11.44140625" style="8" customWidth="1"/>
    <col min="2853" max="3082" width="11.44140625" style="8"/>
    <col min="3083" max="3083" width="5.33203125" style="8" customWidth="1"/>
    <col min="3084" max="3084" width="15.33203125" style="8" customWidth="1"/>
    <col min="3085" max="3085" width="14.44140625" style="8" bestFit="1" customWidth="1"/>
    <col min="3086" max="3086" width="10.44140625" style="8" bestFit="1" customWidth="1"/>
    <col min="3087" max="3087" width="12.33203125" style="8" customWidth="1"/>
    <col min="3088" max="3092" width="11.44140625" style="8" customWidth="1"/>
    <col min="3093" max="3094" width="10.5546875" style="8" bestFit="1" customWidth="1"/>
    <col min="3095" max="3096" width="11.44140625" style="8" customWidth="1"/>
    <col min="3097" max="3097" width="6.109375" style="8" customWidth="1"/>
    <col min="3098" max="3108" width="11.44140625" style="8" customWidth="1"/>
    <col min="3109" max="3338" width="11.44140625" style="8"/>
    <col min="3339" max="3339" width="5.33203125" style="8" customWidth="1"/>
    <col min="3340" max="3340" width="15.33203125" style="8" customWidth="1"/>
    <col min="3341" max="3341" width="14.44140625" style="8" bestFit="1" customWidth="1"/>
    <col min="3342" max="3342" width="10.44140625" style="8" bestFit="1" customWidth="1"/>
    <col min="3343" max="3343" width="12.33203125" style="8" customWidth="1"/>
    <col min="3344" max="3348" width="11.44140625" style="8" customWidth="1"/>
    <col min="3349" max="3350" width="10.5546875" style="8" bestFit="1" customWidth="1"/>
    <col min="3351" max="3352" width="11.44140625" style="8" customWidth="1"/>
    <col min="3353" max="3353" width="6.109375" style="8" customWidth="1"/>
    <col min="3354" max="3364" width="11.44140625" style="8" customWidth="1"/>
    <col min="3365" max="3594" width="11.44140625" style="8"/>
    <col min="3595" max="3595" width="5.33203125" style="8" customWidth="1"/>
    <col min="3596" max="3596" width="15.33203125" style="8" customWidth="1"/>
    <col min="3597" max="3597" width="14.44140625" style="8" bestFit="1" customWidth="1"/>
    <col min="3598" max="3598" width="10.44140625" style="8" bestFit="1" customWidth="1"/>
    <col min="3599" max="3599" width="12.33203125" style="8" customWidth="1"/>
    <col min="3600" max="3604" width="11.44140625" style="8" customWidth="1"/>
    <col min="3605" max="3606" width="10.5546875" style="8" bestFit="1" customWidth="1"/>
    <col min="3607" max="3608" width="11.44140625" style="8" customWidth="1"/>
    <col min="3609" max="3609" width="6.109375" style="8" customWidth="1"/>
    <col min="3610" max="3620" width="11.44140625" style="8" customWidth="1"/>
    <col min="3621" max="3850" width="11.44140625" style="8"/>
    <col min="3851" max="3851" width="5.33203125" style="8" customWidth="1"/>
    <col min="3852" max="3852" width="15.33203125" style="8" customWidth="1"/>
    <col min="3853" max="3853" width="14.44140625" style="8" bestFit="1" customWidth="1"/>
    <col min="3854" max="3854" width="10.44140625" style="8" bestFit="1" customWidth="1"/>
    <col min="3855" max="3855" width="12.33203125" style="8" customWidth="1"/>
    <col min="3856" max="3860" width="11.44140625" style="8" customWidth="1"/>
    <col min="3861" max="3862" width="10.5546875" style="8" bestFit="1" customWidth="1"/>
    <col min="3863" max="3864" width="11.44140625" style="8" customWidth="1"/>
    <col min="3865" max="3865" width="6.109375" style="8" customWidth="1"/>
    <col min="3866" max="3876" width="11.44140625" style="8" customWidth="1"/>
    <col min="3877" max="4106" width="11.44140625" style="8"/>
    <col min="4107" max="4107" width="5.33203125" style="8" customWidth="1"/>
    <col min="4108" max="4108" width="15.33203125" style="8" customWidth="1"/>
    <col min="4109" max="4109" width="14.44140625" style="8" bestFit="1" customWidth="1"/>
    <col min="4110" max="4110" width="10.44140625" style="8" bestFit="1" customWidth="1"/>
    <col min="4111" max="4111" width="12.33203125" style="8" customWidth="1"/>
    <col min="4112" max="4116" width="11.44140625" style="8" customWidth="1"/>
    <col min="4117" max="4118" width="10.5546875" style="8" bestFit="1" customWidth="1"/>
    <col min="4119" max="4120" width="11.44140625" style="8" customWidth="1"/>
    <col min="4121" max="4121" width="6.109375" style="8" customWidth="1"/>
    <col min="4122" max="4132" width="11.44140625" style="8" customWidth="1"/>
    <col min="4133" max="4362" width="11.44140625" style="8"/>
    <col min="4363" max="4363" width="5.33203125" style="8" customWidth="1"/>
    <col min="4364" max="4364" width="15.33203125" style="8" customWidth="1"/>
    <col min="4365" max="4365" width="14.44140625" style="8" bestFit="1" customWidth="1"/>
    <col min="4366" max="4366" width="10.44140625" style="8" bestFit="1" customWidth="1"/>
    <col min="4367" max="4367" width="12.33203125" style="8" customWidth="1"/>
    <col min="4368" max="4372" width="11.44140625" style="8" customWidth="1"/>
    <col min="4373" max="4374" width="10.5546875" style="8" bestFit="1" customWidth="1"/>
    <col min="4375" max="4376" width="11.44140625" style="8" customWidth="1"/>
    <col min="4377" max="4377" width="6.109375" style="8" customWidth="1"/>
    <col min="4378" max="4388" width="11.44140625" style="8" customWidth="1"/>
    <col min="4389" max="4618" width="11.44140625" style="8"/>
    <col min="4619" max="4619" width="5.33203125" style="8" customWidth="1"/>
    <col min="4620" max="4620" width="15.33203125" style="8" customWidth="1"/>
    <col min="4621" max="4621" width="14.44140625" style="8" bestFit="1" customWidth="1"/>
    <col min="4622" max="4622" width="10.44140625" style="8" bestFit="1" customWidth="1"/>
    <col min="4623" max="4623" width="12.33203125" style="8" customWidth="1"/>
    <col min="4624" max="4628" width="11.44140625" style="8" customWidth="1"/>
    <col min="4629" max="4630" width="10.5546875" style="8" bestFit="1" customWidth="1"/>
    <col min="4631" max="4632" width="11.44140625" style="8" customWidth="1"/>
    <col min="4633" max="4633" width="6.109375" style="8" customWidth="1"/>
    <col min="4634" max="4644" width="11.44140625" style="8" customWidth="1"/>
    <col min="4645" max="4874" width="11.44140625" style="8"/>
    <col min="4875" max="4875" width="5.33203125" style="8" customWidth="1"/>
    <col min="4876" max="4876" width="15.33203125" style="8" customWidth="1"/>
    <col min="4877" max="4877" width="14.44140625" style="8" bestFit="1" customWidth="1"/>
    <col min="4878" max="4878" width="10.44140625" style="8" bestFit="1" customWidth="1"/>
    <col min="4879" max="4879" width="12.33203125" style="8" customWidth="1"/>
    <col min="4880" max="4884" width="11.44140625" style="8" customWidth="1"/>
    <col min="4885" max="4886" width="10.5546875" style="8" bestFit="1" customWidth="1"/>
    <col min="4887" max="4888" width="11.44140625" style="8" customWidth="1"/>
    <col min="4889" max="4889" width="6.109375" style="8" customWidth="1"/>
    <col min="4890" max="4900" width="11.44140625" style="8" customWidth="1"/>
    <col min="4901" max="5130" width="11.44140625" style="8"/>
    <col min="5131" max="5131" width="5.33203125" style="8" customWidth="1"/>
    <col min="5132" max="5132" width="15.33203125" style="8" customWidth="1"/>
    <col min="5133" max="5133" width="14.44140625" style="8" bestFit="1" customWidth="1"/>
    <col min="5134" max="5134" width="10.44140625" style="8" bestFit="1" customWidth="1"/>
    <col min="5135" max="5135" width="12.33203125" style="8" customWidth="1"/>
    <col min="5136" max="5140" width="11.44140625" style="8" customWidth="1"/>
    <col min="5141" max="5142" width="10.5546875" style="8" bestFit="1" customWidth="1"/>
    <col min="5143" max="5144" width="11.44140625" style="8" customWidth="1"/>
    <col min="5145" max="5145" width="6.109375" style="8" customWidth="1"/>
    <col min="5146" max="5156" width="11.44140625" style="8" customWidth="1"/>
    <col min="5157" max="5386" width="11.44140625" style="8"/>
    <col min="5387" max="5387" width="5.33203125" style="8" customWidth="1"/>
    <col min="5388" max="5388" width="15.33203125" style="8" customWidth="1"/>
    <col min="5389" max="5389" width="14.44140625" style="8" bestFit="1" customWidth="1"/>
    <col min="5390" max="5390" width="10.44140625" style="8" bestFit="1" customWidth="1"/>
    <col min="5391" max="5391" width="12.33203125" style="8" customWidth="1"/>
    <col min="5392" max="5396" width="11.44140625" style="8" customWidth="1"/>
    <col min="5397" max="5398" width="10.5546875" style="8" bestFit="1" customWidth="1"/>
    <col min="5399" max="5400" width="11.44140625" style="8" customWidth="1"/>
    <col min="5401" max="5401" width="6.109375" style="8" customWidth="1"/>
    <col min="5402" max="5412" width="11.44140625" style="8" customWidth="1"/>
    <col min="5413" max="5642" width="11.44140625" style="8"/>
    <col min="5643" max="5643" width="5.33203125" style="8" customWidth="1"/>
    <col min="5644" max="5644" width="15.33203125" style="8" customWidth="1"/>
    <col min="5645" max="5645" width="14.44140625" style="8" bestFit="1" customWidth="1"/>
    <col min="5646" max="5646" width="10.44140625" style="8" bestFit="1" customWidth="1"/>
    <col min="5647" max="5647" width="12.33203125" style="8" customWidth="1"/>
    <col min="5648" max="5652" width="11.44140625" style="8" customWidth="1"/>
    <col min="5653" max="5654" width="10.5546875" style="8" bestFit="1" customWidth="1"/>
    <col min="5655" max="5656" width="11.44140625" style="8" customWidth="1"/>
    <col min="5657" max="5657" width="6.109375" style="8" customWidth="1"/>
    <col min="5658" max="5668" width="11.44140625" style="8" customWidth="1"/>
    <col min="5669" max="5898" width="11.44140625" style="8"/>
    <col min="5899" max="5899" width="5.33203125" style="8" customWidth="1"/>
    <col min="5900" max="5900" width="15.33203125" style="8" customWidth="1"/>
    <col min="5901" max="5901" width="14.44140625" style="8" bestFit="1" customWidth="1"/>
    <col min="5902" max="5902" width="10.44140625" style="8" bestFit="1" customWidth="1"/>
    <col min="5903" max="5903" width="12.33203125" style="8" customWidth="1"/>
    <col min="5904" max="5908" width="11.44140625" style="8" customWidth="1"/>
    <col min="5909" max="5910" width="10.5546875" style="8" bestFit="1" customWidth="1"/>
    <col min="5911" max="5912" width="11.44140625" style="8" customWidth="1"/>
    <col min="5913" max="5913" width="6.109375" style="8" customWidth="1"/>
    <col min="5914" max="5924" width="11.44140625" style="8" customWidth="1"/>
    <col min="5925" max="6154" width="11.44140625" style="8"/>
    <col min="6155" max="6155" width="5.33203125" style="8" customWidth="1"/>
    <col min="6156" max="6156" width="15.33203125" style="8" customWidth="1"/>
    <col min="6157" max="6157" width="14.44140625" style="8" bestFit="1" customWidth="1"/>
    <col min="6158" max="6158" width="10.44140625" style="8" bestFit="1" customWidth="1"/>
    <col min="6159" max="6159" width="12.33203125" style="8" customWidth="1"/>
    <col min="6160" max="6164" width="11.44140625" style="8" customWidth="1"/>
    <col min="6165" max="6166" width="10.5546875" style="8" bestFit="1" customWidth="1"/>
    <col min="6167" max="6168" width="11.44140625" style="8" customWidth="1"/>
    <col min="6169" max="6169" width="6.109375" style="8" customWidth="1"/>
    <col min="6170" max="6180" width="11.44140625" style="8" customWidth="1"/>
    <col min="6181" max="6410" width="11.44140625" style="8"/>
    <col min="6411" max="6411" width="5.33203125" style="8" customWidth="1"/>
    <col min="6412" max="6412" width="15.33203125" style="8" customWidth="1"/>
    <col min="6413" max="6413" width="14.44140625" style="8" bestFit="1" customWidth="1"/>
    <col min="6414" max="6414" width="10.44140625" style="8" bestFit="1" customWidth="1"/>
    <col min="6415" max="6415" width="12.33203125" style="8" customWidth="1"/>
    <col min="6416" max="6420" width="11.44140625" style="8" customWidth="1"/>
    <col min="6421" max="6422" width="10.5546875" style="8" bestFit="1" customWidth="1"/>
    <col min="6423" max="6424" width="11.44140625" style="8" customWidth="1"/>
    <col min="6425" max="6425" width="6.109375" style="8" customWidth="1"/>
    <col min="6426" max="6436" width="11.44140625" style="8" customWidth="1"/>
    <col min="6437" max="6666" width="11.44140625" style="8"/>
    <col min="6667" max="6667" width="5.33203125" style="8" customWidth="1"/>
    <col min="6668" max="6668" width="15.33203125" style="8" customWidth="1"/>
    <col min="6669" max="6669" width="14.44140625" style="8" bestFit="1" customWidth="1"/>
    <col min="6670" max="6670" width="10.44140625" style="8" bestFit="1" customWidth="1"/>
    <col min="6671" max="6671" width="12.33203125" style="8" customWidth="1"/>
    <col min="6672" max="6676" width="11.44140625" style="8" customWidth="1"/>
    <col min="6677" max="6678" width="10.5546875" style="8" bestFit="1" customWidth="1"/>
    <col min="6679" max="6680" width="11.44140625" style="8" customWidth="1"/>
    <col min="6681" max="6681" width="6.109375" style="8" customWidth="1"/>
    <col min="6682" max="6692" width="11.44140625" style="8" customWidth="1"/>
    <col min="6693" max="6922" width="11.44140625" style="8"/>
    <col min="6923" max="6923" width="5.33203125" style="8" customWidth="1"/>
    <col min="6924" max="6924" width="15.33203125" style="8" customWidth="1"/>
    <col min="6925" max="6925" width="14.44140625" style="8" bestFit="1" customWidth="1"/>
    <col min="6926" max="6926" width="10.44140625" style="8" bestFit="1" customWidth="1"/>
    <col min="6927" max="6927" width="12.33203125" style="8" customWidth="1"/>
    <col min="6928" max="6932" width="11.44140625" style="8" customWidth="1"/>
    <col min="6933" max="6934" width="10.5546875" style="8" bestFit="1" customWidth="1"/>
    <col min="6935" max="6936" width="11.44140625" style="8" customWidth="1"/>
    <col min="6937" max="6937" width="6.109375" style="8" customWidth="1"/>
    <col min="6938" max="6948" width="11.44140625" style="8" customWidth="1"/>
    <col min="6949" max="7178" width="11.44140625" style="8"/>
    <col min="7179" max="7179" width="5.33203125" style="8" customWidth="1"/>
    <col min="7180" max="7180" width="15.33203125" style="8" customWidth="1"/>
    <col min="7181" max="7181" width="14.44140625" style="8" bestFit="1" customWidth="1"/>
    <col min="7182" max="7182" width="10.44140625" style="8" bestFit="1" customWidth="1"/>
    <col min="7183" max="7183" width="12.33203125" style="8" customWidth="1"/>
    <col min="7184" max="7188" width="11.44140625" style="8" customWidth="1"/>
    <col min="7189" max="7190" width="10.5546875" style="8" bestFit="1" customWidth="1"/>
    <col min="7191" max="7192" width="11.44140625" style="8" customWidth="1"/>
    <col min="7193" max="7193" width="6.109375" style="8" customWidth="1"/>
    <col min="7194" max="7204" width="11.44140625" style="8" customWidth="1"/>
    <col min="7205" max="7434" width="11.44140625" style="8"/>
    <col min="7435" max="7435" width="5.33203125" style="8" customWidth="1"/>
    <col min="7436" max="7436" width="15.33203125" style="8" customWidth="1"/>
    <col min="7437" max="7437" width="14.44140625" style="8" bestFit="1" customWidth="1"/>
    <col min="7438" max="7438" width="10.44140625" style="8" bestFit="1" customWidth="1"/>
    <col min="7439" max="7439" width="12.33203125" style="8" customWidth="1"/>
    <col min="7440" max="7444" width="11.44140625" style="8" customWidth="1"/>
    <col min="7445" max="7446" width="10.5546875" style="8" bestFit="1" customWidth="1"/>
    <col min="7447" max="7448" width="11.44140625" style="8" customWidth="1"/>
    <col min="7449" max="7449" width="6.109375" style="8" customWidth="1"/>
    <col min="7450" max="7460" width="11.44140625" style="8" customWidth="1"/>
    <col min="7461" max="7690" width="11.44140625" style="8"/>
    <col min="7691" max="7691" width="5.33203125" style="8" customWidth="1"/>
    <col min="7692" max="7692" width="15.33203125" style="8" customWidth="1"/>
    <col min="7693" max="7693" width="14.44140625" style="8" bestFit="1" customWidth="1"/>
    <col min="7694" max="7694" width="10.44140625" style="8" bestFit="1" customWidth="1"/>
    <col min="7695" max="7695" width="12.33203125" style="8" customWidth="1"/>
    <col min="7696" max="7700" width="11.44140625" style="8" customWidth="1"/>
    <col min="7701" max="7702" width="10.5546875" style="8" bestFit="1" customWidth="1"/>
    <col min="7703" max="7704" width="11.44140625" style="8" customWidth="1"/>
    <col min="7705" max="7705" width="6.109375" style="8" customWidth="1"/>
    <col min="7706" max="7716" width="11.44140625" style="8" customWidth="1"/>
    <col min="7717" max="7946" width="11.44140625" style="8"/>
    <col min="7947" max="7947" width="5.33203125" style="8" customWidth="1"/>
    <col min="7948" max="7948" width="15.33203125" style="8" customWidth="1"/>
    <col min="7949" max="7949" width="14.44140625" style="8" bestFit="1" customWidth="1"/>
    <col min="7950" max="7950" width="10.44140625" style="8" bestFit="1" customWidth="1"/>
    <col min="7951" max="7951" width="12.33203125" style="8" customWidth="1"/>
    <col min="7952" max="7956" width="11.44140625" style="8" customWidth="1"/>
    <col min="7957" max="7958" width="10.5546875" style="8" bestFit="1" customWidth="1"/>
    <col min="7959" max="7960" width="11.44140625" style="8" customWidth="1"/>
    <col min="7961" max="7961" width="6.109375" style="8" customWidth="1"/>
    <col min="7962" max="7972" width="11.44140625" style="8" customWidth="1"/>
    <col min="7973" max="8202" width="11.44140625" style="8"/>
    <col min="8203" max="8203" width="5.33203125" style="8" customWidth="1"/>
    <col min="8204" max="8204" width="15.33203125" style="8" customWidth="1"/>
    <col min="8205" max="8205" width="14.44140625" style="8" bestFit="1" customWidth="1"/>
    <col min="8206" max="8206" width="10.44140625" style="8" bestFit="1" customWidth="1"/>
    <col min="8207" max="8207" width="12.33203125" style="8" customWidth="1"/>
    <col min="8208" max="8212" width="11.44140625" style="8" customWidth="1"/>
    <col min="8213" max="8214" width="10.5546875" style="8" bestFit="1" customWidth="1"/>
    <col min="8215" max="8216" width="11.44140625" style="8" customWidth="1"/>
    <col min="8217" max="8217" width="6.109375" style="8" customWidth="1"/>
    <col min="8218" max="8228" width="11.44140625" style="8" customWidth="1"/>
    <col min="8229" max="8458" width="11.44140625" style="8"/>
    <col min="8459" max="8459" width="5.33203125" style="8" customWidth="1"/>
    <col min="8460" max="8460" width="15.33203125" style="8" customWidth="1"/>
    <col min="8461" max="8461" width="14.44140625" style="8" bestFit="1" customWidth="1"/>
    <col min="8462" max="8462" width="10.44140625" style="8" bestFit="1" customWidth="1"/>
    <col min="8463" max="8463" width="12.33203125" style="8" customWidth="1"/>
    <col min="8464" max="8468" width="11.44140625" style="8" customWidth="1"/>
    <col min="8469" max="8470" width="10.5546875" style="8" bestFit="1" customWidth="1"/>
    <col min="8471" max="8472" width="11.44140625" style="8" customWidth="1"/>
    <col min="8473" max="8473" width="6.109375" style="8" customWidth="1"/>
    <col min="8474" max="8484" width="11.44140625" style="8" customWidth="1"/>
    <col min="8485" max="8714" width="11.44140625" style="8"/>
    <col min="8715" max="8715" width="5.33203125" style="8" customWidth="1"/>
    <col min="8716" max="8716" width="15.33203125" style="8" customWidth="1"/>
    <col min="8717" max="8717" width="14.44140625" style="8" bestFit="1" customWidth="1"/>
    <col min="8718" max="8718" width="10.44140625" style="8" bestFit="1" customWidth="1"/>
    <col min="8719" max="8719" width="12.33203125" style="8" customWidth="1"/>
    <col min="8720" max="8724" width="11.44140625" style="8" customWidth="1"/>
    <col min="8725" max="8726" width="10.5546875" style="8" bestFit="1" customWidth="1"/>
    <col min="8727" max="8728" width="11.44140625" style="8" customWidth="1"/>
    <col min="8729" max="8729" width="6.109375" style="8" customWidth="1"/>
    <col min="8730" max="8740" width="11.44140625" style="8" customWidth="1"/>
    <col min="8741" max="8970" width="11.44140625" style="8"/>
    <col min="8971" max="8971" width="5.33203125" style="8" customWidth="1"/>
    <col min="8972" max="8972" width="15.33203125" style="8" customWidth="1"/>
    <col min="8973" max="8973" width="14.44140625" style="8" bestFit="1" customWidth="1"/>
    <col min="8974" max="8974" width="10.44140625" style="8" bestFit="1" customWidth="1"/>
    <col min="8975" max="8975" width="12.33203125" style="8" customWidth="1"/>
    <col min="8976" max="8980" width="11.44140625" style="8" customWidth="1"/>
    <col min="8981" max="8982" width="10.5546875" style="8" bestFit="1" customWidth="1"/>
    <col min="8983" max="8984" width="11.44140625" style="8" customWidth="1"/>
    <col min="8985" max="8985" width="6.109375" style="8" customWidth="1"/>
    <col min="8986" max="8996" width="11.44140625" style="8" customWidth="1"/>
    <col min="8997" max="9226" width="11.44140625" style="8"/>
    <col min="9227" max="9227" width="5.33203125" style="8" customWidth="1"/>
    <col min="9228" max="9228" width="15.33203125" style="8" customWidth="1"/>
    <col min="9229" max="9229" width="14.44140625" style="8" bestFit="1" customWidth="1"/>
    <col min="9230" max="9230" width="10.44140625" style="8" bestFit="1" customWidth="1"/>
    <col min="9231" max="9231" width="12.33203125" style="8" customWidth="1"/>
    <col min="9232" max="9236" width="11.44140625" style="8" customWidth="1"/>
    <col min="9237" max="9238" width="10.5546875" style="8" bestFit="1" customWidth="1"/>
    <col min="9239" max="9240" width="11.44140625" style="8" customWidth="1"/>
    <col min="9241" max="9241" width="6.109375" style="8" customWidth="1"/>
    <col min="9242" max="9252" width="11.44140625" style="8" customWidth="1"/>
    <col min="9253" max="9482" width="11.44140625" style="8"/>
    <col min="9483" max="9483" width="5.33203125" style="8" customWidth="1"/>
    <col min="9484" max="9484" width="15.33203125" style="8" customWidth="1"/>
    <col min="9485" max="9485" width="14.44140625" style="8" bestFit="1" customWidth="1"/>
    <col min="9486" max="9486" width="10.44140625" style="8" bestFit="1" customWidth="1"/>
    <col min="9487" max="9487" width="12.33203125" style="8" customWidth="1"/>
    <col min="9488" max="9492" width="11.44140625" style="8" customWidth="1"/>
    <col min="9493" max="9494" width="10.5546875" style="8" bestFit="1" customWidth="1"/>
    <col min="9495" max="9496" width="11.44140625" style="8" customWidth="1"/>
    <col min="9497" max="9497" width="6.109375" style="8" customWidth="1"/>
    <col min="9498" max="9508" width="11.44140625" style="8" customWidth="1"/>
    <col min="9509" max="9738" width="11.44140625" style="8"/>
    <col min="9739" max="9739" width="5.33203125" style="8" customWidth="1"/>
    <col min="9740" max="9740" width="15.33203125" style="8" customWidth="1"/>
    <col min="9741" max="9741" width="14.44140625" style="8" bestFit="1" customWidth="1"/>
    <col min="9742" max="9742" width="10.44140625" style="8" bestFit="1" customWidth="1"/>
    <col min="9743" max="9743" width="12.33203125" style="8" customWidth="1"/>
    <col min="9744" max="9748" width="11.44140625" style="8" customWidth="1"/>
    <col min="9749" max="9750" width="10.5546875" style="8" bestFit="1" customWidth="1"/>
    <col min="9751" max="9752" width="11.44140625" style="8" customWidth="1"/>
    <col min="9753" max="9753" width="6.109375" style="8" customWidth="1"/>
    <col min="9754" max="9764" width="11.44140625" style="8" customWidth="1"/>
    <col min="9765" max="9994" width="11.44140625" style="8"/>
    <col min="9995" max="9995" width="5.33203125" style="8" customWidth="1"/>
    <col min="9996" max="9996" width="15.33203125" style="8" customWidth="1"/>
    <col min="9997" max="9997" width="14.44140625" style="8" bestFit="1" customWidth="1"/>
    <col min="9998" max="9998" width="10.44140625" style="8" bestFit="1" customWidth="1"/>
    <col min="9999" max="9999" width="12.33203125" style="8" customWidth="1"/>
    <col min="10000" max="10004" width="11.44140625" style="8" customWidth="1"/>
    <col min="10005" max="10006" width="10.5546875" style="8" bestFit="1" customWidth="1"/>
    <col min="10007" max="10008" width="11.44140625" style="8" customWidth="1"/>
    <col min="10009" max="10009" width="6.109375" style="8" customWidth="1"/>
    <col min="10010" max="10020" width="11.44140625" style="8" customWidth="1"/>
    <col min="10021" max="10250" width="11.44140625" style="8"/>
    <col min="10251" max="10251" width="5.33203125" style="8" customWidth="1"/>
    <col min="10252" max="10252" width="15.33203125" style="8" customWidth="1"/>
    <col min="10253" max="10253" width="14.44140625" style="8" bestFit="1" customWidth="1"/>
    <col min="10254" max="10254" width="10.44140625" style="8" bestFit="1" customWidth="1"/>
    <col min="10255" max="10255" width="12.33203125" style="8" customWidth="1"/>
    <col min="10256" max="10260" width="11.44140625" style="8" customWidth="1"/>
    <col min="10261" max="10262" width="10.5546875" style="8" bestFit="1" customWidth="1"/>
    <col min="10263" max="10264" width="11.44140625" style="8" customWidth="1"/>
    <col min="10265" max="10265" width="6.109375" style="8" customWidth="1"/>
    <col min="10266" max="10276" width="11.44140625" style="8" customWidth="1"/>
    <col min="10277" max="10506" width="11.44140625" style="8"/>
    <col min="10507" max="10507" width="5.33203125" style="8" customWidth="1"/>
    <col min="10508" max="10508" width="15.33203125" style="8" customWidth="1"/>
    <col min="10509" max="10509" width="14.44140625" style="8" bestFit="1" customWidth="1"/>
    <col min="10510" max="10510" width="10.44140625" style="8" bestFit="1" customWidth="1"/>
    <col min="10511" max="10511" width="12.33203125" style="8" customWidth="1"/>
    <col min="10512" max="10516" width="11.44140625" style="8" customWidth="1"/>
    <col min="10517" max="10518" width="10.5546875" style="8" bestFit="1" customWidth="1"/>
    <col min="10519" max="10520" width="11.44140625" style="8" customWidth="1"/>
    <col min="10521" max="10521" width="6.109375" style="8" customWidth="1"/>
    <col min="10522" max="10532" width="11.44140625" style="8" customWidth="1"/>
    <col min="10533" max="10762" width="11.44140625" style="8"/>
    <col min="10763" max="10763" width="5.33203125" style="8" customWidth="1"/>
    <col min="10764" max="10764" width="15.33203125" style="8" customWidth="1"/>
    <col min="10765" max="10765" width="14.44140625" style="8" bestFit="1" customWidth="1"/>
    <col min="10766" max="10766" width="10.44140625" style="8" bestFit="1" customWidth="1"/>
    <col min="10767" max="10767" width="12.33203125" style="8" customWidth="1"/>
    <col min="10768" max="10772" width="11.44140625" style="8" customWidth="1"/>
    <col min="10773" max="10774" width="10.5546875" style="8" bestFit="1" customWidth="1"/>
    <col min="10775" max="10776" width="11.44140625" style="8" customWidth="1"/>
    <col min="10777" max="10777" width="6.109375" style="8" customWidth="1"/>
    <col min="10778" max="10788" width="11.44140625" style="8" customWidth="1"/>
    <col min="10789" max="11018" width="11.44140625" style="8"/>
    <col min="11019" max="11019" width="5.33203125" style="8" customWidth="1"/>
    <col min="11020" max="11020" width="15.33203125" style="8" customWidth="1"/>
    <col min="11021" max="11021" width="14.44140625" style="8" bestFit="1" customWidth="1"/>
    <col min="11022" max="11022" width="10.44140625" style="8" bestFit="1" customWidth="1"/>
    <col min="11023" max="11023" width="12.33203125" style="8" customWidth="1"/>
    <col min="11024" max="11028" width="11.44140625" style="8" customWidth="1"/>
    <col min="11029" max="11030" width="10.5546875" style="8" bestFit="1" customWidth="1"/>
    <col min="11031" max="11032" width="11.44140625" style="8" customWidth="1"/>
    <col min="11033" max="11033" width="6.109375" style="8" customWidth="1"/>
    <col min="11034" max="11044" width="11.44140625" style="8" customWidth="1"/>
    <col min="11045" max="11274" width="11.44140625" style="8"/>
    <col min="11275" max="11275" width="5.33203125" style="8" customWidth="1"/>
    <col min="11276" max="11276" width="15.33203125" style="8" customWidth="1"/>
    <col min="11277" max="11277" width="14.44140625" style="8" bestFit="1" customWidth="1"/>
    <col min="11278" max="11278" width="10.44140625" style="8" bestFit="1" customWidth="1"/>
    <col min="11279" max="11279" width="12.33203125" style="8" customWidth="1"/>
    <col min="11280" max="11284" width="11.44140625" style="8" customWidth="1"/>
    <col min="11285" max="11286" width="10.5546875" style="8" bestFit="1" customWidth="1"/>
    <col min="11287" max="11288" width="11.44140625" style="8" customWidth="1"/>
    <col min="11289" max="11289" width="6.109375" style="8" customWidth="1"/>
    <col min="11290" max="11300" width="11.44140625" style="8" customWidth="1"/>
    <col min="11301" max="11530" width="11.44140625" style="8"/>
    <col min="11531" max="11531" width="5.33203125" style="8" customWidth="1"/>
    <col min="11532" max="11532" width="15.33203125" style="8" customWidth="1"/>
    <col min="11533" max="11533" width="14.44140625" style="8" bestFit="1" customWidth="1"/>
    <col min="11534" max="11534" width="10.44140625" style="8" bestFit="1" customWidth="1"/>
    <col min="11535" max="11535" width="12.33203125" style="8" customWidth="1"/>
    <col min="11536" max="11540" width="11.44140625" style="8" customWidth="1"/>
    <col min="11541" max="11542" width="10.5546875" style="8" bestFit="1" customWidth="1"/>
    <col min="11543" max="11544" width="11.44140625" style="8" customWidth="1"/>
    <col min="11545" max="11545" width="6.109375" style="8" customWidth="1"/>
    <col min="11546" max="11556" width="11.44140625" style="8" customWidth="1"/>
    <col min="11557" max="11786" width="11.44140625" style="8"/>
    <col min="11787" max="11787" width="5.33203125" style="8" customWidth="1"/>
    <col min="11788" max="11788" width="15.33203125" style="8" customWidth="1"/>
    <col min="11789" max="11789" width="14.44140625" style="8" bestFit="1" customWidth="1"/>
    <col min="11790" max="11790" width="10.44140625" style="8" bestFit="1" customWidth="1"/>
    <col min="11791" max="11791" width="12.33203125" style="8" customWidth="1"/>
    <col min="11792" max="11796" width="11.44140625" style="8" customWidth="1"/>
    <col min="11797" max="11798" width="10.5546875" style="8" bestFit="1" customWidth="1"/>
    <col min="11799" max="11800" width="11.44140625" style="8" customWidth="1"/>
    <col min="11801" max="11801" width="6.109375" style="8" customWidth="1"/>
    <col min="11802" max="11812" width="11.44140625" style="8" customWidth="1"/>
    <col min="11813" max="12042" width="11.44140625" style="8"/>
    <col min="12043" max="12043" width="5.33203125" style="8" customWidth="1"/>
    <col min="12044" max="12044" width="15.33203125" style="8" customWidth="1"/>
    <col min="12045" max="12045" width="14.44140625" style="8" bestFit="1" customWidth="1"/>
    <col min="12046" max="12046" width="10.44140625" style="8" bestFit="1" customWidth="1"/>
    <col min="12047" max="12047" width="12.33203125" style="8" customWidth="1"/>
    <col min="12048" max="12052" width="11.44140625" style="8" customWidth="1"/>
    <col min="12053" max="12054" width="10.5546875" style="8" bestFit="1" customWidth="1"/>
    <col min="12055" max="12056" width="11.44140625" style="8" customWidth="1"/>
    <col min="12057" max="12057" width="6.109375" style="8" customWidth="1"/>
    <col min="12058" max="12068" width="11.44140625" style="8" customWidth="1"/>
    <col min="12069" max="12298" width="11.44140625" style="8"/>
    <col min="12299" max="12299" width="5.33203125" style="8" customWidth="1"/>
    <col min="12300" max="12300" width="15.33203125" style="8" customWidth="1"/>
    <col min="12301" max="12301" width="14.44140625" style="8" bestFit="1" customWidth="1"/>
    <col min="12302" max="12302" width="10.44140625" style="8" bestFit="1" customWidth="1"/>
    <col min="12303" max="12303" width="12.33203125" style="8" customWidth="1"/>
    <col min="12304" max="12308" width="11.44140625" style="8" customWidth="1"/>
    <col min="12309" max="12310" width="10.5546875" style="8" bestFit="1" customWidth="1"/>
    <col min="12311" max="12312" width="11.44140625" style="8" customWidth="1"/>
    <col min="12313" max="12313" width="6.109375" style="8" customWidth="1"/>
    <col min="12314" max="12324" width="11.44140625" style="8" customWidth="1"/>
    <col min="12325" max="12554" width="11.44140625" style="8"/>
    <col min="12555" max="12555" width="5.33203125" style="8" customWidth="1"/>
    <col min="12556" max="12556" width="15.33203125" style="8" customWidth="1"/>
    <col min="12557" max="12557" width="14.44140625" style="8" bestFit="1" customWidth="1"/>
    <col min="12558" max="12558" width="10.44140625" style="8" bestFit="1" customWidth="1"/>
    <col min="12559" max="12559" width="12.33203125" style="8" customWidth="1"/>
    <col min="12560" max="12564" width="11.44140625" style="8" customWidth="1"/>
    <col min="12565" max="12566" width="10.5546875" style="8" bestFit="1" customWidth="1"/>
    <col min="12567" max="12568" width="11.44140625" style="8" customWidth="1"/>
    <col min="12569" max="12569" width="6.109375" style="8" customWidth="1"/>
    <col min="12570" max="12580" width="11.44140625" style="8" customWidth="1"/>
    <col min="12581" max="12810" width="11.44140625" style="8"/>
    <col min="12811" max="12811" width="5.33203125" style="8" customWidth="1"/>
    <col min="12812" max="12812" width="15.33203125" style="8" customWidth="1"/>
    <col min="12813" max="12813" width="14.44140625" style="8" bestFit="1" customWidth="1"/>
    <col min="12814" max="12814" width="10.44140625" style="8" bestFit="1" customWidth="1"/>
    <col min="12815" max="12815" width="12.33203125" style="8" customWidth="1"/>
    <col min="12816" max="12820" width="11.44140625" style="8" customWidth="1"/>
    <col min="12821" max="12822" width="10.5546875" style="8" bestFit="1" customWidth="1"/>
    <col min="12823" max="12824" width="11.44140625" style="8" customWidth="1"/>
    <col min="12825" max="12825" width="6.109375" style="8" customWidth="1"/>
    <col min="12826" max="12836" width="11.44140625" style="8" customWidth="1"/>
    <col min="12837" max="13066" width="11.44140625" style="8"/>
    <col min="13067" max="13067" width="5.33203125" style="8" customWidth="1"/>
    <col min="13068" max="13068" width="15.33203125" style="8" customWidth="1"/>
    <col min="13069" max="13069" width="14.44140625" style="8" bestFit="1" customWidth="1"/>
    <col min="13070" max="13070" width="10.44140625" style="8" bestFit="1" customWidth="1"/>
    <col min="13071" max="13071" width="12.33203125" style="8" customWidth="1"/>
    <col min="13072" max="13076" width="11.44140625" style="8" customWidth="1"/>
    <col min="13077" max="13078" width="10.5546875" style="8" bestFit="1" customWidth="1"/>
    <col min="13079" max="13080" width="11.44140625" style="8" customWidth="1"/>
    <col min="13081" max="13081" width="6.109375" style="8" customWidth="1"/>
    <col min="13082" max="13092" width="11.44140625" style="8" customWidth="1"/>
    <col min="13093" max="13322" width="11.44140625" style="8"/>
    <col min="13323" max="13323" width="5.33203125" style="8" customWidth="1"/>
    <col min="13324" max="13324" width="15.33203125" style="8" customWidth="1"/>
    <col min="13325" max="13325" width="14.44140625" style="8" bestFit="1" customWidth="1"/>
    <col min="13326" max="13326" width="10.44140625" style="8" bestFit="1" customWidth="1"/>
    <col min="13327" max="13327" width="12.33203125" style="8" customWidth="1"/>
    <col min="13328" max="13332" width="11.44140625" style="8" customWidth="1"/>
    <col min="13333" max="13334" width="10.5546875" style="8" bestFit="1" customWidth="1"/>
    <col min="13335" max="13336" width="11.44140625" style="8" customWidth="1"/>
    <col min="13337" max="13337" width="6.109375" style="8" customWidth="1"/>
    <col min="13338" max="13348" width="11.44140625" style="8" customWidth="1"/>
    <col min="13349" max="13578" width="11.44140625" style="8"/>
    <col min="13579" max="13579" width="5.33203125" style="8" customWidth="1"/>
    <col min="13580" max="13580" width="15.33203125" style="8" customWidth="1"/>
    <col min="13581" max="13581" width="14.44140625" style="8" bestFit="1" customWidth="1"/>
    <col min="13582" max="13582" width="10.44140625" style="8" bestFit="1" customWidth="1"/>
    <col min="13583" max="13583" width="12.33203125" style="8" customWidth="1"/>
    <col min="13584" max="13588" width="11.44140625" style="8" customWidth="1"/>
    <col min="13589" max="13590" width="10.5546875" style="8" bestFit="1" customWidth="1"/>
    <col min="13591" max="13592" width="11.44140625" style="8" customWidth="1"/>
    <col min="13593" max="13593" width="6.109375" style="8" customWidth="1"/>
    <col min="13594" max="13604" width="11.44140625" style="8" customWidth="1"/>
    <col min="13605" max="13834" width="11.44140625" style="8"/>
    <col min="13835" max="13835" width="5.33203125" style="8" customWidth="1"/>
    <col min="13836" max="13836" width="15.33203125" style="8" customWidth="1"/>
    <col min="13837" max="13837" width="14.44140625" style="8" bestFit="1" customWidth="1"/>
    <col min="13838" max="13838" width="10.44140625" style="8" bestFit="1" customWidth="1"/>
    <col min="13839" max="13839" width="12.33203125" style="8" customWidth="1"/>
    <col min="13840" max="13844" width="11.44140625" style="8" customWidth="1"/>
    <col min="13845" max="13846" width="10.5546875" style="8" bestFit="1" customWidth="1"/>
    <col min="13847" max="13848" width="11.44140625" style="8" customWidth="1"/>
    <col min="13849" max="13849" width="6.109375" style="8" customWidth="1"/>
    <col min="13850" max="13860" width="11.44140625" style="8" customWidth="1"/>
    <col min="13861" max="14090" width="11.44140625" style="8"/>
    <col min="14091" max="14091" width="5.33203125" style="8" customWidth="1"/>
    <col min="14092" max="14092" width="15.33203125" style="8" customWidth="1"/>
    <col min="14093" max="14093" width="14.44140625" style="8" bestFit="1" customWidth="1"/>
    <col min="14094" max="14094" width="10.44140625" style="8" bestFit="1" customWidth="1"/>
    <col min="14095" max="14095" width="12.33203125" style="8" customWidth="1"/>
    <col min="14096" max="14100" width="11.44140625" style="8" customWidth="1"/>
    <col min="14101" max="14102" width="10.5546875" style="8" bestFit="1" customWidth="1"/>
    <col min="14103" max="14104" width="11.44140625" style="8" customWidth="1"/>
    <col min="14105" max="14105" width="6.109375" style="8" customWidth="1"/>
    <col min="14106" max="14116" width="11.44140625" style="8" customWidth="1"/>
    <col min="14117" max="14346" width="11.44140625" style="8"/>
    <col min="14347" max="14347" width="5.33203125" style="8" customWidth="1"/>
    <col min="14348" max="14348" width="15.33203125" style="8" customWidth="1"/>
    <col min="14349" max="14349" width="14.44140625" style="8" bestFit="1" customWidth="1"/>
    <col min="14350" max="14350" width="10.44140625" style="8" bestFit="1" customWidth="1"/>
    <col min="14351" max="14351" width="12.33203125" style="8" customWidth="1"/>
    <col min="14352" max="14356" width="11.44140625" style="8" customWidth="1"/>
    <col min="14357" max="14358" width="10.5546875" style="8" bestFit="1" customWidth="1"/>
    <col min="14359" max="14360" width="11.44140625" style="8" customWidth="1"/>
    <col min="14361" max="14361" width="6.109375" style="8" customWidth="1"/>
    <col min="14362" max="14372" width="11.44140625" style="8" customWidth="1"/>
    <col min="14373" max="14602" width="11.44140625" style="8"/>
    <col min="14603" max="14603" width="5.33203125" style="8" customWidth="1"/>
    <col min="14604" max="14604" width="15.33203125" style="8" customWidth="1"/>
    <col min="14605" max="14605" width="14.44140625" style="8" bestFit="1" customWidth="1"/>
    <col min="14606" max="14606" width="10.44140625" style="8" bestFit="1" customWidth="1"/>
    <col min="14607" max="14607" width="12.33203125" style="8" customWidth="1"/>
    <col min="14608" max="14612" width="11.44140625" style="8" customWidth="1"/>
    <col min="14613" max="14614" width="10.5546875" style="8" bestFit="1" customWidth="1"/>
    <col min="14615" max="14616" width="11.44140625" style="8" customWidth="1"/>
    <col min="14617" max="14617" width="6.109375" style="8" customWidth="1"/>
    <col min="14618" max="14628" width="11.44140625" style="8" customWidth="1"/>
    <col min="14629" max="14858" width="11.44140625" style="8"/>
    <col min="14859" max="14859" width="5.33203125" style="8" customWidth="1"/>
    <col min="14860" max="14860" width="15.33203125" style="8" customWidth="1"/>
    <col min="14861" max="14861" width="14.44140625" style="8" bestFit="1" customWidth="1"/>
    <col min="14862" max="14862" width="10.44140625" style="8" bestFit="1" customWidth="1"/>
    <col min="14863" max="14863" width="12.33203125" style="8" customWidth="1"/>
    <col min="14864" max="14868" width="11.44140625" style="8" customWidth="1"/>
    <col min="14869" max="14870" width="10.5546875" style="8" bestFit="1" customWidth="1"/>
    <col min="14871" max="14872" width="11.44140625" style="8" customWidth="1"/>
    <col min="14873" max="14873" width="6.109375" style="8" customWidth="1"/>
    <col min="14874" max="14884" width="11.44140625" style="8" customWidth="1"/>
    <col min="14885" max="15114" width="11.44140625" style="8"/>
    <col min="15115" max="15115" width="5.33203125" style="8" customWidth="1"/>
    <col min="15116" max="15116" width="15.33203125" style="8" customWidth="1"/>
    <col min="15117" max="15117" width="14.44140625" style="8" bestFit="1" customWidth="1"/>
    <col min="15118" max="15118" width="10.44140625" style="8" bestFit="1" customWidth="1"/>
    <col min="15119" max="15119" width="12.33203125" style="8" customWidth="1"/>
    <col min="15120" max="15124" width="11.44140625" style="8" customWidth="1"/>
    <col min="15125" max="15126" width="10.5546875" style="8" bestFit="1" customWidth="1"/>
    <col min="15127" max="15128" width="11.44140625" style="8" customWidth="1"/>
    <col min="15129" max="15129" width="6.109375" style="8" customWidth="1"/>
    <col min="15130" max="15140" width="11.44140625" style="8" customWidth="1"/>
    <col min="15141" max="15370" width="11.44140625" style="8"/>
    <col min="15371" max="15371" width="5.33203125" style="8" customWidth="1"/>
    <col min="15372" max="15372" width="15.33203125" style="8" customWidth="1"/>
    <col min="15373" max="15373" width="14.44140625" style="8" bestFit="1" customWidth="1"/>
    <col min="15374" max="15374" width="10.44140625" style="8" bestFit="1" customWidth="1"/>
    <col min="15375" max="15375" width="12.33203125" style="8" customWidth="1"/>
    <col min="15376" max="15380" width="11.44140625" style="8" customWidth="1"/>
    <col min="15381" max="15382" width="10.5546875" style="8" bestFit="1" customWidth="1"/>
    <col min="15383" max="15384" width="11.44140625" style="8" customWidth="1"/>
    <col min="15385" max="15385" width="6.109375" style="8" customWidth="1"/>
    <col min="15386" max="15396" width="11.44140625" style="8" customWidth="1"/>
    <col min="15397" max="15626" width="11.44140625" style="8"/>
    <col min="15627" max="15627" width="5.33203125" style="8" customWidth="1"/>
    <col min="15628" max="15628" width="15.33203125" style="8" customWidth="1"/>
    <col min="15629" max="15629" width="14.44140625" style="8" bestFit="1" customWidth="1"/>
    <col min="15630" max="15630" width="10.44140625" style="8" bestFit="1" customWidth="1"/>
    <col min="15631" max="15631" width="12.33203125" style="8" customWidth="1"/>
    <col min="15632" max="15636" width="11.44140625" style="8" customWidth="1"/>
    <col min="15637" max="15638" width="10.5546875" style="8" bestFit="1" customWidth="1"/>
    <col min="15639" max="15640" width="11.44140625" style="8" customWidth="1"/>
    <col min="15641" max="15641" width="6.109375" style="8" customWidth="1"/>
    <col min="15642" max="15652" width="11.44140625" style="8" customWidth="1"/>
    <col min="15653" max="15882" width="11.44140625" style="8"/>
    <col min="15883" max="15883" width="5.33203125" style="8" customWidth="1"/>
    <col min="15884" max="15884" width="15.33203125" style="8" customWidth="1"/>
    <col min="15885" max="15885" width="14.44140625" style="8" bestFit="1" customWidth="1"/>
    <col min="15886" max="15886" width="10.44140625" style="8" bestFit="1" customWidth="1"/>
    <col min="15887" max="15887" width="12.33203125" style="8" customWidth="1"/>
    <col min="15888" max="15892" width="11.44140625" style="8" customWidth="1"/>
    <col min="15893" max="15894" width="10.5546875" style="8" bestFit="1" customWidth="1"/>
    <col min="15895" max="15896" width="11.44140625" style="8" customWidth="1"/>
    <col min="15897" max="15897" width="6.109375" style="8" customWidth="1"/>
    <col min="15898" max="15908" width="11.44140625" style="8" customWidth="1"/>
    <col min="15909" max="16138" width="11.44140625" style="8"/>
    <col min="16139" max="16139" width="5.33203125" style="8" customWidth="1"/>
    <col min="16140" max="16140" width="15.33203125" style="8" customWidth="1"/>
    <col min="16141" max="16141" width="14.44140625" style="8" bestFit="1" customWidth="1"/>
    <col min="16142" max="16142" width="10.44140625" style="8" bestFit="1" customWidth="1"/>
    <col min="16143" max="16143" width="12.33203125" style="8" customWidth="1"/>
    <col min="16144" max="16148" width="11.44140625" style="8" customWidth="1"/>
    <col min="16149" max="16150" width="10.5546875" style="8" bestFit="1" customWidth="1"/>
    <col min="16151" max="16152" width="11.44140625" style="8" customWidth="1"/>
    <col min="16153" max="16153" width="6.109375" style="8" customWidth="1"/>
    <col min="16154" max="16164" width="11.44140625" style="8" customWidth="1"/>
    <col min="16165" max="16384" width="11.44140625" style="8"/>
  </cols>
  <sheetData>
    <row r="1" spans="1:602" s="38" customFormat="1" ht="10.5" customHeight="1" thickBot="1" x14ac:dyDescent="0.35">
      <c r="Q1" s="9"/>
      <c r="AI1" s="301"/>
      <c r="AJ1" s="301"/>
      <c r="AK1" s="301"/>
      <c r="AL1" s="301"/>
      <c r="AM1" s="301"/>
      <c r="AN1" s="301"/>
      <c r="AT1" s="301"/>
      <c r="AU1"/>
      <c r="AV1"/>
      <c r="AW1"/>
      <c r="WD1" s="13"/>
    </row>
    <row r="2" spans="1:602" s="1" customFormat="1" ht="25.2" customHeight="1" thickBot="1" x14ac:dyDescent="0.35">
      <c r="B2" s="86"/>
      <c r="C2" s="363" t="s">
        <v>1389</v>
      </c>
      <c r="D2" s="363"/>
      <c r="E2" s="363"/>
      <c r="F2" s="363"/>
      <c r="G2" s="363"/>
      <c r="H2" s="363"/>
      <c r="I2" s="363"/>
      <c r="J2" s="355"/>
      <c r="K2" s="355"/>
      <c r="L2" s="355"/>
      <c r="M2" s="355"/>
      <c r="N2" s="355"/>
      <c r="O2" s="355"/>
      <c r="P2" s="355"/>
      <c r="Q2" s="355"/>
      <c r="R2" s="355"/>
      <c r="S2" s="355"/>
      <c r="T2" s="87"/>
      <c r="V2" s="38" t="s">
        <v>1022</v>
      </c>
      <c r="W2" s="72">
        <f>SUMIFS(CampList[HH],CampList[Status],"open",CampList[Opening Date],"&gt;=" &amp; NFI_Monitor_Date)</f>
        <v>0</v>
      </c>
      <c r="X2" s="38"/>
      <c r="Y2" s="38"/>
      <c r="Z2" s="38"/>
      <c r="AA2" s="38"/>
      <c r="AB2" s="38"/>
      <c r="AC2" s="38"/>
      <c r="AD2" s="38"/>
      <c r="AE2" s="38"/>
      <c r="AF2" s="30"/>
      <c r="AG2" s="30"/>
      <c r="AH2" s="30"/>
      <c r="AI2" s="301"/>
      <c r="AJ2" s="301"/>
      <c r="AK2" s="301"/>
      <c r="AL2" s="301"/>
      <c r="AM2" s="301"/>
      <c r="AN2" s="301"/>
      <c r="AO2" s="30"/>
      <c r="AP2" s="30"/>
      <c r="AQ2" s="30"/>
      <c r="AR2" s="30"/>
      <c r="AS2" s="30"/>
      <c r="AT2" s="301"/>
      <c r="AU2"/>
      <c r="AV2"/>
      <c r="AW2"/>
      <c r="AX2" s="517" t="s">
        <v>408</v>
      </c>
      <c r="AY2" s="518" t="s">
        <v>956</v>
      </c>
      <c r="AZ2" s="30"/>
      <c r="BJ2" s="15"/>
      <c r="BK2" s="15"/>
      <c r="WD2" s="170"/>
    </row>
    <row r="3" spans="1:602" s="5" customFormat="1" ht="12.75" customHeight="1" thickBot="1" x14ac:dyDescent="0.35">
      <c r="B3" s="88"/>
      <c r="C3" s="917">
        <f>Definition!B23</f>
        <v>43585</v>
      </c>
      <c r="D3" s="917"/>
      <c r="E3" s="917"/>
      <c r="F3" s="917"/>
      <c r="G3" s="917"/>
      <c r="H3" s="917"/>
      <c r="I3" s="97"/>
      <c r="J3" s="85"/>
      <c r="K3" s="85"/>
      <c r="L3" s="85"/>
      <c r="M3" s="85"/>
      <c r="N3" s="85"/>
      <c r="O3" s="85"/>
      <c r="P3" s="85"/>
      <c r="Q3" s="85"/>
      <c r="R3" s="85"/>
      <c r="S3" s="85"/>
      <c r="T3" s="89"/>
      <c r="V3" s="38" t="s">
        <v>1023</v>
      </c>
      <c r="W3" s="72" t="e">
        <f>SUMIFS(CampList[HH],CampList[Status],"open",#REF!,"P1")</f>
        <v>#REF!</v>
      </c>
      <c r="X3" s="72"/>
      <c r="Y3" s="38"/>
      <c r="Z3" s="38"/>
      <c r="AA3" s="38"/>
      <c r="AB3" s="38"/>
      <c r="AC3" s="38"/>
      <c r="AD3" s="38"/>
      <c r="AE3" s="38"/>
      <c r="AF3" s="30"/>
      <c r="AG3" s="301"/>
      <c r="AH3" s="301"/>
      <c r="AI3" s="301"/>
      <c r="AJ3" s="301"/>
      <c r="AK3" s="301"/>
      <c r="AL3" s="301"/>
      <c r="AM3" s="301"/>
      <c r="AN3" s="301"/>
      <c r="AO3" s="301"/>
      <c r="AP3" s="301"/>
      <c r="AQ3" s="30"/>
      <c r="AR3" s="30"/>
      <c r="AS3" s="30"/>
      <c r="AT3" s="301"/>
      <c r="AU3"/>
      <c r="AV3"/>
      <c r="AW3"/>
      <c r="AX3"/>
      <c r="AY3"/>
      <c r="AZ3"/>
      <c r="BA3"/>
      <c r="BB3"/>
      <c r="BC3"/>
      <c r="BD3"/>
      <c r="BJ3" s="16"/>
      <c r="BK3" s="16"/>
      <c r="WD3" s="171"/>
    </row>
    <row r="4" spans="1:602" s="13" customFormat="1" ht="37.200000000000003" thickBot="1" x14ac:dyDescent="0.75">
      <c r="B4" s="364"/>
      <c r="C4" s="359"/>
      <c r="D4" s="358"/>
      <c r="E4" s="358"/>
      <c r="F4"/>
      <c r="G4"/>
      <c r="H4" s="358"/>
      <c r="I4" s="358"/>
      <c r="J4" s="358"/>
      <c r="K4" s="358"/>
      <c r="L4" s="358"/>
      <c r="M4" s="358"/>
      <c r="N4" s="358"/>
      <c r="O4" s="358"/>
      <c r="P4" s="358"/>
      <c r="Q4" s="360"/>
      <c r="R4" s="358"/>
      <c r="S4" s="358"/>
      <c r="T4" s="365"/>
      <c r="V4" s="13" t="s">
        <v>1217</v>
      </c>
      <c r="AG4" s="301"/>
      <c r="AH4" s="301"/>
      <c r="AI4" s="301"/>
      <c r="AJ4" s="301"/>
      <c r="AK4" s="301"/>
      <c r="AL4" s="301"/>
      <c r="AM4" s="301"/>
      <c r="AN4" s="301"/>
      <c r="AO4" s="301"/>
      <c r="AP4" s="301"/>
      <c r="AU4" s="137" t="s">
        <v>1430</v>
      </c>
      <c r="AV4"/>
      <c r="AW4"/>
      <c r="AX4" s="421" t="s">
        <v>1295</v>
      </c>
      <c r="AY4" s="435" t="s">
        <v>1393</v>
      </c>
      <c r="AZ4"/>
      <c r="BA4"/>
      <c r="BB4"/>
      <c r="BC4"/>
      <c r="BD4"/>
    </row>
    <row r="5" spans="1:602" s="13" customFormat="1" ht="36.6" x14ac:dyDescent="0.7">
      <c r="B5" s="123"/>
      <c r="C5" s="124"/>
      <c r="D5" s="125"/>
      <c r="E5" s="125"/>
      <c r="I5" s="125"/>
      <c r="J5" s="125"/>
      <c r="K5" s="125"/>
      <c r="L5" s="125"/>
      <c r="M5" s="125"/>
      <c r="N5" s="125"/>
      <c r="O5" s="125"/>
      <c r="P5" s="125"/>
      <c r="Q5" s="126"/>
      <c r="R5" s="125"/>
      <c r="S5" s="125"/>
      <c r="T5" s="127"/>
      <c r="AG5" s="301"/>
      <c r="AH5" s="301"/>
      <c r="AI5" s="301"/>
      <c r="AJ5" s="301"/>
      <c r="AK5" s="301"/>
      <c r="AL5" s="301"/>
      <c r="AM5" s="301"/>
      <c r="AN5" s="301"/>
      <c r="AO5" s="301"/>
      <c r="AP5" s="301"/>
      <c r="AU5" s="6" t="s">
        <v>1429</v>
      </c>
      <c r="AV5" s="133">
        <v>1932</v>
      </c>
      <c r="AW5"/>
      <c r="AX5" s="633" t="s">
        <v>778</v>
      </c>
      <c r="AY5" s="436">
        <v>15</v>
      </c>
    </row>
    <row r="6" spans="1:602" s="30" customFormat="1" ht="23.25" customHeight="1" x14ac:dyDescent="0.4">
      <c r="A6" s="38"/>
      <c r="B6" s="95"/>
      <c r="C6" s="10"/>
      <c r="D6" s="10"/>
      <c r="E6" s="10"/>
      <c r="I6" s="10"/>
      <c r="J6" s="10"/>
      <c r="K6" s="10"/>
      <c r="L6" s="10"/>
      <c r="M6" s="10"/>
      <c r="N6" s="10"/>
      <c r="O6" s="10"/>
      <c r="P6" s="10"/>
      <c r="Q6" s="128"/>
      <c r="R6" s="10"/>
      <c r="S6" s="10"/>
      <c r="T6" s="93"/>
      <c r="U6" s="38"/>
      <c r="V6" s="38"/>
      <c r="W6" s="38"/>
      <c r="X6" s="38"/>
      <c r="Y6" s="38"/>
      <c r="Z6" s="38"/>
      <c r="AA6" s="38"/>
      <c r="AB6" s="38"/>
      <c r="AC6" s="38"/>
      <c r="AD6" s="38"/>
      <c r="AE6" s="38"/>
      <c r="AG6" s="301"/>
      <c r="AH6" s="301"/>
      <c r="AI6" s="301"/>
      <c r="AJ6" s="301"/>
      <c r="AK6" s="301"/>
      <c r="AL6" s="301"/>
      <c r="AM6" s="301"/>
      <c r="AN6" s="301"/>
      <c r="AO6" s="301"/>
      <c r="AP6" s="301"/>
      <c r="AT6" s="301"/>
      <c r="AU6" s="6" t="s">
        <v>1428</v>
      </c>
      <c r="AV6" s="133">
        <v>2590</v>
      </c>
      <c r="AW6"/>
      <c r="AX6" s="644" t="s">
        <v>825</v>
      </c>
      <c r="AY6" s="437">
        <v>14</v>
      </c>
      <c r="WD6" s="13"/>
    </row>
    <row r="7" spans="1:602" s="30" customFormat="1" ht="15" thickBot="1" x14ac:dyDescent="0.35">
      <c r="A7" s="38"/>
      <c r="B7" s="95"/>
      <c r="C7" s="10"/>
      <c r="D7" s="10"/>
      <c r="E7" s="10"/>
      <c r="I7" s="10"/>
      <c r="J7" s="10"/>
      <c r="K7" s="10"/>
      <c r="L7" s="10"/>
      <c r="M7" s="10"/>
      <c r="N7" s="10"/>
      <c r="O7" s="10"/>
      <c r="P7" s="10"/>
      <c r="Q7" s="10"/>
      <c r="R7" s="10"/>
      <c r="S7" s="10"/>
      <c r="T7" s="93"/>
      <c r="U7" s="38"/>
      <c r="V7" s="38"/>
      <c r="W7" s="38"/>
      <c r="X7" s="38"/>
      <c r="Y7" s="38"/>
      <c r="Z7" s="38"/>
      <c r="AA7" s="38"/>
      <c r="AB7" s="38"/>
      <c r="AC7" s="38"/>
      <c r="AD7" s="38"/>
      <c r="AE7" s="38"/>
      <c r="AG7" s="301"/>
      <c r="AH7" s="301"/>
      <c r="AI7" s="301"/>
      <c r="AJ7" s="301"/>
      <c r="AK7" s="301"/>
      <c r="AL7" s="301"/>
      <c r="AM7" s="301"/>
      <c r="AN7" s="301"/>
      <c r="AO7" s="301"/>
      <c r="AP7" s="301"/>
      <c r="AT7" s="301"/>
      <c r="AU7" s="6" t="s">
        <v>1427</v>
      </c>
      <c r="AV7" s="133">
        <v>5248</v>
      </c>
      <c r="AW7"/>
      <c r="AX7" s="634" t="s">
        <v>1256</v>
      </c>
      <c r="AY7" s="437">
        <v>45</v>
      </c>
      <c r="WD7" s="13"/>
    </row>
    <row r="8" spans="1:602" ht="15" customHeight="1" x14ac:dyDescent="0.3">
      <c r="B8" s="95"/>
      <c r="C8" s="136"/>
      <c r="D8" s="136"/>
      <c r="E8" s="136"/>
      <c r="I8" s="136"/>
      <c r="J8" s="136"/>
      <c r="K8" s="136"/>
      <c r="L8" s="136"/>
      <c r="M8" s="136"/>
      <c r="N8" s="136"/>
      <c r="O8" s="136"/>
      <c r="P8" s="136"/>
      <c r="Q8" s="136"/>
      <c r="R8" s="136"/>
      <c r="S8" s="136"/>
      <c r="T8" s="93"/>
      <c r="Y8" s="1"/>
      <c r="AG8" s="301"/>
      <c r="AH8" s="301"/>
      <c r="AO8" s="301"/>
      <c r="AP8" s="301"/>
      <c r="AU8" s="6" t="s">
        <v>1426</v>
      </c>
      <c r="AV8" s="133">
        <v>6690</v>
      </c>
      <c r="AW8"/>
      <c r="AX8" s="451" t="s">
        <v>420</v>
      </c>
      <c r="AY8" s="437">
        <v>102</v>
      </c>
    </row>
    <row r="9" spans="1:602" ht="24" x14ac:dyDescent="0.3">
      <c r="B9" s="95"/>
      <c r="C9" s="371"/>
      <c r="D9" s="372"/>
      <c r="E9" s="373"/>
      <c r="I9" s="372"/>
      <c r="J9" s="373"/>
      <c r="K9" s="136"/>
      <c r="L9" s="371"/>
      <c r="M9" s="372"/>
      <c r="N9" s="373"/>
      <c r="O9" s="372"/>
      <c r="P9" s="372"/>
      <c r="Q9" s="372"/>
      <c r="R9" s="372"/>
      <c r="S9" s="373"/>
      <c r="T9" s="93"/>
      <c r="W9" s="14"/>
      <c r="X9" s="1"/>
      <c r="Y9" s="95"/>
      <c r="Z9" s="129" t="s">
        <v>765</v>
      </c>
      <c r="AA9" s="129" t="s">
        <v>766</v>
      </c>
      <c r="AB9" s="43" t="s">
        <v>767</v>
      </c>
      <c r="AC9" s="43" t="s">
        <v>768</v>
      </c>
      <c r="AD9" s="44" t="s">
        <v>769</v>
      </c>
      <c r="AE9" s="44" t="s">
        <v>770</v>
      </c>
      <c r="AF9" s="93"/>
      <c r="AG9" s="301"/>
      <c r="AH9" s="301"/>
      <c r="AO9" s="301"/>
      <c r="AP9" s="301"/>
      <c r="AU9" s="6" t="s">
        <v>1425</v>
      </c>
      <c r="AV9" s="133">
        <v>2833</v>
      </c>
      <c r="AW9"/>
      <c r="AX9" s="451" t="s">
        <v>1541</v>
      </c>
      <c r="AY9" s="437">
        <v>7</v>
      </c>
    </row>
    <row r="10" spans="1:602" x14ac:dyDescent="0.3">
      <c r="B10" s="95"/>
      <c r="C10" s="361"/>
      <c r="D10" s="374"/>
      <c r="E10" s="362"/>
      <c r="I10" s="376"/>
      <c r="J10" s="376"/>
      <c r="K10" s="136"/>
      <c r="L10" s="361"/>
      <c r="M10" s="374"/>
      <c r="N10" s="362"/>
      <c r="O10" s="375"/>
      <c r="P10" s="376"/>
      <c r="Q10" s="375"/>
      <c r="R10" s="376"/>
      <c r="S10" s="376"/>
      <c r="T10" s="93"/>
      <c r="W10" s="14"/>
      <c r="X10" s="1"/>
      <c r="Y10" s="95"/>
      <c r="Z10" s="32">
        <f t="shared" ref="Z10:Z16" si="0">IF((E10-(SUM(AG7:AO7)))&lt;0,0,(E10-(SUM(AG7:AO7))))</f>
        <v>0</v>
      </c>
      <c r="AA10" s="130" t="e">
        <f t="shared" ref="AA10:AA16" si="1">Z10/E10</f>
        <v>#DIV/0!</v>
      </c>
      <c r="AB10" s="32" t="e">
        <f t="shared" ref="AB10:AB16" ca="1" si="2">SUMIFS(INDIRECT(VLOOKUP($C10,NFI,4,0)),NFI_Pipeline_State,$C$4)</f>
        <v>#N/A</v>
      </c>
      <c r="AC10" s="31" t="e">
        <f t="shared" ref="AC10:AC16" ca="1" si="3">AB10/E10</f>
        <v>#N/A</v>
      </c>
      <c r="AD10" s="33" t="e">
        <f t="shared" ref="AD10:AD16" ca="1" si="4">IF((E10-(AG7+AO7+AB10))&lt;0,0,(E10-(AG7+AO7+AB10)))</f>
        <v>#N/A</v>
      </c>
      <c r="AE10" s="34" t="e">
        <f t="shared" ref="AE10:AE16" ca="1" si="5">AD10/E10</f>
        <v>#N/A</v>
      </c>
      <c r="AF10" s="93"/>
      <c r="AG10" s="301"/>
      <c r="AH10" s="301"/>
      <c r="AO10" s="301"/>
      <c r="AP10" s="301"/>
      <c r="AU10" s="6" t="s">
        <v>1424</v>
      </c>
      <c r="AV10" s="133">
        <v>12893</v>
      </c>
      <c r="AW10"/>
      <c r="AX10" s="451" t="s">
        <v>1560</v>
      </c>
      <c r="AY10" s="437">
        <v>59</v>
      </c>
    </row>
    <row r="11" spans="1:602" ht="15" customHeight="1" x14ac:dyDescent="0.3">
      <c r="B11" s="95"/>
      <c r="C11" s="361"/>
      <c r="D11" s="374"/>
      <c r="E11" s="362"/>
      <c r="I11" s="376"/>
      <c r="J11" s="376"/>
      <c r="K11" s="136"/>
      <c r="L11" s="918"/>
      <c r="M11" s="919"/>
      <c r="N11" s="920"/>
      <c r="O11" s="923"/>
      <c r="P11" s="921"/>
      <c r="Q11" s="923"/>
      <c r="R11" s="922"/>
      <c r="S11" s="921"/>
      <c r="T11" s="93"/>
      <c r="W11" s="14"/>
      <c r="X11" s="1"/>
      <c r="Y11" s="95"/>
      <c r="Z11" s="32">
        <f t="shared" si="0"/>
        <v>0</v>
      </c>
      <c r="AA11" s="130" t="e">
        <f t="shared" si="1"/>
        <v>#DIV/0!</v>
      </c>
      <c r="AB11" s="32" t="e">
        <f t="shared" ca="1" si="2"/>
        <v>#N/A</v>
      </c>
      <c r="AC11" s="31" t="e">
        <f t="shared" ca="1" si="3"/>
        <v>#N/A</v>
      </c>
      <c r="AD11" s="33" t="e">
        <f t="shared" ca="1" si="4"/>
        <v>#N/A</v>
      </c>
      <c r="AE11" s="34" t="e">
        <f t="shared" ca="1" si="5"/>
        <v>#N/A</v>
      </c>
      <c r="AF11" s="93"/>
      <c r="AG11" s="301"/>
      <c r="AH11" s="301"/>
      <c r="AO11" s="301"/>
      <c r="AP11" s="301"/>
      <c r="AU11" s="6" t="s">
        <v>1423</v>
      </c>
      <c r="AV11" s="133">
        <v>3693</v>
      </c>
      <c r="AW11"/>
      <c r="AX11" s="451" t="s">
        <v>1087</v>
      </c>
      <c r="AY11" s="437">
        <v>2</v>
      </c>
    </row>
    <row r="12" spans="1:602" x14ac:dyDescent="0.3">
      <c r="B12" s="95"/>
      <c r="C12" s="361"/>
      <c r="D12" s="374"/>
      <c r="E12" s="362"/>
      <c r="I12" s="376"/>
      <c r="J12" s="376"/>
      <c r="K12" s="136"/>
      <c r="L12" s="918"/>
      <c r="M12" s="919"/>
      <c r="N12" s="920"/>
      <c r="O12" s="923"/>
      <c r="P12" s="921"/>
      <c r="Q12" s="923"/>
      <c r="R12" s="922"/>
      <c r="S12" s="921"/>
      <c r="T12" s="93"/>
      <c r="W12" s="14"/>
      <c r="X12" s="1"/>
      <c r="Y12" s="95"/>
      <c r="Z12" s="32">
        <f t="shared" si="0"/>
        <v>0</v>
      </c>
      <c r="AA12" s="130" t="e">
        <f t="shared" si="1"/>
        <v>#DIV/0!</v>
      </c>
      <c r="AB12" s="32" t="e">
        <f t="shared" ca="1" si="2"/>
        <v>#N/A</v>
      </c>
      <c r="AC12" s="31" t="e">
        <f t="shared" ca="1" si="3"/>
        <v>#N/A</v>
      </c>
      <c r="AD12" s="33" t="e">
        <f t="shared" ca="1" si="4"/>
        <v>#N/A</v>
      </c>
      <c r="AE12" s="34" t="e">
        <f t="shared" ca="1" si="5"/>
        <v>#N/A</v>
      </c>
      <c r="AF12" s="93"/>
      <c r="AG12" s="301"/>
      <c r="AH12" s="301"/>
      <c r="AO12" s="301"/>
      <c r="AP12" s="301"/>
      <c r="AU12" s="6" t="s">
        <v>1422</v>
      </c>
      <c r="AV12" s="133">
        <v>2102</v>
      </c>
      <c r="AW12"/>
      <c r="AX12" s="451" t="s">
        <v>1452</v>
      </c>
      <c r="AY12" s="437">
        <v>88</v>
      </c>
    </row>
    <row r="13" spans="1:602" ht="15" customHeight="1" x14ac:dyDescent="0.3">
      <c r="B13" s="95"/>
      <c r="C13" s="361"/>
      <c r="D13" s="374"/>
      <c r="E13" s="362"/>
      <c r="I13" s="376"/>
      <c r="J13" s="376"/>
      <c r="K13" s="136"/>
      <c r="L13" s="361"/>
      <c r="M13" s="374"/>
      <c r="N13" s="362"/>
      <c r="O13" s="375"/>
      <c r="P13" s="376"/>
      <c r="Q13" s="375"/>
      <c r="R13" s="376"/>
      <c r="S13" s="376"/>
      <c r="T13" s="93"/>
      <c r="W13" s="14"/>
      <c r="X13" s="1"/>
      <c r="Y13" s="95"/>
      <c r="Z13" s="32">
        <f t="shared" si="0"/>
        <v>0</v>
      </c>
      <c r="AA13" s="130" t="e">
        <f t="shared" si="1"/>
        <v>#DIV/0!</v>
      </c>
      <c r="AB13" s="32" t="e">
        <f t="shared" ca="1" si="2"/>
        <v>#N/A</v>
      </c>
      <c r="AC13" s="31" t="e">
        <f t="shared" ca="1" si="3"/>
        <v>#N/A</v>
      </c>
      <c r="AD13" s="33" t="e">
        <f t="shared" ca="1" si="4"/>
        <v>#N/A</v>
      </c>
      <c r="AE13" s="34" t="e">
        <f t="shared" ca="1" si="5"/>
        <v>#N/A</v>
      </c>
      <c r="AF13" s="93"/>
      <c r="AG13" s="301"/>
      <c r="AH13" s="301"/>
      <c r="AO13" s="301"/>
      <c r="AP13" s="301"/>
      <c r="AU13" s="6" t="s">
        <v>1421</v>
      </c>
      <c r="AV13" s="133">
        <v>15542</v>
      </c>
      <c r="AW13"/>
      <c r="AX13" s="451" t="s">
        <v>424</v>
      </c>
      <c r="AY13" s="437">
        <v>1</v>
      </c>
    </row>
    <row r="14" spans="1:602" x14ac:dyDescent="0.3">
      <c r="B14" s="95"/>
      <c r="C14" s="361"/>
      <c r="D14" s="374"/>
      <c r="E14" s="362"/>
      <c r="I14" s="376"/>
      <c r="J14" s="376"/>
      <c r="K14" s="136"/>
      <c r="L14" s="136"/>
      <c r="M14" s="136"/>
      <c r="N14" s="136"/>
      <c r="O14" s="136"/>
      <c r="P14" s="136"/>
      <c r="Q14" s="136"/>
      <c r="R14" s="136"/>
      <c r="S14" s="136"/>
      <c r="T14" s="93"/>
      <c r="W14" s="14"/>
      <c r="X14" s="1"/>
      <c r="Y14" s="95"/>
      <c r="Z14" s="32">
        <f t="shared" si="0"/>
        <v>0</v>
      </c>
      <c r="AA14" s="130" t="e">
        <f t="shared" si="1"/>
        <v>#DIV/0!</v>
      </c>
      <c r="AB14" s="32" t="e">
        <f t="shared" ca="1" si="2"/>
        <v>#N/A</v>
      </c>
      <c r="AC14" s="31" t="e">
        <f t="shared" ca="1" si="3"/>
        <v>#N/A</v>
      </c>
      <c r="AD14" s="33" t="e">
        <f t="shared" ca="1" si="4"/>
        <v>#N/A</v>
      </c>
      <c r="AE14" s="34" t="e">
        <f t="shared" ca="1" si="5"/>
        <v>#N/A</v>
      </c>
      <c r="AF14" s="93"/>
      <c r="AG14" s="301"/>
      <c r="AH14" s="301"/>
      <c r="AO14" s="301"/>
      <c r="AP14" s="301"/>
      <c r="AU14" s="6" t="s">
        <v>1420</v>
      </c>
      <c r="AV14" s="133">
        <v>6479</v>
      </c>
      <c r="AW14"/>
      <c r="AX14" s="451" t="s">
        <v>1608</v>
      </c>
      <c r="AY14" s="437">
        <v>20</v>
      </c>
    </row>
    <row r="15" spans="1:602" ht="15" customHeight="1" x14ac:dyDescent="0.3">
      <c r="B15" s="95"/>
      <c r="C15" s="361"/>
      <c r="D15" s="374"/>
      <c r="E15" s="362"/>
      <c r="I15" s="376"/>
      <c r="J15" s="376"/>
      <c r="K15" s="136"/>
      <c r="L15" s="136"/>
      <c r="M15" s="136"/>
      <c r="N15" s="136"/>
      <c r="O15" s="136"/>
      <c r="P15" s="136"/>
      <c r="Q15" s="136"/>
      <c r="R15" s="136"/>
      <c r="S15" s="136"/>
      <c r="T15" s="93"/>
      <c r="W15" s="14"/>
      <c r="X15" s="1"/>
      <c r="Y15" s="95"/>
      <c r="Z15" s="32">
        <f t="shared" si="0"/>
        <v>0</v>
      </c>
      <c r="AA15" s="130" t="e">
        <f t="shared" si="1"/>
        <v>#DIV/0!</v>
      </c>
      <c r="AB15" s="32" t="e">
        <f t="shared" ca="1" si="2"/>
        <v>#N/A</v>
      </c>
      <c r="AC15" s="31" t="e">
        <f t="shared" ca="1" si="3"/>
        <v>#N/A</v>
      </c>
      <c r="AD15" s="33" t="e">
        <f t="shared" ca="1" si="4"/>
        <v>#N/A</v>
      </c>
      <c r="AE15" s="34" t="e">
        <f t="shared" ca="1" si="5"/>
        <v>#N/A</v>
      </c>
      <c r="AF15" s="93"/>
      <c r="AG15" s="301"/>
      <c r="AH15" s="301"/>
      <c r="AO15" s="301"/>
      <c r="AP15" s="301"/>
      <c r="AU15"/>
      <c r="AV15"/>
      <c r="AW15"/>
      <c r="AX15" s="451" t="s">
        <v>1607</v>
      </c>
      <c r="AY15" s="437">
        <v>4</v>
      </c>
    </row>
    <row r="16" spans="1:602" ht="13.5" customHeight="1" x14ac:dyDescent="0.3">
      <c r="B16" s="95"/>
      <c r="C16" s="361"/>
      <c r="D16" s="374"/>
      <c r="E16" s="362"/>
      <c r="F16"/>
      <c r="G16"/>
      <c r="H16"/>
      <c r="I16" s="376"/>
      <c r="J16" s="376"/>
      <c r="K16" s="136"/>
      <c r="L16" s="136"/>
      <c r="M16" s="136"/>
      <c r="N16" s="136"/>
      <c r="O16" s="136"/>
      <c r="P16" s="136"/>
      <c r="Q16" s="136"/>
      <c r="R16" s="136"/>
      <c r="S16" s="136"/>
      <c r="T16" s="93"/>
      <c r="W16" s="14"/>
      <c r="X16" s="1"/>
      <c r="Y16" s="95"/>
      <c r="Z16" s="32">
        <f t="shared" si="0"/>
        <v>0</v>
      </c>
      <c r="AA16" s="130" t="e">
        <f t="shared" si="1"/>
        <v>#DIV/0!</v>
      </c>
      <c r="AB16" s="32" t="e">
        <f t="shared" ca="1" si="2"/>
        <v>#N/A</v>
      </c>
      <c r="AC16" s="31" t="e">
        <f t="shared" ca="1" si="3"/>
        <v>#N/A</v>
      </c>
      <c r="AD16" s="33" t="e">
        <f t="shared" ca="1" si="4"/>
        <v>#N/A</v>
      </c>
      <c r="AE16" s="34" t="e">
        <f t="shared" ca="1" si="5"/>
        <v>#N/A</v>
      </c>
      <c r="AF16" s="93"/>
      <c r="AG16" s="301"/>
      <c r="AH16" s="301"/>
      <c r="AO16" s="301"/>
      <c r="AP16" s="301"/>
      <c r="AU16" s="137" t="s">
        <v>1606</v>
      </c>
      <c r="AV16" s="301" t="s">
        <v>537</v>
      </c>
      <c r="AW16"/>
      <c r="AX16" s="451" t="s">
        <v>1370</v>
      </c>
      <c r="AY16" s="437">
        <v>1</v>
      </c>
    </row>
    <row r="17" spans="2:602" s="38" customFormat="1" x14ac:dyDescent="0.3">
      <c r="B17" s="95"/>
      <c r="C17" s="136"/>
      <c r="D17" s="136"/>
      <c r="E17" s="136"/>
      <c r="F17"/>
      <c r="G17"/>
      <c r="H17"/>
      <c r="I17" s="136"/>
      <c r="J17" s="136"/>
      <c r="K17" s="136"/>
      <c r="L17" s="136"/>
      <c r="M17" s="136"/>
      <c r="N17" s="136"/>
      <c r="O17" s="136"/>
      <c r="P17" s="136"/>
      <c r="Q17" s="136"/>
      <c r="R17" s="136"/>
      <c r="S17" s="136"/>
      <c r="T17" s="93"/>
      <c r="W17" s="14"/>
      <c r="X17" s="1"/>
      <c r="Y17" s="95"/>
      <c r="Z17" s="32">
        <f>IF((N10-(SUM(O10:Q10)))&lt;0,0,(N10-(SUM(O10:Q10))))</f>
        <v>0</v>
      </c>
      <c r="AA17" s="130" t="e">
        <f>Z17/N10</f>
        <v>#DIV/0!</v>
      </c>
      <c r="AB17" s="32" t="e">
        <f ca="1">SUMIFS(INDIRECT(VLOOKUP($L10,NFI,4,0)),NFI_Pipeline_State,$C$4)</f>
        <v>#N/A</v>
      </c>
      <c r="AC17" s="31" t="e">
        <f ca="1">AB17/N10</f>
        <v>#N/A</v>
      </c>
      <c r="AD17" s="33" t="e">
        <f ca="1">IF((N10-(O10+Q10+AB17))&lt;0,0,(N10-(O10+Q10+AB17)))</f>
        <v>#N/A</v>
      </c>
      <c r="AE17" s="34" t="e">
        <f ca="1">AD17/N10</f>
        <v>#N/A</v>
      </c>
      <c r="AF17" s="93"/>
      <c r="AG17" s="301"/>
      <c r="AH17" s="301"/>
      <c r="AI17" s="301"/>
      <c r="AJ17" s="301"/>
      <c r="AK17" s="301"/>
      <c r="AL17" s="301"/>
      <c r="AM17" s="301"/>
      <c r="AN17" s="301"/>
      <c r="AO17" s="301"/>
      <c r="AP17" s="301"/>
      <c r="AT17" s="301"/>
      <c r="AU17"/>
      <c r="AV17"/>
      <c r="AW17"/>
      <c r="AX17" s="451" t="s">
        <v>1916</v>
      </c>
      <c r="AY17" s="437">
        <v>71</v>
      </c>
      <c r="WD17" s="13"/>
    </row>
    <row r="18" spans="2:602" s="38" customFormat="1" x14ac:dyDescent="0.3">
      <c r="B18" s="95"/>
      <c r="C18" s="136"/>
      <c r="D18" s="136"/>
      <c r="E18" s="136"/>
      <c r="F18"/>
      <c r="G18"/>
      <c r="H18"/>
      <c r="I18" s="136"/>
      <c r="J18" s="136"/>
      <c r="K18" s="136"/>
      <c r="L18" s="136"/>
      <c r="M18" s="136"/>
      <c r="N18" s="136"/>
      <c r="O18" s="136"/>
      <c r="P18" s="136"/>
      <c r="Q18" s="136"/>
      <c r="R18" s="136"/>
      <c r="S18" s="136"/>
      <c r="T18" s="93"/>
      <c r="W18" s="14"/>
      <c r="X18" s="1"/>
      <c r="Y18" s="95"/>
      <c r="Z18" s="32">
        <f>IF((N11-(SUM(O11:Q11)))&lt;0,0,(N11-(SUM(O11:Q11))))</f>
        <v>0</v>
      </c>
      <c r="AA18" s="130" t="e">
        <f>Z18/N11</f>
        <v>#DIV/0!</v>
      </c>
      <c r="AB18" s="32" t="e">
        <f ca="1">SUMIFS(INDIRECT(VLOOKUP($L11,NFI,4,0)),NFI_Pipeline_State,$C$4)</f>
        <v>#N/A</v>
      </c>
      <c r="AC18" s="31" t="e">
        <f ca="1">AB18/N11</f>
        <v>#N/A</v>
      </c>
      <c r="AD18" s="33" t="e">
        <f ca="1">IF((N11-(O11+Q11+AB18))&lt;0,0,(N11-(O11+Q11+AB18)))</f>
        <v>#N/A</v>
      </c>
      <c r="AE18" s="34" t="e">
        <f ca="1">AD18/N11</f>
        <v>#N/A</v>
      </c>
      <c r="AF18" s="93"/>
      <c r="AG18" s="301"/>
      <c r="AH18" s="301"/>
      <c r="AI18" s="301"/>
      <c r="AJ18" s="301"/>
      <c r="AK18" s="301"/>
      <c r="AL18" s="301"/>
      <c r="AM18" s="301"/>
      <c r="AN18" s="301"/>
      <c r="AO18" s="301"/>
      <c r="AP18" s="301"/>
      <c r="AT18" s="301"/>
      <c r="AU18" s="137" t="s">
        <v>410</v>
      </c>
      <c r="AV18" t="s">
        <v>1431</v>
      </c>
      <c r="AW18"/>
      <c r="AX18" s="422" t="s">
        <v>411</v>
      </c>
      <c r="AY18" s="423">
        <v>429</v>
      </c>
      <c r="WD18" s="13"/>
    </row>
    <row r="19" spans="2:602" x14ac:dyDescent="0.3">
      <c r="B19" s="95"/>
      <c r="C19" s="10"/>
      <c r="D19" s="10"/>
      <c r="E19" s="10"/>
      <c r="F19"/>
      <c r="G19"/>
      <c r="H19"/>
      <c r="I19" s="10"/>
      <c r="J19" s="10"/>
      <c r="K19" s="10"/>
      <c r="L19" s="10"/>
      <c r="M19" s="10"/>
      <c r="N19" s="10"/>
      <c r="O19" s="10"/>
      <c r="P19" s="10"/>
      <c r="Q19" s="10"/>
      <c r="R19" s="10"/>
      <c r="S19" s="10"/>
      <c r="T19" s="93"/>
      <c r="W19" s="14"/>
      <c r="X19" s="1"/>
      <c r="Y19" s="95"/>
      <c r="Z19" s="32">
        <f>IF((N13-(SUM(O13:Q13)))&lt;0,0,(N13-(SUM(O13:Q13))))</f>
        <v>0</v>
      </c>
      <c r="AA19" s="130" t="e">
        <f>Z19/N13</f>
        <v>#DIV/0!</v>
      </c>
      <c r="AB19" s="32" t="e">
        <f ca="1">SUMIFS(INDIRECT(VLOOKUP($L13,NFI,4,0)),NFI_Pipeline_State,$C$4)</f>
        <v>#N/A</v>
      </c>
      <c r="AC19" s="31" t="e">
        <f ca="1">AB19/N13</f>
        <v>#N/A</v>
      </c>
      <c r="AD19" s="33" t="e">
        <f ca="1">IF((N13-(O13+Q13+AB19))&lt;0,0,(N13-(O13+Q13+AB19)))</f>
        <v>#N/A</v>
      </c>
      <c r="AE19" s="34" t="e">
        <f ca="1">AD19/N13</f>
        <v>#N/A</v>
      </c>
      <c r="AF19" s="93"/>
      <c r="AG19" s="301"/>
      <c r="AH19" s="301"/>
      <c r="AO19" s="301"/>
      <c r="AP19" s="301"/>
      <c r="AU19" s="6" t="s">
        <v>5</v>
      </c>
      <c r="AV19" s="133">
        <v>32</v>
      </c>
      <c r="AW19"/>
      <c r="AX19"/>
      <c r="AY19"/>
    </row>
    <row r="20" spans="2:602" ht="12.75" customHeight="1" thickBot="1" x14ac:dyDescent="0.35">
      <c r="B20" s="95"/>
      <c r="C20" s="10"/>
      <c r="D20" s="10"/>
      <c r="E20" s="10"/>
      <c r="F20"/>
      <c r="G20"/>
      <c r="H20"/>
      <c r="I20" s="10"/>
      <c r="J20" s="10"/>
      <c r="K20" s="10"/>
      <c r="L20" s="10"/>
      <c r="M20" s="10"/>
      <c r="N20" s="10"/>
      <c r="O20" s="10"/>
      <c r="P20" s="10"/>
      <c r="Q20" s="10"/>
      <c r="R20" s="10"/>
      <c r="S20" s="10"/>
      <c r="T20" s="93"/>
      <c r="W20" s="90"/>
      <c r="X20" s="91"/>
      <c r="Y20" s="96"/>
      <c r="Z20" s="92"/>
      <c r="AA20" s="92"/>
      <c r="AB20" s="92"/>
      <c r="AC20" s="92"/>
      <c r="AD20" s="92"/>
      <c r="AE20" s="92"/>
      <c r="AF20" s="94"/>
      <c r="AG20" s="301"/>
      <c r="AH20" s="301"/>
      <c r="AO20" s="301"/>
      <c r="AP20" s="301"/>
      <c r="AU20" s="6" t="s">
        <v>27</v>
      </c>
      <c r="AV20" s="133">
        <v>12</v>
      </c>
      <c r="AW20"/>
    </row>
    <row r="21" spans="2:602" ht="12.75" customHeight="1" x14ac:dyDescent="0.3">
      <c r="B21" s="95"/>
      <c r="C21" s="10"/>
      <c r="D21" s="10"/>
      <c r="E21" s="10"/>
      <c r="F21"/>
      <c r="G21"/>
      <c r="H21"/>
      <c r="I21" s="10"/>
      <c r="J21" s="10"/>
      <c r="K21" s="10"/>
      <c r="L21" s="10"/>
      <c r="M21" s="10"/>
      <c r="N21" s="10"/>
      <c r="O21" s="10"/>
      <c r="P21" s="10"/>
      <c r="Q21" s="10"/>
      <c r="R21" s="10"/>
      <c r="S21" s="10"/>
      <c r="T21" s="93"/>
      <c r="Y21" s="1"/>
      <c r="AG21" s="301"/>
      <c r="AH21" s="301"/>
      <c r="AO21" s="301"/>
      <c r="AP21" s="301"/>
      <c r="AU21" s="6" t="s">
        <v>480</v>
      </c>
      <c r="AV21" s="133">
        <v>21</v>
      </c>
      <c r="AW21"/>
    </row>
    <row r="22" spans="2:602" ht="12.75" customHeight="1" x14ac:dyDescent="0.3">
      <c r="B22" s="95"/>
      <c r="C22" s="10"/>
      <c r="D22" s="10"/>
      <c r="E22" s="10"/>
      <c r="F22"/>
      <c r="G22"/>
      <c r="H22"/>
      <c r="I22" s="10"/>
      <c r="J22" s="10"/>
      <c r="K22" s="10"/>
      <c r="L22" s="10"/>
      <c r="M22" s="10"/>
      <c r="N22" s="10"/>
      <c r="O22" s="10"/>
      <c r="P22" s="10"/>
      <c r="Q22" s="10"/>
      <c r="R22" s="10"/>
      <c r="S22" s="10"/>
      <c r="T22" s="93"/>
      <c r="Y22" s="1"/>
      <c r="AG22" s="301"/>
      <c r="AH22" s="301"/>
      <c r="AO22" s="301"/>
      <c r="AP22" s="301"/>
      <c r="AU22" s="6" t="s">
        <v>719</v>
      </c>
      <c r="AV22" s="133">
        <v>5</v>
      </c>
      <c r="AW22"/>
    </row>
    <row r="23" spans="2:602" s="301" customFormat="1" ht="12.75" customHeight="1" x14ac:dyDescent="0.3">
      <c r="B23" s="95"/>
      <c r="C23" s="10"/>
      <c r="D23" s="10"/>
      <c r="E23" s="10"/>
      <c r="F23"/>
      <c r="G23"/>
      <c r="H23"/>
      <c r="I23" s="10"/>
      <c r="J23" s="10"/>
      <c r="K23" s="10"/>
      <c r="L23" s="10"/>
      <c r="M23" s="10"/>
      <c r="N23" s="10"/>
      <c r="O23" s="10"/>
      <c r="P23" s="10"/>
      <c r="Q23" s="10"/>
      <c r="R23" s="10"/>
      <c r="S23" s="10"/>
      <c r="T23" s="93"/>
      <c r="Y23" s="132"/>
      <c r="AU23" s="6" t="s">
        <v>146</v>
      </c>
      <c r="AV23" s="133">
        <v>62</v>
      </c>
      <c r="AW23"/>
      <c r="WD23" s="13"/>
    </row>
    <row r="24" spans="2:602" s="301" customFormat="1" ht="12.75" customHeight="1" x14ac:dyDescent="0.3">
      <c r="B24" s="95"/>
      <c r="C24" s="10"/>
      <c r="D24" s="10"/>
      <c r="E24" s="10"/>
      <c r="I24" s="10"/>
      <c r="J24" s="10"/>
      <c r="K24" s="10"/>
      <c r="L24" s="10"/>
      <c r="M24" s="10"/>
      <c r="N24" s="10"/>
      <c r="O24" s="10"/>
      <c r="P24" s="10"/>
      <c r="Q24" s="10"/>
      <c r="R24" s="10"/>
      <c r="S24" s="10"/>
      <c r="T24" s="93"/>
      <c r="Y24" s="132"/>
      <c r="AU24" s="6" t="s">
        <v>151</v>
      </c>
      <c r="AV24" s="133">
        <v>57</v>
      </c>
      <c r="AW24"/>
      <c r="WD24" s="13"/>
    </row>
    <row r="25" spans="2:602" s="301" customFormat="1" ht="12.75" customHeight="1" x14ac:dyDescent="0.3">
      <c r="B25" s="95"/>
      <c r="C25" s="10"/>
      <c r="D25" s="10"/>
      <c r="E25" s="10"/>
      <c r="I25" s="10"/>
      <c r="J25" s="10"/>
      <c r="K25" s="10"/>
      <c r="L25" s="10"/>
      <c r="M25" s="10"/>
      <c r="N25" s="10"/>
      <c r="O25" s="10"/>
      <c r="P25" s="10"/>
      <c r="Q25" s="10"/>
      <c r="R25" s="10"/>
      <c r="S25" s="10"/>
      <c r="T25" s="93"/>
      <c r="Y25" s="132"/>
      <c r="AU25" s="6" t="s">
        <v>237</v>
      </c>
      <c r="AV25" s="133">
        <v>72</v>
      </c>
      <c r="AW25"/>
      <c r="WD25" s="13"/>
    </row>
    <row r="26" spans="2:602" s="301" customFormat="1" ht="12.75" customHeight="1" x14ac:dyDescent="0.3">
      <c r="B26" s="95"/>
      <c r="C26" s="10"/>
      <c r="D26" s="10"/>
      <c r="E26" s="10"/>
      <c r="F26" s="377"/>
      <c r="G26" s="377"/>
      <c r="H26" s="354"/>
      <c r="I26" s="10"/>
      <c r="J26" s="10"/>
      <c r="K26" s="10"/>
      <c r="L26" s="10"/>
      <c r="M26" s="10"/>
      <c r="N26" s="10"/>
      <c r="O26" s="10"/>
      <c r="P26" s="10"/>
      <c r="Q26" s="10"/>
      <c r="R26" s="10"/>
      <c r="S26" s="10"/>
      <c r="T26" s="93"/>
      <c r="Y26" s="132"/>
      <c r="AU26" s="6" t="s">
        <v>297</v>
      </c>
      <c r="AV26" s="133">
        <v>55</v>
      </c>
      <c r="AW26"/>
      <c r="WD26" s="13"/>
    </row>
    <row r="27" spans="2:602" s="301" customFormat="1" ht="12.75" customHeight="1" x14ac:dyDescent="0.3">
      <c r="B27" s="95"/>
      <c r="C27" s="10"/>
      <c r="D27" s="10"/>
      <c r="E27" s="10"/>
      <c r="F27" s="377"/>
      <c r="G27" s="377"/>
      <c r="H27" s="354"/>
      <c r="I27" s="10"/>
      <c r="J27" s="10"/>
      <c r="K27" s="10"/>
      <c r="L27" s="10"/>
      <c r="M27" s="10"/>
      <c r="N27" s="10"/>
      <c r="O27" s="10"/>
      <c r="P27" s="10"/>
      <c r="Q27" s="10"/>
      <c r="R27" s="10"/>
      <c r="S27" s="10"/>
      <c r="T27" s="93"/>
      <c r="Y27" s="132"/>
      <c r="AU27" s="6" t="s">
        <v>301</v>
      </c>
      <c r="AV27" s="133">
        <v>8</v>
      </c>
      <c r="AW27"/>
      <c r="WD27" s="13"/>
    </row>
    <row r="28" spans="2:602" s="301" customFormat="1" ht="12.75" customHeight="1" x14ac:dyDescent="0.3">
      <c r="B28" s="95"/>
      <c r="C28" s="10"/>
      <c r="D28" s="10"/>
      <c r="E28" s="10"/>
      <c r="F28" s="377"/>
      <c r="G28" s="377"/>
      <c r="H28" s="354"/>
      <c r="I28" s="10"/>
      <c r="J28" s="10"/>
      <c r="K28" s="10"/>
      <c r="L28" s="10"/>
      <c r="M28" s="10"/>
      <c r="N28" s="10"/>
      <c r="O28" s="10"/>
      <c r="P28" s="10"/>
      <c r="Q28" s="10"/>
      <c r="R28" s="10"/>
      <c r="S28" s="10"/>
      <c r="T28" s="93"/>
      <c r="Y28" s="132"/>
      <c r="AU28" s="6" t="s">
        <v>746</v>
      </c>
      <c r="AV28" s="133">
        <v>32</v>
      </c>
      <c r="AW28"/>
      <c r="WD28" s="13"/>
    </row>
    <row r="29" spans="2:602" s="301" customFormat="1" ht="12.75" customHeight="1" x14ac:dyDescent="0.3">
      <c r="B29" s="95"/>
      <c r="C29" s="10"/>
      <c r="D29" s="10"/>
      <c r="E29" s="10"/>
      <c r="I29" s="10"/>
      <c r="J29" s="10"/>
      <c r="K29" s="10"/>
      <c r="L29" s="10"/>
      <c r="M29" s="10"/>
      <c r="N29" s="10"/>
      <c r="O29" s="10"/>
      <c r="P29" s="10"/>
      <c r="Q29" s="10"/>
      <c r="R29" s="10"/>
      <c r="S29" s="10"/>
      <c r="T29" s="93"/>
      <c r="Y29" s="132"/>
      <c r="AU29" s="6" t="s">
        <v>1134</v>
      </c>
      <c r="AV29" s="133">
        <v>6</v>
      </c>
      <c r="AW29"/>
      <c r="WD29" s="13"/>
    </row>
    <row r="30" spans="2:602" s="301" customFormat="1" x14ac:dyDescent="0.3">
      <c r="B30" s="95"/>
      <c r="C30" s="10"/>
      <c r="D30" s="10"/>
      <c r="E30" s="10"/>
      <c r="I30" s="10"/>
      <c r="J30" s="10"/>
      <c r="K30" s="10"/>
      <c r="L30" s="10"/>
      <c r="M30" s="10"/>
      <c r="N30" s="10"/>
      <c r="O30" s="10"/>
      <c r="P30" s="10"/>
      <c r="Q30" s="10"/>
      <c r="R30" s="10"/>
      <c r="S30" s="10"/>
      <c r="T30" s="93"/>
      <c r="Y30" s="132"/>
      <c r="AU30" s="6" t="s">
        <v>309</v>
      </c>
      <c r="AV30" s="133">
        <v>59</v>
      </c>
      <c r="AW30"/>
      <c r="WD30" s="13"/>
    </row>
    <row r="31" spans="2:602" s="301" customFormat="1" ht="12.75" customHeight="1" x14ac:dyDescent="0.3">
      <c r="B31" s="95"/>
      <c r="C31" s="10"/>
      <c r="D31" s="10"/>
      <c r="E31" s="10"/>
      <c r="I31" s="10"/>
      <c r="J31" s="10"/>
      <c r="K31" s="10"/>
      <c r="L31" s="10"/>
      <c r="M31" s="10"/>
      <c r="N31" s="10"/>
      <c r="O31" s="10"/>
      <c r="P31" s="10"/>
      <c r="Q31" s="10"/>
      <c r="R31" s="10"/>
      <c r="S31" s="10"/>
      <c r="T31" s="93"/>
      <c r="Y31" s="132"/>
      <c r="AU31" s="6" t="s">
        <v>180</v>
      </c>
      <c r="AV31" s="133">
        <v>3</v>
      </c>
      <c r="AW31"/>
      <c r="WD31" s="13"/>
    </row>
    <row r="32" spans="2:602" s="301" customFormat="1" ht="12.75" customHeight="1" x14ac:dyDescent="0.3">
      <c r="B32" s="95"/>
      <c r="C32" s="10"/>
      <c r="D32" s="10"/>
      <c r="E32" s="10"/>
      <c r="F32" s="10"/>
      <c r="G32" s="10"/>
      <c r="H32" s="10"/>
      <c r="I32" s="10"/>
      <c r="J32" s="10"/>
      <c r="K32" s="10"/>
      <c r="L32" s="10"/>
      <c r="M32" s="10"/>
      <c r="N32" s="10"/>
      <c r="O32" s="10"/>
      <c r="P32" s="10"/>
      <c r="Q32" s="10"/>
      <c r="R32" s="10"/>
      <c r="S32" s="10"/>
      <c r="T32" s="93"/>
      <c r="Y32" s="132"/>
      <c r="AU32" s="6" t="s">
        <v>494</v>
      </c>
      <c r="AV32" s="133">
        <v>13</v>
      </c>
      <c r="AW32"/>
      <c r="WD32" s="13"/>
    </row>
    <row r="33" spans="2:602" s="301" customFormat="1" x14ac:dyDescent="0.3">
      <c r="B33" s="95"/>
      <c r="C33" s="10"/>
      <c r="D33" s="10"/>
      <c r="E33" s="10"/>
      <c r="F33" s="10"/>
      <c r="G33" s="10"/>
      <c r="H33" s="10"/>
      <c r="I33" s="10"/>
      <c r="J33" s="10"/>
      <c r="K33" s="10"/>
      <c r="L33" s="10"/>
      <c r="M33" s="10"/>
      <c r="N33" s="10"/>
      <c r="O33" s="10"/>
      <c r="P33" s="10"/>
      <c r="Q33" s="10"/>
      <c r="R33" s="10"/>
      <c r="S33" s="10"/>
      <c r="T33" s="93"/>
      <c r="Y33" s="132"/>
      <c r="AU33" s="6" t="s">
        <v>185</v>
      </c>
      <c r="AV33" s="133">
        <v>23</v>
      </c>
      <c r="AW33" s="30"/>
      <c r="WD33" s="13"/>
    </row>
    <row r="34" spans="2:602" s="301" customFormat="1" x14ac:dyDescent="0.3">
      <c r="B34" s="95"/>
      <c r="F34" s="10"/>
      <c r="G34" s="10"/>
      <c r="H34" s="10"/>
      <c r="I34" s="10"/>
      <c r="J34" s="10"/>
      <c r="K34" s="10"/>
      <c r="L34" s="10"/>
      <c r="M34" s="10"/>
      <c r="N34" s="10"/>
      <c r="O34" s="10"/>
      <c r="P34" s="10"/>
      <c r="Q34" s="10"/>
      <c r="R34" s="10"/>
      <c r="S34" s="10"/>
      <c r="T34" s="93"/>
      <c r="Y34" s="132"/>
      <c r="AU34" s="6" t="s">
        <v>288</v>
      </c>
      <c r="AV34" s="133">
        <v>35</v>
      </c>
      <c r="AW34"/>
      <c r="WD34" s="13"/>
    </row>
    <row r="35" spans="2:602" s="301" customFormat="1" x14ac:dyDescent="0.3">
      <c r="B35" s="95"/>
      <c r="F35" s="10"/>
      <c r="G35" s="10"/>
      <c r="H35" s="10"/>
      <c r="I35" s="10"/>
      <c r="J35" s="10"/>
      <c r="K35" s="10"/>
      <c r="L35" s="10"/>
      <c r="M35" s="10"/>
      <c r="N35" s="10"/>
      <c r="O35" s="10"/>
      <c r="P35" s="10"/>
      <c r="Q35" s="10"/>
      <c r="R35" s="10"/>
      <c r="S35" s="10"/>
      <c r="T35" s="93"/>
      <c r="Y35" s="132"/>
      <c r="AU35" s="6" t="s">
        <v>230</v>
      </c>
      <c r="AV35" s="133">
        <v>12</v>
      </c>
      <c r="AW35"/>
      <c r="WD35" s="13"/>
    </row>
    <row r="36" spans="2:602" s="301" customFormat="1" x14ac:dyDescent="0.3">
      <c r="B36" s="95"/>
      <c r="F36" s="10"/>
      <c r="G36" s="10"/>
      <c r="H36" s="10"/>
      <c r="I36" s="10"/>
      <c r="J36" s="10"/>
      <c r="K36" s="10"/>
      <c r="L36" s="10"/>
      <c r="M36" s="10"/>
      <c r="N36" s="10"/>
      <c r="O36" s="10"/>
      <c r="P36" s="10"/>
      <c r="Q36" s="10"/>
      <c r="R36" s="10"/>
      <c r="S36" s="10"/>
      <c r="T36" s="93"/>
      <c r="Y36" s="132"/>
      <c r="AU36" s="6" t="s">
        <v>173</v>
      </c>
      <c r="AV36" s="133">
        <v>22</v>
      </c>
      <c r="AW36"/>
      <c r="WD36" s="13"/>
    </row>
    <row r="37" spans="2:602" s="301" customFormat="1" x14ac:dyDescent="0.3">
      <c r="B37" s="95"/>
      <c r="F37" s="10"/>
      <c r="G37" s="10"/>
      <c r="H37" s="10"/>
      <c r="I37" s="10"/>
      <c r="J37" s="10"/>
      <c r="K37" s="10"/>
      <c r="L37" s="10"/>
      <c r="M37" s="10"/>
      <c r="N37" s="10"/>
      <c r="O37" s="10"/>
      <c r="P37" s="10"/>
      <c r="Q37" s="10"/>
      <c r="R37" s="10"/>
      <c r="S37" s="10"/>
      <c r="T37" s="93"/>
      <c r="Y37" s="132"/>
      <c r="AU37" s="6" t="s">
        <v>361</v>
      </c>
      <c r="AV37" s="133">
        <v>2</v>
      </c>
      <c r="AW37"/>
      <c r="WD37" s="13"/>
    </row>
    <row r="38" spans="2:602" s="301" customFormat="1" x14ac:dyDescent="0.3">
      <c r="B38" s="95"/>
      <c r="F38" s="10"/>
      <c r="G38" s="10"/>
      <c r="H38" s="10"/>
      <c r="I38" s="10"/>
      <c r="J38" s="10"/>
      <c r="K38" s="10"/>
      <c r="L38" s="10"/>
      <c r="M38" s="10"/>
      <c r="N38" s="10"/>
      <c r="O38" s="10"/>
      <c r="P38" s="10"/>
      <c r="Q38" s="10"/>
      <c r="R38" s="10"/>
      <c r="S38" s="10"/>
      <c r="T38" s="93"/>
      <c r="Y38" s="132"/>
      <c r="AR38" s="426"/>
      <c r="AU38" s="6" t="s">
        <v>299</v>
      </c>
      <c r="AV38" s="133">
        <v>2</v>
      </c>
      <c r="AW38"/>
      <c r="WD38" s="13"/>
    </row>
    <row r="39" spans="2:602" s="301" customFormat="1" x14ac:dyDescent="0.3">
      <c r="B39" s="95"/>
      <c r="F39" s="10"/>
      <c r="G39" s="10"/>
      <c r="H39" s="10"/>
      <c r="I39" s="10"/>
      <c r="J39" s="10"/>
      <c r="K39" s="10"/>
      <c r="L39" s="10"/>
      <c r="M39" s="10"/>
      <c r="N39" s="10"/>
      <c r="O39" s="10"/>
      <c r="P39" s="10"/>
      <c r="Q39" s="10"/>
      <c r="R39" s="10"/>
      <c r="S39" s="10"/>
      <c r="T39" s="93"/>
      <c r="Y39" s="132"/>
      <c r="AR39" s="13">
        <f>COUNTIF(AV41:AV54,"&gt;5/1/2017")</f>
        <v>0</v>
      </c>
      <c r="AU39" s="6" t="s">
        <v>166</v>
      </c>
      <c r="AV39" s="133">
        <v>6</v>
      </c>
      <c r="AW39"/>
      <c r="WD39" s="13"/>
    </row>
    <row r="40" spans="2:602" s="301" customFormat="1" x14ac:dyDescent="0.3">
      <c r="B40" s="95"/>
      <c r="F40" s="10"/>
      <c r="G40" s="10"/>
      <c r="H40" s="10"/>
      <c r="I40" s="10"/>
      <c r="J40" s="10"/>
      <c r="K40" s="10"/>
      <c r="L40" s="10"/>
      <c r="M40" s="10"/>
      <c r="N40" s="10"/>
      <c r="O40" s="10"/>
      <c r="P40" s="10"/>
      <c r="Q40" s="10"/>
      <c r="R40" s="10"/>
      <c r="S40" s="10"/>
      <c r="T40" s="93"/>
      <c r="Y40" s="132"/>
      <c r="AU40" s="6" t="s">
        <v>1198</v>
      </c>
      <c r="AV40" s="133">
        <v>11</v>
      </c>
      <c r="AW40"/>
      <c r="WD40" s="13"/>
    </row>
    <row r="41" spans="2:602" s="301" customFormat="1" x14ac:dyDescent="0.3">
      <c r="B41" s="95"/>
      <c r="F41" s="10"/>
      <c r="G41" s="10"/>
      <c r="H41" s="10"/>
      <c r="I41" s="10"/>
      <c r="J41" s="10"/>
      <c r="K41" s="10"/>
      <c r="L41" s="10"/>
      <c r="M41" s="10"/>
      <c r="N41" s="10"/>
      <c r="O41" s="10"/>
      <c r="P41" s="10"/>
      <c r="Q41" s="10"/>
      <c r="R41" s="10"/>
      <c r="S41" s="10"/>
      <c r="T41" s="93"/>
      <c r="Y41" s="132"/>
      <c r="AU41" s="6" t="s">
        <v>1743</v>
      </c>
      <c r="AV41" s="133">
        <v>5</v>
      </c>
      <c r="WD41" s="13"/>
    </row>
    <row r="42" spans="2:602" s="301" customFormat="1" x14ac:dyDescent="0.3">
      <c r="B42" s="95"/>
      <c r="F42" s="10"/>
      <c r="G42" s="10"/>
      <c r="H42" s="10"/>
      <c r="I42" s="10"/>
      <c r="J42" s="10"/>
      <c r="K42" s="10"/>
      <c r="L42" s="10"/>
      <c r="M42" s="10"/>
      <c r="N42" s="10"/>
      <c r="O42" s="10"/>
      <c r="P42" s="10"/>
      <c r="Q42" s="10"/>
      <c r="R42" s="10"/>
      <c r="S42" s="10"/>
      <c r="T42" s="93"/>
      <c r="Y42" s="132"/>
      <c r="AU42" s="6" t="s">
        <v>1755</v>
      </c>
      <c r="AV42" s="133">
        <v>2</v>
      </c>
      <c r="WD42" s="13"/>
    </row>
    <row r="43" spans="2:602" s="301" customFormat="1" x14ac:dyDescent="0.3">
      <c r="B43" s="95"/>
      <c r="F43" s="10"/>
      <c r="G43" s="10"/>
      <c r="H43" s="10"/>
      <c r="I43" s="10"/>
      <c r="J43" s="10"/>
      <c r="K43" s="10"/>
      <c r="L43" s="10"/>
      <c r="M43" s="10"/>
      <c r="N43" s="10"/>
      <c r="O43" s="10"/>
      <c r="P43" s="10"/>
      <c r="Q43" s="10"/>
      <c r="R43" s="10"/>
      <c r="S43" s="10"/>
      <c r="T43" s="93"/>
      <c r="Y43" s="132"/>
      <c r="AU43" s="6" t="s">
        <v>1756</v>
      </c>
      <c r="AV43" s="133">
        <v>1</v>
      </c>
      <c r="WD43" s="13"/>
    </row>
    <row r="44" spans="2:602" s="301" customFormat="1" x14ac:dyDescent="0.3">
      <c r="B44" s="95"/>
      <c r="F44" s="10"/>
      <c r="G44" s="10"/>
      <c r="H44" s="10"/>
      <c r="I44" s="10"/>
      <c r="J44" s="10"/>
      <c r="K44" s="10"/>
      <c r="L44" s="10"/>
      <c r="M44" s="10"/>
      <c r="N44" s="10"/>
      <c r="O44" s="10"/>
      <c r="P44" s="10"/>
      <c r="Q44" s="10"/>
      <c r="R44" s="10"/>
      <c r="S44" s="10"/>
      <c r="T44" s="93"/>
      <c r="Y44" s="132"/>
      <c r="AU44" s="6" t="s">
        <v>1757</v>
      </c>
      <c r="AV44" s="133">
        <v>2</v>
      </c>
      <c r="WD44" s="13"/>
    </row>
    <row r="45" spans="2:602" s="301" customFormat="1" x14ac:dyDescent="0.3">
      <c r="B45" s="95"/>
      <c r="C45" s="10"/>
      <c r="D45" s="10"/>
      <c r="E45" s="10"/>
      <c r="F45" s="10"/>
      <c r="G45" s="10"/>
      <c r="H45" s="10"/>
      <c r="I45" s="10"/>
      <c r="J45" s="10"/>
      <c r="K45" s="10"/>
      <c r="L45" s="10"/>
      <c r="M45" s="10"/>
      <c r="N45" s="10"/>
      <c r="O45" s="10"/>
      <c r="P45" s="10"/>
      <c r="Q45" s="10"/>
      <c r="R45" s="10"/>
      <c r="S45" s="10"/>
      <c r="T45" s="93"/>
      <c r="Y45" s="132"/>
      <c r="AU45" s="6" t="s">
        <v>1758</v>
      </c>
      <c r="AV45" s="133">
        <v>4</v>
      </c>
      <c r="WD45" s="13"/>
    </row>
    <row r="46" spans="2:602" s="301" customFormat="1" x14ac:dyDescent="0.3">
      <c r="B46" s="95"/>
      <c r="F46" s="10"/>
      <c r="G46" s="10"/>
      <c r="H46" s="10"/>
      <c r="I46" s="10"/>
      <c r="J46" s="10"/>
      <c r="K46" s="10"/>
      <c r="L46" s="10"/>
      <c r="M46" s="10"/>
      <c r="N46" s="10"/>
      <c r="O46" s="10"/>
      <c r="P46" s="10"/>
      <c r="Q46" s="10"/>
      <c r="R46" s="10"/>
      <c r="S46" s="10"/>
      <c r="T46" s="93"/>
      <c r="Y46" s="132"/>
      <c r="AU46" s="6" t="s">
        <v>1773</v>
      </c>
      <c r="AV46" s="133">
        <v>6</v>
      </c>
      <c r="WD46" s="13"/>
    </row>
    <row r="47" spans="2:602" s="301" customFormat="1" ht="12.75" customHeight="1" x14ac:dyDescent="0.3">
      <c r="B47" s="95"/>
      <c r="F47" s="10"/>
      <c r="G47" s="10"/>
      <c r="H47" s="10"/>
      <c r="I47" s="10"/>
      <c r="J47" s="10"/>
      <c r="K47" s="10"/>
      <c r="L47" s="10"/>
      <c r="M47" s="10"/>
      <c r="N47" s="10"/>
      <c r="O47" s="10"/>
      <c r="P47" s="10"/>
      <c r="Q47" s="10"/>
      <c r="R47" s="10"/>
      <c r="S47" s="10"/>
      <c r="T47" s="93"/>
      <c r="Y47" s="132"/>
      <c r="AU47" s="6" t="s">
        <v>1774</v>
      </c>
      <c r="AV47" s="133">
        <v>10</v>
      </c>
      <c r="WD47" s="13"/>
    </row>
    <row r="48" spans="2:602" s="301" customFormat="1" x14ac:dyDescent="0.3">
      <c r="B48" s="95"/>
      <c r="F48" s="10"/>
      <c r="G48" s="10"/>
      <c r="H48" s="10"/>
      <c r="I48" s="10"/>
      <c r="J48" s="10"/>
      <c r="K48" s="10"/>
      <c r="L48" s="10"/>
      <c r="M48" s="10"/>
      <c r="N48" s="10"/>
      <c r="O48" s="10"/>
      <c r="P48" s="10"/>
      <c r="Q48" s="10"/>
      <c r="R48" s="10"/>
      <c r="S48" s="10"/>
      <c r="T48" s="93"/>
      <c r="Y48" s="132"/>
      <c r="AU48" s="6" t="s">
        <v>1778</v>
      </c>
      <c r="AV48" s="133">
        <v>1</v>
      </c>
      <c r="WD48" s="13"/>
    </row>
    <row r="49" spans="2:602" s="301" customFormat="1" ht="12.75" customHeight="1" x14ac:dyDescent="0.3">
      <c r="B49" s="95"/>
      <c r="F49" s="10"/>
      <c r="G49" s="10"/>
      <c r="H49" s="10"/>
      <c r="I49" s="10"/>
      <c r="J49" s="10"/>
      <c r="K49" s="10"/>
      <c r="L49" s="10"/>
      <c r="M49" s="10"/>
      <c r="N49" s="10"/>
      <c r="O49" s="10"/>
      <c r="P49" s="10"/>
      <c r="Q49" s="10"/>
      <c r="R49" s="10"/>
      <c r="S49" s="10"/>
      <c r="T49" s="93"/>
      <c r="Y49" s="132"/>
      <c r="AU49" s="6" t="s">
        <v>1782</v>
      </c>
      <c r="AV49" s="133">
        <v>1</v>
      </c>
      <c r="WD49" s="13"/>
    </row>
    <row r="50" spans="2:602" s="301" customFormat="1" ht="12.75" customHeight="1" x14ac:dyDescent="0.3">
      <c r="B50" s="95"/>
      <c r="F50" s="10"/>
      <c r="G50" s="10"/>
      <c r="H50" s="10"/>
      <c r="I50" s="10"/>
      <c r="J50" s="10"/>
      <c r="K50" s="10"/>
      <c r="L50" s="10"/>
      <c r="M50" s="10"/>
      <c r="N50" s="10"/>
      <c r="O50" s="10"/>
      <c r="P50" s="10"/>
      <c r="Q50" s="10"/>
      <c r="R50" s="10"/>
      <c r="S50" s="10"/>
      <c r="T50" s="93"/>
      <c r="Y50" s="132"/>
      <c r="AU50" s="6" t="s">
        <v>1783</v>
      </c>
      <c r="AV50" s="133">
        <v>1</v>
      </c>
      <c r="WD50" s="13"/>
    </row>
    <row r="51" spans="2:602" s="301" customFormat="1" ht="12.75" customHeight="1" x14ac:dyDescent="0.3">
      <c r="B51" s="95"/>
      <c r="F51" s="10"/>
      <c r="G51" s="10"/>
      <c r="H51" s="10"/>
      <c r="I51" s="10"/>
      <c r="J51" s="10"/>
      <c r="K51" s="10"/>
      <c r="L51" s="10"/>
      <c r="M51" s="10"/>
      <c r="N51" s="10"/>
      <c r="O51" s="10"/>
      <c r="P51" s="10"/>
      <c r="Q51" s="10"/>
      <c r="R51" s="10"/>
      <c r="S51" s="10"/>
      <c r="T51" s="93"/>
      <c r="Y51" s="132"/>
      <c r="AU51" s="6" t="s">
        <v>1784</v>
      </c>
      <c r="AV51" s="133">
        <v>1</v>
      </c>
      <c r="WD51" s="13"/>
    </row>
    <row r="52" spans="2:602" s="301" customFormat="1" ht="12.75" customHeight="1" x14ac:dyDescent="0.3">
      <c r="B52" s="95"/>
      <c r="F52" s="10"/>
      <c r="G52" s="10"/>
      <c r="H52" s="10"/>
      <c r="I52" s="10"/>
      <c r="J52" s="10"/>
      <c r="K52" s="10"/>
      <c r="L52" s="10"/>
      <c r="M52" s="10"/>
      <c r="N52" s="10"/>
      <c r="O52" s="10"/>
      <c r="P52" s="10"/>
      <c r="Q52" s="10"/>
      <c r="R52" s="10"/>
      <c r="S52" s="10"/>
      <c r="T52" s="93"/>
      <c r="Y52" s="132"/>
      <c r="AU52" s="6" t="s">
        <v>1785</v>
      </c>
      <c r="AV52" s="133">
        <v>3</v>
      </c>
      <c r="WD52" s="13"/>
    </row>
    <row r="53" spans="2:602" s="301" customFormat="1" ht="12.75" customHeight="1" x14ac:dyDescent="0.3">
      <c r="B53" s="95"/>
      <c r="F53" s="10"/>
      <c r="G53" s="10"/>
      <c r="H53" s="10"/>
      <c r="I53" s="10"/>
      <c r="J53" s="10"/>
      <c r="K53" s="10"/>
      <c r="L53" s="10"/>
      <c r="M53" s="10"/>
      <c r="N53" s="10"/>
      <c r="O53" s="10"/>
      <c r="P53" s="10"/>
      <c r="Q53" s="10"/>
      <c r="R53" s="10"/>
      <c r="S53" s="10"/>
      <c r="T53" s="93"/>
      <c r="Y53" s="132"/>
      <c r="AU53" s="6" t="s">
        <v>1786</v>
      </c>
      <c r="AV53" s="133">
        <v>3</v>
      </c>
      <c r="WD53" s="13"/>
    </row>
    <row r="54" spans="2:602" ht="12.75" customHeight="1" x14ac:dyDescent="0.3">
      <c r="B54" s="95"/>
      <c r="F54" s="10"/>
      <c r="G54" s="10"/>
      <c r="H54" s="10"/>
      <c r="I54" s="10"/>
      <c r="J54" s="10"/>
      <c r="K54" s="10"/>
      <c r="L54" s="10"/>
      <c r="M54" s="10"/>
      <c r="N54" s="10"/>
      <c r="O54" s="10"/>
      <c r="P54" s="10"/>
      <c r="Q54" s="10"/>
      <c r="R54" s="10"/>
      <c r="S54" s="10"/>
      <c r="T54" s="93"/>
      <c r="AU54" s="6" t="s">
        <v>1795</v>
      </c>
      <c r="AV54" s="133">
        <v>1</v>
      </c>
    </row>
    <row r="55" spans="2:602" ht="12.75" customHeight="1" x14ac:dyDescent="0.3">
      <c r="B55" s="95"/>
      <c r="F55" s="10"/>
      <c r="G55" s="10"/>
      <c r="H55" s="10"/>
      <c r="I55" s="10"/>
      <c r="J55" s="10"/>
      <c r="K55" s="10"/>
      <c r="L55" s="10"/>
      <c r="M55" s="10"/>
      <c r="N55" s="10"/>
      <c r="O55" s="10"/>
      <c r="P55" s="10"/>
      <c r="Q55" s="10"/>
      <c r="R55" s="10"/>
      <c r="S55" s="10"/>
      <c r="T55" s="93"/>
      <c r="AU55" s="6" t="s">
        <v>1796</v>
      </c>
      <c r="AV55" s="133">
        <v>1</v>
      </c>
    </row>
    <row r="56" spans="2:602" x14ac:dyDescent="0.3">
      <c r="B56" s="95"/>
      <c r="F56" s="10"/>
      <c r="G56" s="10"/>
      <c r="H56" s="10"/>
      <c r="I56" s="10"/>
      <c r="J56" s="10"/>
      <c r="K56" s="10"/>
      <c r="L56" s="10"/>
      <c r="M56" s="10"/>
      <c r="N56" s="10"/>
      <c r="O56" s="10"/>
      <c r="P56" s="10"/>
      <c r="Q56" s="10"/>
      <c r="R56" s="10"/>
      <c r="S56" s="10"/>
      <c r="T56" s="93"/>
      <c r="AU56" s="6" t="s">
        <v>1787</v>
      </c>
      <c r="AV56" s="133">
        <v>1</v>
      </c>
    </row>
    <row r="57" spans="2:602" ht="26.25" customHeight="1" x14ac:dyDescent="0.3">
      <c r="B57" s="95"/>
      <c r="C57" s="10"/>
      <c r="D57" s="10"/>
      <c r="E57" s="10"/>
      <c r="F57" s="10"/>
      <c r="G57" s="10"/>
      <c r="H57" s="10"/>
      <c r="I57" s="10"/>
      <c r="J57" s="10"/>
      <c r="K57" s="10"/>
      <c r="L57" s="10"/>
      <c r="M57" s="10"/>
      <c r="N57" s="10"/>
      <c r="O57" s="10"/>
      <c r="P57" s="10"/>
      <c r="Q57" s="10"/>
      <c r="R57" s="10"/>
      <c r="S57" s="10"/>
      <c r="T57" s="93"/>
      <c r="AU57" s="6" t="s">
        <v>1797</v>
      </c>
      <c r="AV57" s="133">
        <v>4</v>
      </c>
    </row>
    <row r="58" spans="2:602" ht="26.25" customHeight="1" thickBot="1" x14ac:dyDescent="0.35">
      <c r="B58" s="96"/>
      <c r="C58" s="92"/>
      <c r="D58" s="92"/>
      <c r="E58" s="92"/>
      <c r="F58" s="92"/>
      <c r="G58" s="92"/>
      <c r="H58" s="92"/>
      <c r="I58" s="92"/>
      <c r="J58" s="92"/>
      <c r="K58" s="92"/>
      <c r="L58" s="92"/>
      <c r="M58" s="92"/>
      <c r="N58" s="92"/>
      <c r="O58" s="92"/>
      <c r="P58" s="92"/>
      <c r="Q58" s="92"/>
      <c r="R58" s="92"/>
      <c r="S58" s="92"/>
      <c r="T58" s="94"/>
      <c r="AU58" s="6" t="s">
        <v>1798</v>
      </c>
      <c r="AV58" s="133">
        <v>1</v>
      </c>
    </row>
    <row r="59" spans="2:602" hidden="1" x14ac:dyDescent="0.3">
      <c r="C59" s="4"/>
      <c r="D59" s="4"/>
      <c r="E59" s="4"/>
      <c r="F59" s="4"/>
      <c r="N59" s="4"/>
      <c r="O59" s="4"/>
      <c r="P59" s="4"/>
      <c r="Q59" s="4"/>
      <c r="AU59" s="6" t="s">
        <v>1799</v>
      </c>
      <c r="AV59" s="133">
        <v>5</v>
      </c>
    </row>
    <row r="60" spans="2:602" ht="15" hidden="1" thickBot="1" x14ac:dyDescent="0.35">
      <c r="G60" s="137" t="s">
        <v>458</v>
      </c>
      <c r="H60" s="301" t="s">
        <v>460</v>
      </c>
      <c r="I60" s="92"/>
      <c r="J60" s="92"/>
      <c r="K60" s="92"/>
      <c r="L60" s="92"/>
      <c r="M60" s="92"/>
      <c r="AU60" s="6" t="s">
        <v>1919</v>
      </c>
      <c r="AV60" s="133">
        <v>1</v>
      </c>
    </row>
    <row r="61" spans="2:602" ht="28.5" hidden="1" customHeight="1" x14ac:dyDescent="0.3">
      <c r="G61" s="137" t="s">
        <v>962</v>
      </c>
      <c r="H61" s="301" t="s">
        <v>956</v>
      </c>
      <c r="I61" s="4"/>
      <c r="J61" s="4"/>
      <c r="K61" s="4"/>
      <c r="L61" s="4"/>
      <c r="M61" s="4"/>
      <c r="AU61" s="6" t="s">
        <v>1941</v>
      </c>
      <c r="AV61" s="133">
        <v>2</v>
      </c>
    </row>
    <row r="62" spans="2:602" hidden="1" x14ac:dyDescent="0.3">
      <c r="AU62" s="6" t="s">
        <v>411</v>
      </c>
      <c r="AV62" s="133">
        <v>606</v>
      </c>
    </row>
    <row r="63" spans="2:602" hidden="1" x14ac:dyDescent="0.3">
      <c r="G63" s="137" t="s">
        <v>410</v>
      </c>
      <c r="H63" s="301" t="s">
        <v>1019</v>
      </c>
      <c r="I63" s="301" t="s">
        <v>1221</v>
      </c>
      <c r="J63" s="301" t="s">
        <v>1222</v>
      </c>
      <c r="K63" s="301" t="s">
        <v>1223</v>
      </c>
      <c r="L63" s="301" t="s">
        <v>1020</v>
      </c>
      <c r="M63" s="301" t="s">
        <v>1021</v>
      </c>
      <c r="AU63"/>
      <c r="AV63"/>
    </row>
    <row r="64" spans="2:602" hidden="1" x14ac:dyDescent="0.3">
      <c r="G64" s="6" t="s">
        <v>826</v>
      </c>
      <c r="H64" s="133"/>
      <c r="I64" s="133"/>
      <c r="J64" s="133"/>
      <c r="K64" s="133"/>
      <c r="L64" s="133"/>
      <c r="M64" s="133"/>
      <c r="AU64"/>
      <c r="AV64"/>
    </row>
    <row r="65" spans="3:48" hidden="1" x14ac:dyDescent="0.3">
      <c r="C65"/>
      <c r="D65"/>
      <c r="G65" s="6" t="s">
        <v>420</v>
      </c>
      <c r="H65" s="133">
        <v>997</v>
      </c>
      <c r="I65" s="133">
        <v>543</v>
      </c>
      <c r="J65" s="133">
        <v>1571</v>
      </c>
      <c r="K65" s="133">
        <v>305</v>
      </c>
      <c r="L65" s="133">
        <v>343</v>
      </c>
      <c r="M65" s="133">
        <v>1310</v>
      </c>
      <c r="AU65"/>
      <c r="AV65"/>
    </row>
    <row r="66" spans="3:48" hidden="1" x14ac:dyDescent="0.3">
      <c r="C66"/>
      <c r="D66"/>
      <c r="G66" s="6" t="s">
        <v>1256</v>
      </c>
      <c r="H66" s="133">
        <v>322</v>
      </c>
      <c r="I66" s="133">
        <v>77</v>
      </c>
      <c r="J66" s="133">
        <v>454</v>
      </c>
      <c r="K66" s="133">
        <v>322</v>
      </c>
      <c r="L66" s="133"/>
      <c r="M66" s="133">
        <v>322</v>
      </c>
      <c r="AU66"/>
      <c r="AV66"/>
    </row>
    <row r="67" spans="3:48" hidden="1" x14ac:dyDescent="0.3">
      <c r="C67"/>
      <c r="D67"/>
      <c r="E67"/>
      <c r="F67"/>
      <c r="G67" s="6" t="s">
        <v>411</v>
      </c>
      <c r="H67" s="133">
        <v>1319</v>
      </c>
      <c r="I67" s="133">
        <v>620</v>
      </c>
      <c r="J67" s="133">
        <v>2025</v>
      </c>
      <c r="K67" s="133">
        <v>627</v>
      </c>
      <c r="L67" s="133">
        <v>343</v>
      </c>
      <c r="M67" s="133">
        <v>1632</v>
      </c>
      <c r="AU67"/>
      <c r="AV67"/>
    </row>
    <row r="68" spans="3:48" hidden="1" x14ac:dyDescent="0.3">
      <c r="C68" s="301" t="s">
        <v>1220</v>
      </c>
      <c r="D68" s="301" t="s">
        <v>1221</v>
      </c>
      <c r="E68" s="301" t="s">
        <v>1222</v>
      </c>
      <c r="F68" s="301" t="s">
        <v>1223</v>
      </c>
      <c r="G68" s="301" t="s">
        <v>1020</v>
      </c>
      <c r="H68" s="301" t="s">
        <v>1021</v>
      </c>
      <c r="I68"/>
      <c r="J68"/>
      <c r="K68"/>
      <c r="L68"/>
      <c r="M68"/>
      <c r="AU68"/>
      <c r="AV68"/>
    </row>
    <row r="69" spans="3:48" hidden="1" x14ac:dyDescent="0.3">
      <c r="C69" s="133">
        <v>6690</v>
      </c>
      <c r="D69" s="133">
        <v>2833</v>
      </c>
      <c r="E69" s="133">
        <v>12893</v>
      </c>
      <c r="F69" s="133">
        <v>3693</v>
      </c>
      <c r="G69" s="133">
        <v>2102</v>
      </c>
      <c r="H69" s="133">
        <v>15542</v>
      </c>
      <c r="I69"/>
      <c r="J69"/>
      <c r="K69"/>
      <c r="L69"/>
      <c r="M69"/>
      <c r="AU69"/>
      <c r="AV69"/>
    </row>
    <row r="70" spans="3:48" hidden="1" x14ac:dyDescent="0.3">
      <c r="C70"/>
      <c r="D70"/>
      <c r="E70"/>
      <c r="F70"/>
      <c r="G70"/>
      <c r="H70"/>
      <c r="I70"/>
      <c r="J70"/>
      <c r="K70"/>
      <c r="L70"/>
      <c r="M70"/>
      <c r="AU70"/>
      <c r="AV70"/>
    </row>
    <row r="71" spans="3:48" hidden="1" x14ac:dyDescent="0.3">
      <c r="C71"/>
      <c r="D71"/>
      <c r="E71"/>
      <c r="F71"/>
      <c r="G71"/>
      <c r="H71"/>
      <c r="I71"/>
      <c r="J71"/>
      <c r="K71"/>
      <c r="L71"/>
      <c r="M71"/>
      <c r="AU71"/>
      <c r="AV71"/>
    </row>
    <row r="72" spans="3:48" hidden="1" x14ac:dyDescent="0.3">
      <c r="C72"/>
      <c r="D72"/>
      <c r="E72"/>
      <c r="F72"/>
      <c r="G72"/>
      <c r="H72"/>
      <c r="I72"/>
      <c r="J72"/>
      <c r="K72"/>
      <c r="L72"/>
      <c r="M72"/>
      <c r="AU72"/>
      <c r="AV72"/>
    </row>
    <row r="73" spans="3:48" hidden="1" x14ac:dyDescent="0.3">
      <c r="C73"/>
      <c r="D73"/>
      <c r="E73"/>
      <c r="F73"/>
      <c r="G73"/>
      <c r="H73"/>
      <c r="I73"/>
      <c r="J73"/>
      <c r="K73"/>
      <c r="L73"/>
      <c r="M73"/>
      <c r="AU73"/>
      <c r="AV73"/>
    </row>
    <row r="74" spans="3:48" hidden="1" x14ac:dyDescent="0.3">
      <c r="C74"/>
      <c r="D74"/>
      <c r="E74"/>
      <c r="F74"/>
      <c r="G74"/>
      <c r="H74"/>
      <c r="I74"/>
      <c r="J74"/>
      <c r="K74"/>
      <c r="L74"/>
      <c r="M74"/>
      <c r="AU74"/>
      <c r="AV74"/>
    </row>
    <row r="75" spans="3:48" hidden="1" x14ac:dyDescent="0.3">
      <c r="C75"/>
      <c r="D75"/>
      <c r="E75"/>
      <c r="F75"/>
      <c r="G75"/>
      <c r="H75"/>
      <c r="I75"/>
      <c r="J75"/>
      <c r="K75"/>
      <c r="L75"/>
      <c r="M75"/>
      <c r="AU75"/>
      <c r="AV75"/>
    </row>
    <row r="76" spans="3:48" hidden="1" x14ac:dyDescent="0.3">
      <c r="C76"/>
      <c r="D76"/>
      <c r="E76"/>
      <c r="F76"/>
      <c r="G76"/>
      <c r="H76"/>
      <c r="I76"/>
      <c r="J76"/>
      <c r="K76"/>
      <c r="L76"/>
      <c r="M76"/>
      <c r="AU76"/>
      <c r="AV76"/>
    </row>
    <row r="77" spans="3:48" hidden="1" x14ac:dyDescent="0.3">
      <c r="C77"/>
      <c r="D77"/>
      <c r="E77"/>
      <c r="F77"/>
      <c r="G77"/>
      <c r="H77"/>
      <c r="I77"/>
      <c r="J77"/>
      <c r="K77"/>
      <c r="L77"/>
      <c r="M77"/>
      <c r="AU77"/>
      <c r="AV77"/>
    </row>
    <row r="78" spans="3:48" hidden="1" x14ac:dyDescent="0.3">
      <c r="C78"/>
      <c r="D78"/>
      <c r="E78"/>
      <c r="F78"/>
      <c r="G78"/>
      <c r="H78"/>
      <c r="I78"/>
      <c r="J78"/>
      <c r="K78"/>
      <c r="L78"/>
      <c r="M78"/>
      <c r="AU78"/>
      <c r="AV78"/>
    </row>
    <row r="79" spans="3:48" hidden="1" x14ac:dyDescent="0.3">
      <c r="C79"/>
      <c r="D79"/>
      <c r="E79"/>
      <c r="F79"/>
      <c r="G79"/>
      <c r="H79"/>
      <c r="I79"/>
      <c r="J79"/>
      <c r="K79"/>
      <c r="L79"/>
      <c r="AU79"/>
      <c r="AV79"/>
    </row>
    <row r="80" spans="3:48" hidden="1" x14ac:dyDescent="0.3">
      <c r="C80"/>
      <c r="D80"/>
      <c r="E80"/>
      <c r="F80"/>
      <c r="G80"/>
      <c r="H80"/>
      <c r="I80"/>
      <c r="J80"/>
      <c r="K80"/>
      <c r="L80"/>
      <c r="AU80"/>
      <c r="AV80"/>
    </row>
    <row r="81" spans="3:48" hidden="1" x14ac:dyDescent="0.3">
      <c r="C81"/>
      <c r="D81"/>
      <c r="E81"/>
      <c r="F81"/>
      <c r="G81"/>
      <c r="H81"/>
      <c r="I81"/>
      <c r="J81"/>
      <c r="K81"/>
      <c r="L81"/>
      <c r="AU81"/>
      <c r="AV81"/>
    </row>
    <row r="82" spans="3:48" hidden="1" x14ac:dyDescent="0.3">
      <c r="C82"/>
      <c r="D82"/>
      <c r="E82"/>
      <c r="F82"/>
      <c r="G82"/>
      <c r="H82"/>
      <c r="I82"/>
      <c r="J82"/>
      <c r="K82"/>
      <c r="L82"/>
      <c r="AU82"/>
      <c r="AV82"/>
    </row>
    <row r="83" spans="3:48" hidden="1" x14ac:dyDescent="0.3">
      <c r="C83"/>
      <c r="D83"/>
      <c r="E83"/>
      <c r="F83"/>
      <c r="G83"/>
      <c r="H83"/>
      <c r="I83"/>
      <c r="J83"/>
      <c r="K83"/>
      <c r="L83"/>
      <c r="AU83"/>
      <c r="AV83"/>
    </row>
    <row r="84" spans="3:48" hidden="1" x14ac:dyDescent="0.3">
      <c r="C84"/>
      <c r="D84"/>
      <c r="E84"/>
      <c r="F84"/>
      <c r="G84"/>
      <c r="H84"/>
      <c r="I84"/>
      <c r="J84"/>
      <c r="K84"/>
      <c r="L84"/>
      <c r="AU84"/>
      <c r="AV84"/>
    </row>
    <row r="85" spans="3:48" hidden="1" x14ac:dyDescent="0.3">
      <c r="C85"/>
      <c r="D85"/>
      <c r="E85"/>
      <c r="G85"/>
      <c r="H85"/>
      <c r="I85"/>
      <c r="J85"/>
      <c r="K85"/>
      <c r="L85"/>
      <c r="AU85"/>
      <c r="AV85"/>
    </row>
    <row r="86" spans="3:48" hidden="1" x14ac:dyDescent="0.3">
      <c r="G86"/>
      <c r="H86"/>
      <c r="I86"/>
      <c r="J86"/>
      <c r="K86"/>
      <c r="L86"/>
      <c r="AU86"/>
      <c r="AV86"/>
    </row>
    <row r="87" spans="3:48" hidden="1" x14ac:dyDescent="0.3">
      <c r="G87"/>
      <c r="H87"/>
      <c r="I87"/>
      <c r="J87"/>
      <c r="K87"/>
      <c r="L87"/>
      <c r="AU87"/>
      <c r="AV87"/>
    </row>
    <row r="88" spans="3:48" hidden="1" x14ac:dyDescent="0.3">
      <c r="G88"/>
      <c r="H88"/>
      <c r="I88"/>
      <c r="J88"/>
      <c r="K88"/>
      <c r="L88"/>
      <c r="AU88"/>
      <c r="AV88"/>
    </row>
    <row r="89" spans="3:48" hidden="1" x14ac:dyDescent="0.3">
      <c r="G89"/>
      <c r="H89"/>
      <c r="I89"/>
      <c r="J89"/>
      <c r="K89"/>
      <c r="L89"/>
      <c r="AU89"/>
      <c r="AV89"/>
    </row>
    <row r="90" spans="3:48" hidden="1" x14ac:dyDescent="0.3">
      <c r="G90"/>
      <c r="H90"/>
      <c r="I90"/>
      <c r="J90"/>
      <c r="K90"/>
      <c r="L90"/>
      <c r="AU90"/>
      <c r="AV90"/>
    </row>
    <row r="91" spans="3:48" hidden="1" x14ac:dyDescent="0.3">
      <c r="G91"/>
      <c r="H91"/>
      <c r="I91"/>
      <c r="J91"/>
      <c r="K91"/>
      <c r="L91"/>
      <c r="AU91"/>
      <c r="AV91"/>
    </row>
    <row r="92" spans="3:48" ht="12" customHeight="1" x14ac:dyDescent="0.3">
      <c r="G92"/>
      <c r="H92"/>
      <c r="I92"/>
      <c r="J92"/>
      <c r="K92"/>
      <c r="L92"/>
      <c r="AU92"/>
      <c r="AV92"/>
    </row>
    <row r="93" spans="3:48" x14ac:dyDescent="0.3">
      <c r="G93"/>
      <c r="H93"/>
      <c r="I93"/>
      <c r="J93"/>
      <c r="K93"/>
      <c r="L93"/>
      <c r="AU93"/>
      <c r="AV93"/>
    </row>
    <row r="94" spans="3:48" x14ac:dyDescent="0.3">
      <c r="G94"/>
      <c r="H94"/>
      <c r="I94"/>
      <c r="J94"/>
      <c r="K94"/>
      <c r="L94"/>
      <c r="AU94"/>
      <c r="AV94"/>
    </row>
    <row r="95" spans="3:48" x14ac:dyDescent="0.3">
      <c r="G95"/>
      <c r="H95"/>
      <c r="I95"/>
      <c r="J95"/>
      <c r="K95"/>
      <c r="L95"/>
      <c r="AU95"/>
      <c r="AV95"/>
    </row>
    <row r="96" spans="3:48" x14ac:dyDescent="0.3">
      <c r="G96"/>
      <c r="H96"/>
      <c r="I96"/>
      <c r="J96"/>
      <c r="K96"/>
      <c r="L96"/>
      <c r="AU96"/>
      <c r="AV96"/>
    </row>
    <row r="97" spans="3:48" x14ac:dyDescent="0.3">
      <c r="G97"/>
      <c r="H97"/>
      <c r="I97"/>
      <c r="J97"/>
      <c r="K97"/>
      <c r="L97"/>
      <c r="AU97"/>
      <c r="AV97"/>
    </row>
    <row r="98" spans="3:48" x14ac:dyDescent="0.3">
      <c r="C98"/>
      <c r="D98"/>
      <c r="E98"/>
      <c r="F98"/>
      <c r="G98"/>
      <c r="H98"/>
      <c r="I98"/>
      <c r="J98"/>
      <c r="K98"/>
      <c r="L98"/>
      <c r="AU98"/>
      <c r="AV98"/>
    </row>
    <row r="99" spans="3:48" x14ac:dyDescent="0.3">
      <c r="C99"/>
      <c r="D99"/>
      <c r="E99"/>
      <c r="F99"/>
      <c r="G99"/>
      <c r="H99"/>
      <c r="I99"/>
      <c r="J99"/>
      <c r="K99"/>
      <c r="L99"/>
      <c r="AU99"/>
      <c r="AV99"/>
    </row>
    <row r="100" spans="3:48" x14ac:dyDescent="0.3">
      <c r="C100"/>
      <c r="D100"/>
      <c r="E100"/>
      <c r="F100"/>
      <c r="G100"/>
      <c r="H100"/>
      <c r="I100"/>
      <c r="J100"/>
      <c r="K100"/>
      <c r="L100"/>
      <c r="AU100"/>
      <c r="AV100"/>
    </row>
    <row r="101" spans="3:48" x14ac:dyDescent="0.3">
      <c r="C101"/>
      <c r="D101"/>
      <c r="E101"/>
      <c r="F101"/>
      <c r="G101"/>
      <c r="H101"/>
      <c r="I101"/>
      <c r="J101"/>
      <c r="K101"/>
      <c r="L101"/>
      <c r="AU101"/>
      <c r="AV101"/>
    </row>
    <row r="102" spans="3:48" x14ac:dyDescent="0.3">
      <c r="C102"/>
      <c r="D102"/>
      <c r="E102"/>
      <c r="F102"/>
      <c r="G102"/>
      <c r="H102"/>
      <c r="I102"/>
      <c r="J102"/>
      <c r="K102"/>
      <c r="L102"/>
      <c r="AU102"/>
      <c r="AV102"/>
    </row>
    <row r="103" spans="3:48" x14ac:dyDescent="0.3">
      <c r="C103"/>
      <c r="D103"/>
      <c r="E103"/>
      <c r="F103"/>
      <c r="G103"/>
      <c r="H103"/>
      <c r="I103"/>
      <c r="J103"/>
      <c r="K103"/>
      <c r="L103"/>
      <c r="AU103"/>
      <c r="AV103"/>
    </row>
    <row r="104" spans="3:48" x14ac:dyDescent="0.3">
      <c r="C104"/>
      <c r="D104"/>
      <c r="E104"/>
      <c r="F104"/>
      <c r="G104"/>
      <c r="H104"/>
      <c r="I104"/>
      <c r="J104"/>
      <c r="K104"/>
      <c r="L104"/>
      <c r="AU104"/>
      <c r="AV104"/>
    </row>
    <row r="105" spans="3:48" x14ac:dyDescent="0.3">
      <c r="C105"/>
      <c r="D105"/>
      <c r="E105"/>
      <c r="F105"/>
      <c r="G105"/>
      <c r="H105"/>
      <c r="I105"/>
      <c r="J105"/>
      <c r="K105"/>
      <c r="L105"/>
      <c r="AU105"/>
      <c r="AV105"/>
    </row>
    <row r="106" spans="3:48" x14ac:dyDescent="0.3">
      <c r="C106"/>
      <c r="D106"/>
      <c r="E106"/>
      <c r="F106"/>
      <c r="G106"/>
      <c r="H106"/>
      <c r="I106"/>
      <c r="J106"/>
      <c r="K106"/>
      <c r="L106"/>
      <c r="AU106"/>
      <c r="AV106"/>
    </row>
    <row r="107" spans="3:48" x14ac:dyDescent="0.3">
      <c r="C107"/>
      <c r="D107"/>
      <c r="E107"/>
      <c r="F107"/>
      <c r="G107"/>
      <c r="H107"/>
      <c r="I107"/>
      <c r="J107"/>
      <c r="K107"/>
      <c r="L107"/>
      <c r="AU107"/>
      <c r="AV107"/>
    </row>
    <row r="108" spans="3:48" x14ac:dyDescent="0.3">
      <c r="C108"/>
      <c r="D108"/>
      <c r="E108"/>
      <c r="F108"/>
      <c r="G108"/>
      <c r="H108"/>
      <c r="I108"/>
      <c r="J108"/>
      <c r="K108"/>
      <c r="L108"/>
      <c r="AU108"/>
      <c r="AV108"/>
    </row>
    <row r="109" spans="3:48" x14ac:dyDescent="0.3">
      <c r="C109"/>
      <c r="D109"/>
      <c r="E109"/>
      <c r="F109"/>
      <c r="G109"/>
      <c r="H109"/>
      <c r="I109"/>
      <c r="J109"/>
      <c r="K109"/>
      <c r="L109"/>
      <c r="AU109"/>
      <c r="AV109"/>
    </row>
    <row r="110" spans="3:48" x14ac:dyDescent="0.3">
      <c r="C110"/>
      <c r="D110"/>
      <c r="E110"/>
      <c r="F110"/>
      <c r="G110"/>
      <c r="H110"/>
      <c r="I110"/>
      <c r="J110"/>
      <c r="K110"/>
      <c r="L110"/>
      <c r="AU110"/>
      <c r="AV110"/>
    </row>
    <row r="111" spans="3:48" x14ac:dyDescent="0.3">
      <c r="C111"/>
      <c r="D111"/>
      <c r="E111"/>
      <c r="F111"/>
      <c r="G111"/>
      <c r="H111"/>
      <c r="I111"/>
      <c r="J111"/>
      <c r="K111"/>
      <c r="L111"/>
      <c r="AU111"/>
      <c r="AV111"/>
    </row>
    <row r="112" spans="3:48" x14ac:dyDescent="0.3">
      <c r="C112"/>
      <c r="D112"/>
      <c r="E112"/>
      <c r="F112"/>
      <c r="G112"/>
      <c r="H112"/>
      <c r="I112"/>
      <c r="J112"/>
      <c r="K112"/>
      <c r="L112"/>
      <c r="AU112"/>
      <c r="AV112"/>
    </row>
    <row r="113" spans="3:48" x14ac:dyDescent="0.3">
      <c r="C113"/>
      <c r="D113"/>
      <c r="E113"/>
      <c r="F113"/>
      <c r="G113"/>
      <c r="H113"/>
      <c r="I113"/>
      <c r="J113"/>
      <c r="K113"/>
      <c r="L113"/>
      <c r="AU113"/>
      <c r="AV113"/>
    </row>
    <row r="114" spans="3:48" x14ac:dyDescent="0.3">
      <c r="C114"/>
      <c r="D114"/>
      <c r="E114"/>
      <c r="F114"/>
      <c r="G114"/>
      <c r="H114"/>
      <c r="I114"/>
      <c r="J114"/>
      <c r="K114"/>
      <c r="L114"/>
      <c r="AU114"/>
      <c r="AV114"/>
    </row>
    <row r="115" spans="3:48" x14ac:dyDescent="0.3">
      <c r="C115"/>
      <c r="D115"/>
      <c r="E115"/>
      <c r="F115"/>
      <c r="G115"/>
      <c r="H115"/>
      <c r="I115"/>
      <c r="J115"/>
      <c r="K115"/>
      <c r="L115"/>
      <c r="AU115"/>
      <c r="AV115"/>
    </row>
    <row r="116" spans="3:48" x14ac:dyDescent="0.3">
      <c r="C116"/>
      <c r="D116"/>
      <c r="E116"/>
      <c r="F116"/>
      <c r="G116"/>
      <c r="H116"/>
      <c r="I116"/>
      <c r="J116"/>
      <c r="K116"/>
      <c r="L116"/>
      <c r="AU116"/>
      <c r="AV116"/>
    </row>
    <row r="117" spans="3:48" x14ac:dyDescent="0.3">
      <c r="C117"/>
      <c r="D117"/>
      <c r="E117"/>
      <c r="F117"/>
      <c r="G117"/>
      <c r="H117"/>
      <c r="I117"/>
      <c r="J117"/>
      <c r="K117"/>
      <c r="L117"/>
      <c r="AU117"/>
      <c r="AV117"/>
    </row>
    <row r="118" spans="3:48" x14ac:dyDescent="0.3">
      <c r="C118"/>
      <c r="D118"/>
      <c r="E118"/>
      <c r="F118"/>
      <c r="G118"/>
      <c r="H118"/>
      <c r="I118"/>
      <c r="J118"/>
      <c r="K118"/>
      <c r="L118"/>
      <c r="AU118"/>
      <c r="AV118"/>
    </row>
    <row r="119" spans="3:48" x14ac:dyDescent="0.3">
      <c r="C119"/>
      <c r="D119"/>
      <c r="E119"/>
      <c r="F119"/>
      <c r="G119"/>
      <c r="H119"/>
      <c r="I119"/>
      <c r="J119"/>
      <c r="K119"/>
      <c r="L119"/>
      <c r="AU119"/>
      <c r="AV119"/>
    </row>
    <row r="120" spans="3:48" x14ac:dyDescent="0.3">
      <c r="C120"/>
      <c r="D120"/>
      <c r="E120"/>
      <c r="F120"/>
      <c r="G120"/>
      <c r="H120"/>
      <c r="I120"/>
      <c r="J120"/>
      <c r="K120"/>
      <c r="L120"/>
      <c r="AU120"/>
      <c r="AV120"/>
    </row>
    <row r="121" spans="3:48" x14ac:dyDescent="0.3">
      <c r="G121"/>
      <c r="H121"/>
      <c r="I121"/>
      <c r="J121"/>
      <c r="K121"/>
      <c r="L121"/>
      <c r="AU121"/>
      <c r="AV121"/>
    </row>
    <row r="122" spans="3:48" x14ac:dyDescent="0.3">
      <c r="G122"/>
      <c r="H122"/>
      <c r="I122"/>
      <c r="J122"/>
      <c r="K122"/>
      <c r="L122"/>
      <c r="AU122"/>
      <c r="AV122"/>
    </row>
    <row r="123" spans="3:48" x14ac:dyDescent="0.3">
      <c r="G123"/>
      <c r="H123"/>
      <c r="I123"/>
      <c r="J123"/>
      <c r="K123"/>
      <c r="L123"/>
      <c r="AU123"/>
      <c r="AV123"/>
    </row>
    <row r="124" spans="3:48" x14ac:dyDescent="0.3">
      <c r="G124"/>
      <c r="H124"/>
      <c r="I124"/>
      <c r="J124"/>
      <c r="K124"/>
      <c r="L124"/>
      <c r="AU124"/>
      <c r="AV124"/>
    </row>
    <row r="125" spans="3:48" x14ac:dyDescent="0.3">
      <c r="G125"/>
      <c r="H125"/>
      <c r="I125"/>
      <c r="J125"/>
      <c r="K125"/>
      <c r="L125"/>
      <c r="AU125"/>
      <c r="AV125"/>
    </row>
    <row r="126" spans="3:48" x14ac:dyDescent="0.3">
      <c r="G126"/>
      <c r="H126"/>
      <c r="I126"/>
      <c r="J126"/>
      <c r="K126"/>
      <c r="L126"/>
      <c r="AU126"/>
      <c r="AV126"/>
    </row>
    <row r="127" spans="3:48" x14ac:dyDescent="0.3">
      <c r="G127"/>
      <c r="H127"/>
      <c r="I127"/>
      <c r="J127"/>
      <c r="K127"/>
      <c r="L127"/>
      <c r="AU127"/>
      <c r="AV127"/>
    </row>
    <row r="128" spans="3:48" x14ac:dyDescent="0.3">
      <c r="G128"/>
      <c r="H128"/>
      <c r="I128"/>
      <c r="J128"/>
      <c r="K128"/>
      <c r="L128"/>
      <c r="AU128"/>
      <c r="AV128"/>
    </row>
    <row r="129" spans="7:48" x14ac:dyDescent="0.3">
      <c r="G129"/>
      <c r="H129"/>
      <c r="I129"/>
      <c r="J129"/>
      <c r="K129"/>
      <c r="L129"/>
      <c r="AU129"/>
      <c r="AV129"/>
    </row>
    <row r="130" spans="7:48" x14ac:dyDescent="0.3">
      <c r="G130"/>
      <c r="H130"/>
      <c r="I130"/>
      <c r="J130"/>
      <c r="K130"/>
      <c r="L130"/>
      <c r="AU130"/>
      <c r="AV130"/>
    </row>
    <row r="131" spans="7:48" x14ac:dyDescent="0.3">
      <c r="G131"/>
      <c r="H131"/>
      <c r="I131"/>
      <c r="J131"/>
      <c r="K131"/>
      <c r="L131"/>
      <c r="AU131"/>
      <c r="AV131"/>
    </row>
    <row r="132" spans="7:48" x14ac:dyDescent="0.3">
      <c r="G132"/>
      <c r="H132"/>
      <c r="I132"/>
      <c r="J132"/>
      <c r="K132"/>
      <c r="L132"/>
      <c r="AU132"/>
      <c r="AV132"/>
    </row>
    <row r="133" spans="7:48" x14ac:dyDescent="0.3">
      <c r="G133"/>
      <c r="H133"/>
      <c r="I133"/>
      <c r="J133"/>
      <c r="K133"/>
      <c r="L133"/>
      <c r="AU133"/>
      <c r="AV133"/>
    </row>
    <row r="134" spans="7:48" x14ac:dyDescent="0.3">
      <c r="G134"/>
      <c r="H134"/>
      <c r="I134"/>
      <c r="J134"/>
      <c r="K134"/>
      <c r="L134"/>
      <c r="AU134"/>
      <c r="AV134"/>
    </row>
    <row r="135" spans="7:48" x14ac:dyDescent="0.3">
      <c r="G135"/>
      <c r="H135"/>
      <c r="I135"/>
      <c r="J135"/>
      <c r="K135"/>
      <c r="L135"/>
      <c r="AU135"/>
      <c r="AV135"/>
    </row>
    <row r="136" spans="7:48" x14ac:dyDescent="0.3">
      <c r="G136"/>
      <c r="H136"/>
      <c r="I136"/>
      <c r="J136"/>
      <c r="K136"/>
      <c r="L136"/>
      <c r="AU136"/>
      <c r="AV136"/>
    </row>
    <row r="137" spans="7:48" x14ac:dyDescent="0.3">
      <c r="G137"/>
      <c r="H137"/>
      <c r="I137"/>
      <c r="J137"/>
      <c r="K137"/>
      <c r="L137"/>
      <c r="AU137"/>
      <c r="AV137"/>
    </row>
    <row r="138" spans="7:48" x14ac:dyDescent="0.3">
      <c r="G138"/>
      <c r="H138"/>
      <c r="I138"/>
      <c r="J138"/>
      <c r="K138"/>
      <c r="L138"/>
      <c r="AU138"/>
      <c r="AV138"/>
    </row>
    <row r="139" spans="7:48" x14ac:dyDescent="0.3">
      <c r="G139"/>
      <c r="H139"/>
      <c r="I139"/>
      <c r="J139"/>
      <c r="K139"/>
      <c r="L139"/>
      <c r="AU139"/>
      <c r="AV139"/>
    </row>
    <row r="140" spans="7:48" x14ac:dyDescent="0.3">
      <c r="G140"/>
      <c r="H140"/>
      <c r="I140"/>
      <c r="J140"/>
      <c r="K140"/>
      <c r="L140"/>
      <c r="AU140"/>
      <c r="AV140"/>
    </row>
    <row r="141" spans="7:48" x14ac:dyDescent="0.3">
      <c r="G141"/>
      <c r="H141"/>
      <c r="I141"/>
      <c r="J141"/>
      <c r="K141"/>
      <c r="L141"/>
      <c r="AU141"/>
      <c r="AV141"/>
    </row>
    <row r="142" spans="7:48" x14ac:dyDescent="0.3">
      <c r="G142"/>
      <c r="H142"/>
      <c r="I142"/>
      <c r="J142"/>
      <c r="K142"/>
      <c r="L142"/>
      <c r="AU142"/>
      <c r="AV142"/>
    </row>
    <row r="143" spans="7:48" x14ac:dyDescent="0.3">
      <c r="G143"/>
      <c r="H143"/>
      <c r="I143"/>
      <c r="J143"/>
      <c r="K143"/>
      <c r="L143"/>
      <c r="AU143"/>
      <c r="AV143"/>
    </row>
    <row r="144" spans="7:48" x14ac:dyDescent="0.3">
      <c r="G144"/>
      <c r="H144"/>
      <c r="I144"/>
      <c r="J144"/>
      <c r="K144"/>
      <c r="L144"/>
      <c r="AU144"/>
      <c r="AV144"/>
    </row>
    <row r="145" spans="7:48" x14ac:dyDescent="0.3">
      <c r="G145"/>
      <c r="H145"/>
      <c r="I145"/>
      <c r="J145"/>
      <c r="K145"/>
      <c r="L145"/>
      <c r="AU145"/>
      <c r="AV145"/>
    </row>
    <row r="146" spans="7:48" x14ac:dyDescent="0.3">
      <c r="G146"/>
      <c r="H146"/>
      <c r="I146"/>
      <c r="J146"/>
      <c r="K146"/>
      <c r="L146"/>
      <c r="AU146"/>
      <c r="AV146"/>
    </row>
    <row r="147" spans="7:48" x14ac:dyDescent="0.3">
      <c r="G147"/>
      <c r="H147"/>
      <c r="I147"/>
      <c r="J147"/>
      <c r="K147"/>
      <c r="L147"/>
      <c r="AU147"/>
      <c r="AV147"/>
    </row>
    <row r="148" spans="7:48" x14ac:dyDescent="0.3">
      <c r="G148"/>
      <c r="H148"/>
      <c r="I148"/>
      <c r="J148"/>
      <c r="K148"/>
      <c r="L148"/>
      <c r="AU148"/>
      <c r="AV148"/>
    </row>
    <row r="149" spans="7:48" x14ac:dyDescent="0.3">
      <c r="G149"/>
      <c r="H149"/>
      <c r="I149"/>
      <c r="J149"/>
      <c r="K149"/>
      <c r="L149"/>
      <c r="AU149"/>
      <c r="AV149"/>
    </row>
    <row r="150" spans="7:48" x14ac:dyDescent="0.3">
      <c r="G150"/>
      <c r="H150"/>
      <c r="I150"/>
      <c r="J150"/>
      <c r="K150"/>
      <c r="L150"/>
      <c r="AU150"/>
      <c r="AV150"/>
    </row>
    <row r="151" spans="7:48" x14ac:dyDescent="0.3">
      <c r="G151"/>
      <c r="H151"/>
      <c r="I151"/>
      <c r="J151"/>
      <c r="K151"/>
      <c r="L151"/>
      <c r="AU151"/>
      <c r="AV151"/>
    </row>
    <row r="152" spans="7:48" x14ac:dyDescent="0.3">
      <c r="G152"/>
      <c r="H152"/>
      <c r="I152"/>
      <c r="J152"/>
      <c r="K152"/>
      <c r="L152"/>
      <c r="AU152"/>
      <c r="AV152"/>
    </row>
    <row r="153" spans="7:48" x14ac:dyDescent="0.3">
      <c r="G153"/>
      <c r="H153"/>
      <c r="I153"/>
      <c r="J153"/>
      <c r="K153"/>
      <c r="L153"/>
      <c r="AU153"/>
      <c r="AV153"/>
    </row>
    <row r="154" spans="7:48" x14ac:dyDescent="0.3">
      <c r="G154"/>
      <c r="H154"/>
      <c r="I154"/>
      <c r="J154"/>
      <c r="K154"/>
      <c r="L154"/>
    </row>
    <row r="155" spans="7:48" x14ac:dyDescent="0.3">
      <c r="G155"/>
      <c r="H155"/>
      <c r="I155"/>
      <c r="J155"/>
      <c r="K155"/>
      <c r="L155"/>
    </row>
    <row r="156" spans="7:48" x14ac:dyDescent="0.3">
      <c r="G156"/>
      <c r="H156"/>
      <c r="I156"/>
      <c r="J156"/>
      <c r="K156"/>
      <c r="L156"/>
    </row>
    <row r="157" spans="7:48" x14ac:dyDescent="0.3">
      <c r="G157"/>
      <c r="H157"/>
      <c r="I157"/>
      <c r="J157"/>
      <c r="K157"/>
      <c r="L157"/>
    </row>
    <row r="158" spans="7:48" x14ac:dyDescent="0.3">
      <c r="G158"/>
      <c r="H158"/>
      <c r="I158"/>
      <c r="J158"/>
      <c r="K158"/>
      <c r="L158"/>
    </row>
    <row r="159" spans="7:48" x14ac:dyDescent="0.3">
      <c r="G159"/>
      <c r="H159"/>
      <c r="I159"/>
      <c r="J159"/>
      <c r="K159"/>
      <c r="L159"/>
    </row>
    <row r="160" spans="7:48" x14ac:dyDescent="0.3">
      <c r="G160"/>
      <c r="H160"/>
      <c r="I160"/>
      <c r="J160"/>
      <c r="K160"/>
      <c r="L160"/>
    </row>
    <row r="161" spans="7:12" x14ac:dyDescent="0.3">
      <c r="G161"/>
      <c r="H161"/>
      <c r="I161"/>
      <c r="J161"/>
      <c r="K161"/>
      <c r="L161"/>
    </row>
    <row r="162" spans="7:12" x14ac:dyDescent="0.3">
      <c r="G162"/>
      <c r="H162"/>
      <c r="I162"/>
      <c r="J162"/>
      <c r="K162"/>
      <c r="L162"/>
    </row>
    <row r="163" spans="7:12" x14ac:dyDescent="0.3">
      <c r="G163"/>
      <c r="H163"/>
      <c r="I163"/>
      <c r="J163"/>
      <c r="K163"/>
      <c r="L163"/>
    </row>
    <row r="164" spans="7:12" x14ac:dyDescent="0.3">
      <c r="G164"/>
      <c r="H164"/>
      <c r="I164"/>
      <c r="J164"/>
      <c r="K164"/>
      <c r="L164"/>
    </row>
    <row r="165" spans="7:12" x14ac:dyDescent="0.3">
      <c r="G165"/>
      <c r="H165"/>
      <c r="I165"/>
      <c r="J165"/>
      <c r="K165"/>
      <c r="L165"/>
    </row>
    <row r="166" spans="7:12" x14ac:dyDescent="0.3">
      <c r="G166"/>
      <c r="H166"/>
      <c r="I166"/>
      <c r="J166"/>
      <c r="K166"/>
      <c r="L166"/>
    </row>
    <row r="167" spans="7:12" x14ac:dyDescent="0.3">
      <c r="G167"/>
      <c r="H167"/>
      <c r="I167"/>
      <c r="J167"/>
      <c r="K167"/>
      <c r="L167"/>
    </row>
    <row r="168" spans="7:12" x14ac:dyDescent="0.3">
      <c r="G168"/>
      <c r="H168"/>
      <c r="I168"/>
      <c r="J168"/>
      <c r="K168"/>
      <c r="L168"/>
    </row>
    <row r="169" spans="7:12" x14ac:dyDescent="0.3">
      <c r="G169"/>
      <c r="H169"/>
      <c r="I169"/>
      <c r="J169"/>
      <c r="K169"/>
      <c r="L169"/>
    </row>
    <row r="170" spans="7:12" x14ac:dyDescent="0.3">
      <c r="G170"/>
      <c r="H170"/>
      <c r="I170"/>
      <c r="J170"/>
      <c r="K170"/>
      <c r="L170"/>
    </row>
    <row r="171" spans="7:12" x14ac:dyDescent="0.3">
      <c r="G171"/>
      <c r="H171"/>
      <c r="I171"/>
      <c r="J171"/>
      <c r="K171"/>
      <c r="L171"/>
    </row>
    <row r="172" spans="7:12" x14ac:dyDescent="0.3">
      <c r="G172"/>
      <c r="H172"/>
      <c r="I172"/>
      <c r="J172"/>
      <c r="K172"/>
      <c r="L172"/>
    </row>
    <row r="173" spans="7:12" x14ac:dyDescent="0.3">
      <c r="G173"/>
      <c r="H173"/>
      <c r="I173"/>
      <c r="J173"/>
      <c r="K173"/>
      <c r="L173"/>
    </row>
    <row r="174" spans="7:12" x14ac:dyDescent="0.3">
      <c r="G174"/>
      <c r="H174"/>
      <c r="I174"/>
      <c r="J174"/>
      <c r="K174"/>
      <c r="L174"/>
    </row>
    <row r="175" spans="7:12" x14ac:dyDescent="0.3">
      <c r="G175"/>
      <c r="H175"/>
      <c r="I175"/>
      <c r="J175"/>
      <c r="K175"/>
      <c r="L175"/>
    </row>
    <row r="176" spans="7:12" x14ac:dyDescent="0.3">
      <c r="G176"/>
      <c r="H176"/>
      <c r="I176"/>
      <c r="J176"/>
      <c r="K176"/>
      <c r="L176"/>
    </row>
    <row r="177" spans="7:12" x14ac:dyDescent="0.3">
      <c r="G177"/>
      <c r="H177"/>
      <c r="I177"/>
      <c r="J177"/>
      <c r="K177"/>
      <c r="L177"/>
    </row>
    <row r="178" spans="7:12" x14ac:dyDescent="0.3">
      <c r="G178"/>
      <c r="H178"/>
      <c r="I178"/>
      <c r="J178"/>
      <c r="K178"/>
      <c r="L178"/>
    </row>
    <row r="179" spans="7:12" x14ac:dyDescent="0.3">
      <c r="G179"/>
      <c r="H179"/>
      <c r="I179"/>
      <c r="J179"/>
      <c r="K179"/>
      <c r="L179"/>
    </row>
    <row r="180" spans="7:12" x14ac:dyDescent="0.3">
      <c r="G180"/>
      <c r="H180"/>
      <c r="I180"/>
      <c r="J180"/>
      <c r="K180"/>
      <c r="L180"/>
    </row>
    <row r="181" spans="7:12" x14ac:dyDescent="0.3">
      <c r="G181"/>
      <c r="H181"/>
      <c r="I181"/>
      <c r="J181"/>
      <c r="K181"/>
      <c r="L181"/>
    </row>
    <row r="182" spans="7:12" x14ac:dyDescent="0.3">
      <c r="G182"/>
      <c r="H182"/>
      <c r="I182"/>
      <c r="J182"/>
      <c r="K182"/>
      <c r="L182"/>
    </row>
    <row r="183" spans="7:12" x14ac:dyDescent="0.3">
      <c r="G183"/>
      <c r="H183"/>
      <c r="I183"/>
      <c r="J183"/>
      <c r="K183"/>
      <c r="L183"/>
    </row>
    <row r="184" spans="7:12" x14ac:dyDescent="0.3">
      <c r="G184"/>
      <c r="H184"/>
      <c r="I184"/>
      <c r="J184"/>
      <c r="K184"/>
      <c r="L184"/>
    </row>
    <row r="185" spans="7:12" x14ac:dyDescent="0.3">
      <c r="G185"/>
      <c r="H185"/>
      <c r="I185"/>
      <c r="J185"/>
      <c r="K185"/>
      <c r="L185"/>
    </row>
    <row r="186" spans="7:12" x14ac:dyDescent="0.3">
      <c r="G186"/>
      <c r="H186"/>
      <c r="I186"/>
      <c r="J186"/>
      <c r="K186"/>
      <c r="L186"/>
    </row>
    <row r="187" spans="7:12" x14ac:dyDescent="0.3">
      <c r="G187"/>
      <c r="H187"/>
      <c r="I187"/>
      <c r="J187"/>
      <c r="K187"/>
      <c r="L187"/>
    </row>
    <row r="188" spans="7:12" x14ac:dyDescent="0.3">
      <c r="G188"/>
      <c r="H188"/>
      <c r="I188"/>
      <c r="J188"/>
      <c r="K188"/>
      <c r="L188"/>
    </row>
    <row r="189" spans="7:12" x14ac:dyDescent="0.3">
      <c r="G189"/>
      <c r="H189"/>
      <c r="I189"/>
      <c r="J189"/>
      <c r="K189"/>
      <c r="L189"/>
    </row>
    <row r="190" spans="7:12" x14ac:dyDescent="0.3">
      <c r="G190"/>
      <c r="H190"/>
      <c r="I190"/>
      <c r="J190"/>
      <c r="K190"/>
      <c r="L190"/>
    </row>
    <row r="191" spans="7:12" x14ac:dyDescent="0.3">
      <c r="G191"/>
      <c r="H191"/>
      <c r="I191"/>
      <c r="J191"/>
      <c r="K191"/>
      <c r="L191"/>
    </row>
    <row r="192" spans="7:12" x14ac:dyDescent="0.3">
      <c r="G192"/>
      <c r="H192"/>
      <c r="I192"/>
      <c r="J192"/>
      <c r="K192"/>
      <c r="L192"/>
    </row>
    <row r="193" spans="7:12" x14ac:dyDescent="0.3">
      <c r="G193"/>
      <c r="H193"/>
      <c r="I193"/>
      <c r="J193"/>
      <c r="K193"/>
      <c r="L193"/>
    </row>
    <row r="194" spans="7:12" x14ac:dyDescent="0.3">
      <c r="G194"/>
      <c r="H194"/>
      <c r="I194"/>
      <c r="J194"/>
      <c r="K194"/>
      <c r="L194"/>
    </row>
    <row r="195" spans="7:12" x14ac:dyDescent="0.3">
      <c r="G195"/>
      <c r="H195"/>
      <c r="I195"/>
      <c r="J195"/>
      <c r="K195"/>
      <c r="L195"/>
    </row>
    <row r="196" spans="7:12" x14ac:dyDescent="0.3">
      <c r="G196"/>
      <c r="H196"/>
      <c r="I196"/>
      <c r="J196"/>
      <c r="K196"/>
      <c r="L196"/>
    </row>
    <row r="197" spans="7:12" x14ac:dyDescent="0.3">
      <c r="G197"/>
      <c r="H197"/>
      <c r="I197"/>
      <c r="J197"/>
      <c r="K197"/>
      <c r="L197"/>
    </row>
    <row r="198" spans="7:12" x14ac:dyDescent="0.3">
      <c r="G198"/>
      <c r="H198"/>
      <c r="I198"/>
      <c r="J198"/>
      <c r="K198"/>
      <c r="L198"/>
    </row>
    <row r="199" spans="7:12" x14ac:dyDescent="0.3">
      <c r="G199"/>
      <c r="H199"/>
      <c r="I199"/>
      <c r="J199"/>
      <c r="K199"/>
      <c r="L199"/>
    </row>
    <row r="200" spans="7:12" x14ac:dyDescent="0.3">
      <c r="G200"/>
      <c r="H200"/>
      <c r="I200"/>
      <c r="J200"/>
      <c r="K200"/>
      <c r="L200"/>
    </row>
    <row r="201" spans="7:12" x14ac:dyDescent="0.3">
      <c r="G201"/>
      <c r="H201"/>
      <c r="I201"/>
      <c r="J201"/>
      <c r="K201"/>
      <c r="L201"/>
    </row>
    <row r="202" spans="7:12" x14ac:dyDescent="0.3">
      <c r="G202"/>
      <c r="H202"/>
      <c r="I202"/>
      <c r="J202"/>
      <c r="K202"/>
      <c r="L202"/>
    </row>
    <row r="203" spans="7:12" x14ac:dyDescent="0.3">
      <c r="G203"/>
      <c r="H203"/>
      <c r="I203"/>
      <c r="J203"/>
      <c r="K203"/>
      <c r="L203"/>
    </row>
    <row r="204" spans="7:12" x14ac:dyDescent="0.3">
      <c r="G204"/>
      <c r="H204"/>
      <c r="I204"/>
      <c r="J204"/>
      <c r="K204"/>
      <c r="L204"/>
    </row>
    <row r="205" spans="7:12" x14ac:dyDescent="0.3">
      <c r="G205"/>
      <c r="H205"/>
      <c r="I205"/>
      <c r="J205"/>
      <c r="K205"/>
      <c r="L205"/>
    </row>
    <row r="206" spans="7:12" x14ac:dyDescent="0.3">
      <c r="G206"/>
      <c r="H206"/>
      <c r="I206"/>
      <c r="J206"/>
      <c r="K206"/>
      <c r="L206"/>
    </row>
    <row r="207" spans="7:12" x14ac:dyDescent="0.3">
      <c r="G207"/>
      <c r="H207"/>
      <c r="I207"/>
      <c r="J207"/>
      <c r="K207"/>
      <c r="L207"/>
    </row>
    <row r="208" spans="7:12" x14ac:dyDescent="0.3">
      <c r="G208"/>
      <c r="H208"/>
      <c r="I208"/>
      <c r="J208"/>
      <c r="K208"/>
      <c r="L208"/>
    </row>
    <row r="209" spans="7:12" x14ac:dyDescent="0.3">
      <c r="G209"/>
      <c r="H209"/>
      <c r="I209"/>
      <c r="J209"/>
      <c r="K209"/>
      <c r="L209"/>
    </row>
    <row r="210" spans="7:12" x14ac:dyDescent="0.3">
      <c r="G210"/>
      <c r="H210"/>
      <c r="I210"/>
      <c r="J210"/>
      <c r="K210"/>
      <c r="L210"/>
    </row>
    <row r="211" spans="7:12" x14ac:dyDescent="0.3">
      <c r="G211"/>
      <c r="H211"/>
      <c r="I211"/>
      <c r="J211"/>
      <c r="K211"/>
      <c r="L211"/>
    </row>
    <row r="212" spans="7:12" x14ac:dyDescent="0.3">
      <c r="G212"/>
      <c r="H212"/>
      <c r="I212"/>
      <c r="J212"/>
      <c r="K212"/>
      <c r="L212"/>
    </row>
    <row r="213" spans="7:12" x14ac:dyDescent="0.3">
      <c r="G213"/>
      <c r="H213"/>
      <c r="I213"/>
      <c r="J213"/>
      <c r="K213"/>
      <c r="L213"/>
    </row>
    <row r="214" spans="7:12" x14ac:dyDescent="0.3">
      <c r="G214"/>
      <c r="H214"/>
      <c r="I214"/>
      <c r="J214"/>
      <c r="K214"/>
      <c r="L214"/>
    </row>
    <row r="215" spans="7:12" x14ac:dyDescent="0.3">
      <c r="G215"/>
      <c r="H215"/>
      <c r="I215"/>
      <c r="J215"/>
      <c r="K215"/>
      <c r="L215"/>
    </row>
    <row r="216" spans="7:12" x14ac:dyDescent="0.3">
      <c r="G216"/>
      <c r="H216"/>
      <c r="I216"/>
      <c r="J216"/>
      <c r="K216"/>
      <c r="L216"/>
    </row>
    <row r="217" spans="7:12" x14ac:dyDescent="0.3">
      <c r="G217"/>
      <c r="H217"/>
      <c r="I217"/>
      <c r="J217"/>
      <c r="K217"/>
      <c r="L217"/>
    </row>
    <row r="218" spans="7:12" x14ac:dyDescent="0.3">
      <c r="G218"/>
      <c r="H218"/>
      <c r="I218"/>
      <c r="J218"/>
      <c r="K218"/>
      <c r="L218"/>
    </row>
    <row r="219" spans="7:12" x14ac:dyDescent="0.3">
      <c r="G219"/>
      <c r="H219"/>
      <c r="I219"/>
      <c r="J219"/>
      <c r="K219"/>
      <c r="L219"/>
    </row>
    <row r="220" spans="7:12" x14ac:dyDescent="0.3">
      <c r="G220"/>
      <c r="H220"/>
      <c r="I220"/>
      <c r="J220"/>
      <c r="K220"/>
      <c r="L220"/>
    </row>
    <row r="221" spans="7:12" x14ac:dyDescent="0.3">
      <c r="G221"/>
      <c r="H221"/>
      <c r="I221"/>
      <c r="J221"/>
      <c r="K221"/>
      <c r="L221"/>
    </row>
    <row r="222" spans="7:12" x14ac:dyDescent="0.3">
      <c r="G222"/>
      <c r="H222"/>
      <c r="I222"/>
      <c r="J222"/>
      <c r="K222"/>
      <c r="L222"/>
    </row>
    <row r="223" spans="7:12" x14ac:dyDescent="0.3">
      <c r="G223"/>
      <c r="H223"/>
      <c r="I223"/>
      <c r="J223"/>
      <c r="K223"/>
      <c r="L223"/>
    </row>
    <row r="224" spans="7:12" x14ac:dyDescent="0.3">
      <c r="G224"/>
      <c r="H224"/>
      <c r="I224"/>
      <c r="J224"/>
      <c r="K224"/>
      <c r="L224"/>
    </row>
    <row r="225" spans="7:12" x14ac:dyDescent="0.3">
      <c r="G225"/>
      <c r="H225"/>
      <c r="I225"/>
      <c r="J225"/>
      <c r="K225"/>
      <c r="L225"/>
    </row>
    <row r="226" spans="7:12" x14ac:dyDescent="0.3">
      <c r="G226"/>
      <c r="H226"/>
      <c r="I226"/>
      <c r="J226"/>
      <c r="K226"/>
      <c r="L226"/>
    </row>
    <row r="227" spans="7:12" x14ac:dyDescent="0.3">
      <c r="G227"/>
      <c r="H227"/>
      <c r="I227"/>
      <c r="J227"/>
      <c r="K227"/>
      <c r="L227"/>
    </row>
    <row r="228" spans="7:12" x14ac:dyDescent="0.3">
      <c r="G228"/>
      <c r="H228"/>
      <c r="I228"/>
      <c r="J228"/>
      <c r="K228"/>
      <c r="L228"/>
    </row>
    <row r="229" spans="7:12" x14ac:dyDescent="0.3">
      <c r="G229"/>
      <c r="H229"/>
      <c r="I229"/>
      <c r="J229"/>
      <c r="K229"/>
      <c r="L229"/>
    </row>
    <row r="230" spans="7:12" x14ac:dyDescent="0.3">
      <c r="G230"/>
      <c r="H230"/>
      <c r="I230"/>
      <c r="J230"/>
      <c r="K230"/>
    </row>
    <row r="231" spans="7:12" x14ac:dyDescent="0.3">
      <c r="G231"/>
      <c r="H231"/>
      <c r="I231"/>
      <c r="J231"/>
      <c r="K231"/>
    </row>
    <row r="232" spans="7:12" x14ac:dyDescent="0.3">
      <c r="G232"/>
      <c r="H232"/>
      <c r="I232"/>
      <c r="J232"/>
      <c r="K232"/>
    </row>
    <row r="233" spans="7:12" x14ac:dyDescent="0.3">
      <c r="G233"/>
      <c r="H233"/>
      <c r="I233"/>
      <c r="J233"/>
      <c r="K233"/>
    </row>
    <row r="234" spans="7:12" x14ac:dyDescent="0.3">
      <c r="G234"/>
      <c r="H234"/>
      <c r="I234"/>
      <c r="J234"/>
      <c r="K234"/>
    </row>
    <row r="235" spans="7:12" x14ac:dyDescent="0.3">
      <c r="G235"/>
      <c r="H235"/>
      <c r="I235"/>
      <c r="J235"/>
      <c r="K235"/>
    </row>
    <row r="236" spans="7:12" x14ac:dyDescent="0.3">
      <c r="G236"/>
      <c r="H236"/>
      <c r="I236"/>
      <c r="J236"/>
      <c r="K236"/>
    </row>
    <row r="237" spans="7:12" x14ac:dyDescent="0.3">
      <c r="G237"/>
      <c r="H237"/>
      <c r="I237"/>
      <c r="J237"/>
      <c r="K237"/>
    </row>
    <row r="238" spans="7:12" x14ac:dyDescent="0.3">
      <c r="G238"/>
      <c r="H238"/>
      <c r="I238"/>
      <c r="J238"/>
      <c r="K238"/>
    </row>
    <row r="239" spans="7:12" x14ac:dyDescent="0.3">
      <c r="G239"/>
      <c r="H239"/>
      <c r="I239"/>
      <c r="J239"/>
      <c r="K239"/>
    </row>
    <row r="240" spans="7:12" x14ac:dyDescent="0.3">
      <c r="G240"/>
      <c r="H240"/>
      <c r="I240"/>
      <c r="J240"/>
      <c r="K240"/>
    </row>
    <row r="241" spans="7:11" x14ac:dyDescent="0.3">
      <c r="G241"/>
      <c r="H241"/>
      <c r="I241"/>
      <c r="J241"/>
      <c r="K241"/>
    </row>
    <row r="242" spans="7:11" x14ac:dyDescent="0.3">
      <c r="G242"/>
      <c r="H242"/>
      <c r="I242"/>
      <c r="J242"/>
      <c r="K242"/>
    </row>
    <row r="243" spans="7:11" x14ac:dyDescent="0.3">
      <c r="G243"/>
      <c r="H243"/>
      <c r="I243"/>
      <c r="J243"/>
      <c r="K243"/>
    </row>
    <row r="244" spans="7:11" x14ac:dyDescent="0.3">
      <c r="G244"/>
      <c r="H244"/>
      <c r="I244"/>
      <c r="J244"/>
      <c r="K244"/>
    </row>
    <row r="245" spans="7:11" x14ac:dyDescent="0.3">
      <c r="G245"/>
      <c r="H245"/>
      <c r="I245"/>
      <c r="J245"/>
      <c r="K245"/>
    </row>
    <row r="246" spans="7:11" x14ac:dyDescent="0.3">
      <c r="G246"/>
      <c r="H246"/>
      <c r="I246"/>
      <c r="J246"/>
      <c r="K246"/>
    </row>
    <row r="247" spans="7:11" x14ac:dyDescent="0.3">
      <c r="G247"/>
      <c r="H247"/>
      <c r="I247"/>
      <c r="J247"/>
      <c r="K247"/>
    </row>
    <row r="248" spans="7:11" x14ac:dyDescent="0.3">
      <c r="G248"/>
      <c r="H248"/>
      <c r="I248"/>
      <c r="J248"/>
      <c r="K248"/>
    </row>
    <row r="249" spans="7:11" x14ac:dyDescent="0.3">
      <c r="G249"/>
      <c r="H249"/>
      <c r="I249"/>
      <c r="J249"/>
      <c r="K249"/>
    </row>
    <row r="250" spans="7:11" x14ac:dyDescent="0.3">
      <c r="G250"/>
      <c r="H250"/>
      <c r="I250"/>
      <c r="J250"/>
      <c r="K250"/>
    </row>
    <row r="251" spans="7:11" x14ac:dyDescent="0.3">
      <c r="G251"/>
      <c r="H251"/>
      <c r="I251"/>
      <c r="J251"/>
      <c r="K251"/>
    </row>
    <row r="252" spans="7:11" x14ac:dyDescent="0.3">
      <c r="G252"/>
      <c r="H252"/>
      <c r="I252"/>
      <c r="J252"/>
      <c r="K252"/>
    </row>
    <row r="253" spans="7:11" x14ac:dyDescent="0.3">
      <c r="G253"/>
      <c r="H253"/>
      <c r="I253"/>
      <c r="J253"/>
      <c r="K253"/>
    </row>
    <row r="254" spans="7:11" x14ac:dyDescent="0.3">
      <c r="G254"/>
      <c r="H254"/>
      <c r="I254"/>
      <c r="J254"/>
      <c r="K254"/>
    </row>
    <row r="255" spans="7:11" x14ac:dyDescent="0.3">
      <c r="G255"/>
      <c r="H255"/>
      <c r="I255"/>
      <c r="J255"/>
      <c r="K255"/>
    </row>
    <row r="256" spans="7:11" x14ac:dyDescent="0.3">
      <c r="G256"/>
      <c r="H256"/>
      <c r="I256"/>
      <c r="J256"/>
      <c r="K256"/>
    </row>
    <row r="257" spans="7:11" x14ac:dyDescent="0.3">
      <c r="G257"/>
      <c r="H257"/>
      <c r="I257"/>
      <c r="J257"/>
      <c r="K257"/>
    </row>
    <row r="258" spans="7:11" x14ac:dyDescent="0.3">
      <c r="G258"/>
      <c r="H258"/>
      <c r="I258"/>
      <c r="J258"/>
      <c r="K258"/>
    </row>
    <row r="259" spans="7:11" x14ac:dyDescent="0.3">
      <c r="G259"/>
      <c r="H259"/>
      <c r="I259"/>
      <c r="J259"/>
      <c r="K259"/>
    </row>
    <row r="260" spans="7:11" x14ac:dyDescent="0.3">
      <c r="G260"/>
      <c r="H260"/>
      <c r="I260"/>
      <c r="J260"/>
      <c r="K260"/>
    </row>
    <row r="261" spans="7:11" x14ac:dyDescent="0.3">
      <c r="G261"/>
      <c r="H261"/>
      <c r="I261"/>
      <c r="J261"/>
      <c r="K261"/>
    </row>
    <row r="262" spans="7:11" x14ac:dyDescent="0.3">
      <c r="G262"/>
      <c r="H262"/>
      <c r="I262"/>
      <c r="J262"/>
      <c r="K262"/>
    </row>
    <row r="263" spans="7:11" x14ac:dyDescent="0.3">
      <c r="G263"/>
      <c r="H263"/>
      <c r="I263"/>
      <c r="J263"/>
      <c r="K263"/>
    </row>
    <row r="264" spans="7:11" x14ac:dyDescent="0.3">
      <c r="G264"/>
      <c r="H264"/>
      <c r="I264"/>
      <c r="J264"/>
      <c r="K264"/>
    </row>
    <row r="265" spans="7:11" x14ac:dyDescent="0.3">
      <c r="G265"/>
      <c r="H265"/>
      <c r="I265"/>
      <c r="J265"/>
      <c r="K265"/>
    </row>
    <row r="266" spans="7:11" x14ac:dyDescent="0.3">
      <c r="G266"/>
      <c r="H266"/>
      <c r="I266"/>
      <c r="J266"/>
      <c r="K266"/>
    </row>
    <row r="267" spans="7:11" x14ac:dyDescent="0.3">
      <c r="G267"/>
      <c r="H267"/>
      <c r="I267"/>
      <c r="J267"/>
      <c r="K267"/>
    </row>
    <row r="268" spans="7:11" x14ac:dyDescent="0.3">
      <c r="G268"/>
      <c r="H268"/>
      <c r="I268"/>
      <c r="J268"/>
      <c r="K268"/>
    </row>
    <row r="269" spans="7:11" x14ac:dyDescent="0.3">
      <c r="G269"/>
      <c r="H269"/>
      <c r="I269"/>
      <c r="J269"/>
      <c r="K269"/>
    </row>
    <row r="270" spans="7:11" x14ac:dyDescent="0.3">
      <c r="G270"/>
      <c r="H270"/>
      <c r="I270"/>
      <c r="J270"/>
      <c r="K270"/>
    </row>
    <row r="271" spans="7:11" x14ac:dyDescent="0.3">
      <c r="G271"/>
      <c r="H271"/>
      <c r="I271"/>
      <c r="J271"/>
      <c r="K271"/>
    </row>
    <row r="272" spans="7:11" x14ac:dyDescent="0.3">
      <c r="G272"/>
      <c r="H272"/>
      <c r="I272"/>
      <c r="J272"/>
      <c r="K272"/>
    </row>
    <row r="273" spans="7:11" x14ac:dyDescent="0.3">
      <c r="G273"/>
      <c r="H273"/>
      <c r="I273"/>
      <c r="J273"/>
      <c r="K273"/>
    </row>
    <row r="274" spans="7:11" x14ac:dyDescent="0.3">
      <c r="G274"/>
      <c r="H274"/>
      <c r="I274"/>
      <c r="J274"/>
      <c r="K274"/>
    </row>
    <row r="275" spans="7:11" x14ac:dyDescent="0.3">
      <c r="G275"/>
      <c r="H275"/>
      <c r="I275"/>
      <c r="J275"/>
      <c r="K275"/>
    </row>
    <row r="276" spans="7:11" x14ac:dyDescent="0.3">
      <c r="G276"/>
      <c r="H276"/>
      <c r="I276"/>
      <c r="J276"/>
      <c r="K276"/>
    </row>
    <row r="277" spans="7:11" x14ac:dyDescent="0.3">
      <c r="G277"/>
      <c r="H277"/>
      <c r="I277"/>
      <c r="J277"/>
      <c r="K277"/>
    </row>
    <row r="278" spans="7:11" x14ac:dyDescent="0.3">
      <c r="G278"/>
      <c r="H278"/>
      <c r="I278"/>
      <c r="J278"/>
      <c r="K278"/>
    </row>
    <row r="279" spans="7:11" x14ac:dyDescent="0.3">
      <c r="G279"/>
      <c r="H279"/>
      <c r="I279"/>
      <c r="J279"/>
      <c r="K279"/>
    </row>
    <row r="280" spans="7:11" x14ac:dyDescent="0.3">
      <c r="G280"/>
      <c r="H280"/>
      <c r="I280"/>
      <c r="J280"/>
      <c r="K280"/>
    </row>
    <row r="281" spans="7:11" x14ac:dyDescent="0.3">
      <c r="G281"/>
      <c r="H281"/>
      <c r="I281"/>
      <c r="J281"/>
      <c r="K281"/>
    </row>
    <row r="282" spans="7:11" x14ac:dyDescent="0.3">
      <c r="G282"/>
      <c r="H282"/>
      <c r="I282"/>
      <c r="J282"/>
      <c r="K282"/>
    </row>
    <row r="283" spans="7:11" x14ac:dyDescent="0.3">
      <c r="G283"/>
      <c r="H283"/>
      <c r="I283"/>
      <c r="J283"/>
      <c r="K283"/>
    </row>
    <row r="284" spans="7:11" x14ac:dyDescent="0.3">
      <c r="G284"/>
      <c r="H284"/>
      <c r="I284"/>
      <c r="J284"/>
      <c r="K284"/>
    </row>
    <row r="285" spans="7:11" x14ac:dyDescent="0.3">
      <c r="G285"/>
      <c r="H285"/>
      <c r="I285"/>
      <c r="J285"/>
      <c r="K285"/>
    </row>
    <row r="286" spans="7:11" x14ac:dyDescent="0.3">
      <c r="G286"/>
      <c r="H286"/>
      <c r="I286"/>
      <c r="J286"/>
      <c r="K286"/>
    </row>
    <row r="287" spans="7:11" x14ac:dyDescent="0.3">
      <c r="G287"/>
      <c r="H287"/>
      <c r="I287"/>
      <c r="J287"/>
      <c r="K287"/>
    </row>
    <row r="288" spans="7:11" x14ac:dyDescent="0.3">
      <c r="G288"/>
      <c r="H288"/>
      <c r="I288"/>
      <c r="J288"/>
      <c r="K288"/>
    </row>
    <row r="289" spans="7:11" x14ac:dyDescent="0.3">
      <c r="G289"/>
      <c r="H289"/>
      <c r="I289"/>
      <c r="J289"/>
      <c r="K289"/>
    </row>
    <row r="290" spans="7:11" x14ac:dyDescent="0.3">
      <c r="G290"/>
      <c r="H290"/>
      <c r="I290"/>
      <c r="J290"/>
      <c r="K290"/>
    </row>
    <row r="291" spans="7:11" x14ac:dyDescent="0.3">
      <c r="G291"/>
      <c r="H291"/>
      <c r="I291"/>
      <c r="J291"/>
      <c r="K291"/>
    </row>
    <row r="292" spans="7:11" x14ac:dyDescent="0.3">
      <c r="G292"/>
      <c r="H292"/>
      <c r="I292"/>
      <c r="J292"/>
      <c r="K292"/>
    </row>
    <row r="293" spans="7:11" x14ac:dyDescent="0.3">
      <c r="G293"/>
      <c r="H293"/>
      <c r="I293"/>
      <c r="J293"/>
      <c r="K293"/>
    </row>
    <row r="294" spans="7:11" x14ac:dyDescent="0.3">
      <c r="G294"/>
      <c r="H294"/>
      <c r="I294"/>
      <c r="J294"/>
      <c r="K294"/>
    </row>
    <row r="295" spans="7:11" x14ac:dyDescent="0.3">
      <c r="G295"/>
      <c r="H295"/>
      <c r="I295"/>
      <c r="J295"/>
      <c r="K295"/>
    </row>
    <row r="296" spans="7:11" x14ac:dyDescent="0.3">
      <c r="G296"/>
      <c r="H296"/>
      <c r="I296"/>
      <c r="J296"/>
      <c r="K296"/>
    </row>
    <row r="297" spans="7:11" x14ac:dyDescent="0.3">
      <c r="G297"/>
      <c r="H297"/>
      <c r="I297"/>
      <c r="J297"/>
      <c r="K297"/>
    </row>
    <row r="298" spans="7:11" x14ac:dyDescent="0.3">
      <c r="G298"/>
      <c r="H298"/>
      <c r="I298"/>
      <c r="J298"/>
      <c r="K298"/>
    </row>
    <row r="299" spans="7:11" x14ac:dyDescent="0.3">
      <c r="G299"/>
      <c r="H299"/>
      <c r="I299"/>
      <c r="J299"/>
      <c r="K299"/>
    </row>
    <row r="300" spans="7:11" x14ac:dyDescent="0.3">
      <c r="G300"/>
      <c r="H300"/>
      <c r="I300"/>
      <c r="J300"/>
      <c r="K300"/>
    </row>
    <row r="301" spans="7:11" x14ac:dyDescent="0.3">
      <c r="G301"/>
      <c r="H301"/>
      <c r="I301"/>
      <c r="J301"/>
      <c r="K301"/>
    </row>
    <row r="302" spans="7:11" x14ac:dyDescent="0.3">
      <c r="G302"/>
      <c r="H302"/>
      <c r="I302"/>
      <c r="J302"/>
      <c r="K302"/>
    </row>
    <row r="303" spans="7:11" x14ac:dyDescent="0.3">
      <c r="G303"/>
      <c r="H303"/>
      <c r="I303"/>
      <c r="J303"/>
      <c r="K303"/>
    </row>
    <row r="304" spans="7:11" x14ac:dyDescent="0.3">
      <c r="G304"/>
      <c r="H304"/>
      <c r="I304"/>
      <c r="J304"/>
      <c r="K304"/>
    </row>
    <row r="305" spans="7:11" x14ac:dyDescent="0.3">
      <c r="G305"/>
      <c r="H305"/>
      <c r="I305"/>
      <c r="J305"/>
      <c r="K305"/>
    </row>
    <row r="306" spans="7:11" x14ac:dyDescent="0.3">
      <c r="G306"/>
      <c r="H306"/>
      <c r="I306"/>
      <c r="J306"/>
      <c r="K306"/>
    </row>
    <row r="307" spans="7:11" x14ac:dyDescent="0.3">
      <c r="G307"/>
      <c r="H307"/>
      <c r="I307"/>
      <c r="J307"/>
      <c r="K307"/>
    </row>
    <row r="308" spans="7:11" x14ac:dyDescent="0.3">
      <c r="G308"/>
      <c r="H308"/>
      <c r="I308"/>
      <c r="J308"/>
      <c r="K308"/>
    </row>
    <row r="309" spans="7:11" x14ac:dyDescent="0.3">
      <c r="G309"/>
      <c r="H309"/>
      <c r="I309"/>
      <c r="J309"/>
      <c r="K309"/>
    </row>
    <row r="310" spans="7:11" x14ac:dyDescent="0.3">
      <c r="G310"/>
      <c r="H310"/>
      <c r="I310"/>
      <c r="J310"/>
      <c r="K310"/>
    </row>
    <row r="311" spans="7:11" x14ac:dyDescent="0.3">
      <c r="G311"/>
      <c r="H311"/>
      <c r="I311"/>
      <c r="J311"/>
      <c r="K311"/>
    </row>
    <row r="312" spans="7:11" x14ac:dyDescent="0.3">
      <c r="G312"/>
      <c r="H312"/>
      <c r="I312"/>
      <c r="J312"/>
      <c r="K312"/>
    </row>
    <row r="313" spans="7:11" x14ac:dyDescent="0.3">
      <c r="G313"/>
      <c r="H313"/>
      <c r="I313"/>
      <c r="J313"/>
      <c r="K313"/>
    </row>
    <row r="314" spans="7:11" x14ac:dyDescent="0.3">
      <c r="G314"/>
      <c r="H314"/>
      <c r="I314"/>
      <c r="J314"/>
      <c r="K314"/>
    </row>
    <row r="315" spans="7:11" x14ac:dyDescent="0.3">
      <c r="G315"/>
      <c r="H315"/>
      <c r="I315"/>
      <c r="J315"/>
      <c r="K315"/>
    </row>
    <row r="316" spans="7:11" x14ac:dyDescent="0.3">
      <c r="G316"/>
      <c r="H316"/>
      <c r="I316"/>
      <c r="J316"/>
      <c r="K316"/>
    </row>
    <row r="317" spans="7:11" x14ac:dyDescent="0.3">
      <c r="G317"/>
      <c r="H317"/>
      <c r="I317"/>
      <c r="J317"/>
      <c r="K317"/>
    </row>
    <row r="318" spans="7:11" x14ac:dyDescent="0.3">
      <c r="G318"/>
      <c r="H318"/>
      <c r="I318"/>
      <c r="J318"/>
      <c r="K318"/>
    </row>
    <row r="319" spans="7:11" x14ac:dyDescent="0.3">
      <c r="G319"/>
      <c r="H319"/>
      <c r="I319"/>
      <c r="J319"/>
      <c r="K319"/>
    </row>
    <row r="320" spans="7:11" x14ac:dyDescent="0.3">
      <c r="G320"/>
      <c r="H320"/>
      <c r="I320"/>
      <c r="J320"/>
      <c r="K320"/>
    </row>
    <row r="321" spans="7:11" x14ac:dyDescent="0.3">
      <c r="G321"/>
      <c r="H321"/>
      <c r="I321"/>
      <c r="J321"/>
      <c r="K321"/>
    </row>
    <row r="322" spans="7:11" x14ac:dyDescent="0.3">
      <c r="G322"/>
      <c r="H322"/>
      <c r="I322"/>
      <c r="J322"/>
      <c r="K322"/>
    </row>
    <row r="323" spans="7:11" x14ac:dyDescent="0.3">
      <c r="G323"/>
      <c r="H323"/>
      <c r="I323"/>
      <c r="J323"/>
      <c r="K323"/>
    </row>
    <row r="324" spans="7:11" x14ac:dyDescent="0.3">
      <c r="G324"/>
      <c r="H324"/>
      <c r="I324"/>
      <c r="J324"/>
      <c r="K324"/>
    </row>
    <row r="325" spans="7:11" x14ac:dyDescent="0.3">
      <c r="G325"/>
      <c r="H325"/>
      <c r="I325"/>
      <c r="J325"/>
      <c r="K325"/>
    </row>
    <row r="326" spans="7:11" x14ac:dyDescent="0.3">
      <c r="G326"/>
      <c r="H326"/>
      <c r="I326"/>
      <c r="J326"/>
      <c r="K326"/>
    </row>
    <row r="327" spans="7:11" x14ac:dyDescent="0.3">
      <c r="G327"/>
      <c r="H327"/>
      <c r="I327"/>
      <c r="J327"/>
      <c r="K327"/>
    </row>
    <row r="328" spans="7:11" x14ac:dyDescent="0.3">
      <c r="G328"/>
      <c r="H328"/>
      <c r="I328"/>
      <c r="J328"/>
      <c r="K328"/>
    </row>
    <row r="329" spans="7:11" x14ac:dyDescent="0.3">
      <c r="G329"/>
      <c r="H329"/>
      <c r="I329"/>
      <c r="J329"/>
      <c r="K329"/>
    </row>
    <row r="330" spans="7:11" x14ac:dyDescent="0.3">
      <c r="G330"/>
      <c r="H330"/>
      <c r="I330"/>
      <c r="J330"/>
      <c r="K330"/>
    </row>
    <row r="331" spans="7:11" x14ac:dyDescent="0.3">
      <c r="G331"/>
      <c r="H331"/>
      <c r="I331"/>
      <c r="J331"/>
      <c r="K331"/>
    </row>
    <row r="332" spans="7:11" x14ac:dyDescent="0.3">
      <c r="G332"/>
      <c r="H332"/>
      <c r="I332"/>
      <c r="J332"/>
      <c r="K332"/>
    </row>
    <row r="333" spans="7:11" x14ac:dyDescent="0.3">
      <c r="G333"/>
      <c r="H333"/>
      <c r="I333"/>
      <c r="J333"/>
      <c r="K333"/>
    </row>
    <row r="334" spans="7:11" x14ac:dyDescent="0.3">
      <c r="G334"/>
      <c r="H334"/>
      <c r="I334"/>
      <c r="J334"/>
      <c r="K334"/>
    </row>
    <row r="335" spans="7:11" x14ac:dyDescent="0.3">
      <c r="G335"/>
      <c r="H335"/>
      <c r="I335"/>
      <c r="J335"/>
      <c r="K335"/>
    </row>
    <row r="336" spans="7:11" x14ac:dyDescent="0.3">
      <c r="G336"/>
      <c r="H336"/>
      <c r="I336"/>
      <c r="J336"/>
      <c r="K336"/>
    </row>
    <row r="337" spans="7:11" x14ac:dyDescent="0.3">
      <c r="G337"/>
      <c r="H337"/>
      <c r="I337"/>
      <c r="J337"/>
      <c r="K337"/>
    </row>
    <row r="338" spans="7:11" x14ac:dyDescent="0.3">
      <c r="G338"/>
      <c r="H338"/>
      <c r="I338"/>
      <c r="J338"/>
      <c r="K338"/>
    </row>
    <row r="339" spans="7:11" x14ac:dyDescent="0.3">
      <c r="G339"/>
      <c r="H339"/>
      <c r="I339"/>
      <c r="J339"/>
      <c r="K339"/>
    </row>
    <row r="340" spans="7:11" x14ac:dyDescent="0.3">
      <c r="G340"/>
      <c r="H340"/>
      <c r="I340"/>
      <c r="J340"/>
      <c r="K340"/>
    </row>
    <row r="341" spans="7:11" x14ac:dyDescent="0.3">
      <c r="G341"/>
      <c r="H341"/>
      <c r="I341"/>
      <c r="J341"/>
      <c r="K341"/>
    </row>
    <row r="342" spans="7:11" x14ac:dyDescent="0.3">
      <c r="G342"/>
      <c r="H342"/>
      <c r="I342"/>
      <c r="J342"/>
      <c r="K342"/>
    </row>
    <row r="343" spans="7:11" x14ac:dyDescent="0.3">
      <c r="G343"/>
      <c r="H343"/>
      <c r="I343"/>
      <c r="J343"/>
      <c r="K343"/>
    </row>
    <row r="344" spans="7:11" x14ac:dyDescent="0.3">
      <c r="G344"/>
      <c r="H344"/>
      <c r="I344"/>
      <c r="J344"/>
      <c r="K344"/>
    </row>
    <row r="345" spans="7:11" x14ac:dyDescent="0.3">
      <c r="G345"/>
      <c r="H345"/>
      <c r="I345"/>
      <c r="J345"/>
      <c r="K345"/>
    </row>
    <row r="346" spans="7:11" x14ac:dyDescent="0.3">
      <c r="G346"/>
      <c r="H346"/>
      <c r="I346"/>
      <c r="J346"/>
      <c r="K346"/>
    </row>
    <row r="347" spans="7:11" x14ac:dyDescent="0.3">
      <c r="G347"/>
      <c r="H347"/>
      <c r="I347"/>
      <c r="J347"/>
      <c r="K347"/>
    </row>
    <row r="348" spans="7:11" x14ac:dyDescent="0.3">
      <c r="G348"/>
      <c r="H348"/>
      <c r="I348"/>
      <c r="J348"/>
      <c r="K348"/>
    </row>
    <row r="349" spans="7:11" x14ac:dyDescent="0.3">
      <c r="G349"/>
      <c r="H349"/>
      <c r="I349"/>
      <c r="J349"/>
      <c r="K349"/>
    </row>
    <row r="350" spans="7:11" x14ac:dyDescent="0.3">
      <c r="G350"/>
      <c r="H350"/>
      <c r="I350"/>
      <c r="J350"/>
      <c r="K350"/>
    </row>
    <row r="351" spans="7:11" x14ac:dyDescent="0.3">
      <c r="G351"/>
      <c r="H351"/>
      <c r="I351"/>
      <c r="J351"/>
      <c r="K351"/>
    </row>
    <row r="352" spans="7:11" x14ac:dyDescent="0.3">
      <c r="G352"/>
      <c r="H352"/>
      <c r="I352"/>
      <c r="J352"/>
      <c r="K352"/>
    </row>
    <row r="353" spans="7:11" x14ac:dyDescent="0.3">
      <c r="G353"/>
      <c r="H353"/>
      <c r="I353"/>
      <c r="J353"/>
      <c r="K353"/>
    </row>
    <row r="354" spans="7:11" x14ac:dyDescent="0.3">
      <c r="G354"/>
      <c r="H354"/>
      <c r="I354"/>
      <c r="J354"/>
      <c r="K354"/>
    </row>
    <row r="355" spans="7:11" x14ac:dyDescent="0.3">
      <c r="G355"/>
      <c r="H355"/>
      <c r="I355"/>
      <c r="J355"/>
      <c r="K355"/>
    </row>
    <row r="356" spans="7:11" x14ac:dyDescent="0.3">
      <c r="G356"/>
      <c r="H356"/>
      <c r="I356"/>
      <c r="J356"/>
      <c r="K356"/>
    </row>
    <row r="357" spans="7:11" x14ac:dyDescent="0.3">
      <c r="G357"/>
      <c r="H357"/>
      <c r="I357"/>
      <c r="J357"/>
      <c r="K357"/>
    </row>
    <row r="358" spans="7:11" x14ac:dyDescent="0.3">
      <c r="G358"/>
      <c r="H358"/>
      <c r="I358"/>
      <c r="J358"/>
      <c r="K358"/>
    </row>
    <row r="359" spans="7:11" x14ac:dyDescent="0.3">
      <c r="G359"/>
      <c r="H359"/>
      <c r="I359"/>
      <c r="J359"/>
      <c r="K359"/>
    </row>
    <row r="360" spans="7:11" x14ac:dyDescent="0.3">
      <c r="G360"/>
      <c r="H360"/>
      <c r="I360"/>
      <c r="J360"/>
      <c r="K360"/>
    </row>
    <row r="361" spans="7:11" x14ac:dyDescent="0.3">
      <c r="G361"/>
      <c r="H361"/>
      <c r="I361"/>
      <c r="J361"/>
      <c r="K361"/>
    </row>
    <row r="362" spans="7:11" x14ac:dyDescent="0.3">
      <c r="G362"/>
      <c r="H362"/>
      <c r="I362"/>
      <c r="J362"/>
      <c r="K362"/>
    </row>
    <row r="363" spans="7:11" x14ac:dyDescent="0.3">
      <c r="G363"/>
      <c r="H363"/>
      <c r="I363"/>
      <c r="J363"/>
      <c r="K363"/>
    </row>
    <row r="364" spans="7:11" x14ac:dyDescent="0.3">
      <c r="G364"/>
      <c r="H364"/>
      <c r="I364"/>
      <c r="J364"/>
      <c r="K364"/>
    </row>
    <row r="365" spans="7:11" x14ac:dyDescent="0.3">
      <c r="G365"/>
      <c r="H365"/>
      <c r="I365"/>
      <c r="J365"/>
      <c r="K365"/>
    </row>
    <row r="366" spans="7:11" x14ac:dyDescent="0.3">
      <c r="G366"/>
      <c r="H366"/>
      <c r="I366"/>
      <c r="J366"/>
      <c r="K366"/>
    </row>
    <row r="367" spans="7:11" x14ac:dyDescent="0.3">
      <c r="G367"/>
      <c r="H367"/>
      <c r="I367"/>
      <c r="J367"/>
      <c r="K367"/>
    </row>
    <row r="368" spans="7:11" x14ac:dyDescent="0.3">
      <c r="G368"/>
      <c r="H368"/>
      <c r="I368"/>
      <c r="J368"/>
      <c r="K368"/>
    </row>
    <row r="369" spans="7:11" x14ac:dyDescent="0.3">
      <c r="G369"/>
      <c r="H369"/>
      <c r="I369"/>
      <c r="J369"/>
      <c r="K369"/>
    </row>
    <row r="370" spans="7:11" x14ac:dyDescent="0.3">
      <c r="G370"/>
      <c r="H370"/>
      <c r="I370"/>
      <c r="J370"/>
      <c r="K370"/>
    </row>
    <row r="371" spans="7:11" x14ac:dyDescent="0.3">
      <c r="G371"/>
      <c r="H371"/>
      <c r="I371"/>
      <c r="J371"/>
      <c r="K371"/>
    </row>
    <row r="372" spans="7:11" x14ac:dyDescent="0.3">
      <c r="G372"/>
      <c r="H372"/>
      <c r="I372"/>
      <c r="J372"/>
      <c r="K372"/>
    </row>
    <row r="373" spans="7:11" x14ac:dyDescent="0.3">
      <c r="G373"/>
      <c r="H373"/>
      <c r="I373"/>
      <c r="J373"/>
      <c r="K373"/>
    </row>
    <row r="374" spans="7:11" x14ac:dyDescent="0.3">
      <c r="G374"/>
      <c r="H374"/>
      <c r="I374"/>
      <c r="J374"/>
      <c r="K374"/>
    </row>
    <row r="375" spans="7:11" x14ac:dyDescent="0.3">
      <c r="G375"/>
      <c r="H375"/>
      <c r="I375"/>
      <c r="J375"/>
      <c r="K375"/>
    </row>
    <row r="376" spans="7:11" x14ac:dyDescent="0.3">
      <c r="G376"/>
      <c r="H376"/>
      <c r="I376"/>
      <c r="J376"/>
      <c r="K376"/>
    </row>
    <row r="377" spans="7:11" x14ac:dyDescent="0.3">
      <c r="G377"/>
      <c r="H377"/>
      <c r="I377"/>
      <c r="J377"/>
      <c r="K377"/>
    </row>
    <row r="378" spans="7:11" x14ac:dyDescent="0.3">
      <c r="G378"/>
      <c r="H378"/>
      <c r="I378"/>
      <c r="J378"/>
      <c r="K378"/>
    </row>
    <row r="379" spans="7:11" x14ac:dyDescent="0.3">
      <c r="G379"/>
      <c r="H379"/>
      <c r="I379"/>
      <c r="J379"/>
      <c r="K379"/>
    </row>
    <row r="380" spans="7:11" x14ac:dyDescent="0.3">
      <c r="G380"/>
      <c r="H380"/>
      <c r="I380"/>
      <c r="J380"/>
      <c r="K380"/>
    </row>
    <row r="381" spans="7:11" x14ac:dyDescent="0.3">
      <c r="G381"/>
      <c r="H381"/>
      <c r="I381"/>
      <c r="J381"/>
      <c r="K381"/>
    </row>
    <row r="382" spans="7:11" x14ac:dyDescent="0.3">
      <c r="G382"/>
      <c r="H382"/>
      <c r="I382"/>
      <c r="J382"/>
      <c r="K382"/>
    </row>
    <row r="383" spans="7:11" x14ac:dyDescent="0.3">
      <c r="G383"/>
      <c r="H383"/>
      <c r="I383"/>
      <c r="J383"/>
      <c r="K383"/>
    </row>
    <row r="384" spans="7:11" x14ac:dyDescent="0.3">
      <c r="G384"/>
      <c r="H384"/>
      <c r="I384"/>
      <c r="J384"/>
      <c r="K384"/>
    </row>
    <row r="385" spans="7:11" x14ac:dyDescent="0.3">
      <c r="G385"/>
      <c r="H385"/>
      <c r="I385"/>
      <c r="J385"/>
      <c r="K385"/>
    </row>
    <row r="386" spans="7:11" x14ac:dyDescent="0.3">
      <c r="G386"/>
      <c r="H386"/>
      <c r="I386"/>
      <c r="J386"/>
      <c r="K386"/>
    </row>
    <row r="387" spans="7:11" x14ac:dyDescent="0.3">
      <c r="G387"/>
      <c r="H387"/>
      <c r="I387"/>
      <c r="J387"/>
      <c r="K387"/>
    </row>
    <row r="388" spans="7:11" x14ac:dyDescent="0.3">
      <c r="G388"/>
      <c r="H388"/>
      <c r="I388"/>
      <c r="J388"/>
      <c r="K388"/>
    </row>
    <row r="389" spans="7:11" x14ac:dyDescent="0.3">
      <c r="G389"/>
      <c r="H389"/>
      <c r="I389"/>
      <c r="J389"/>
      <c r="K389"/>
    </row>
    <row r="390" spans="7:11" x14ac:dyDescent="0.3">
      <c r="G390"/>
      <c r="H390"/>
      <c r="I390"/>
      <c r="J390"/>
      <c r="K390"/>
    </row>
    <row r="391" spans="7:11" x14ac:dyDescent="0.3">
      <c r="G391"/>
      <c r="H391"/>
      <c r="I391"/>
      <c r="J391"/>
      <c r="K391"/>
    </row>
    <row r="392" spans="7:11" x14ac:dyDescent="0.3">
      <c r="G392"/>
      <c r="H392"/>
      <c r="I392"/>
      <c r="J392"/>
      <c r="K392"/>
    </row>
    <row r="393" spans="7:11" x14ac:dyDescent="0.3">
      <c r="G393"/>
      <c r="H393"/>
      <c r="I393"/>
      <c r="J393"/>
      <c r="K393"/>
    </row>
    <row r="394" spans="7:11" x14ac:dyDescent="0.3">
      <c r="G394"/>
      <c r="H394"/>
      <c r="I394"/>
      <c r="J394"/>
      <c r="K394"/>
    </row>
    <row r="395" spans="7:11" x14ac:dyDescent="0.3">
      <c r="G395"/>
      <c r="H395"/>
      <c r="I395"/>
      <c r="J395"/>
      <c r="K395"/>
    </row>
    <row r="396" spans="7:11" x14ac:dyDescent="0.3">
      <c r="G396"/>
      <c r="H396"/>
      <c r="I396"/>
      <c r="J396"/>
      <c r="K396"/>
    </row>
    <row r="397" spans="7:11" x14ac:dyDescent="0.3">
      <c r="G397"/>
      <c r="H397"/>
      <c r="I397"/>
      <c r="J397"/>
    </row>
    <row r="398" spans="7:11" x14ac:dyDescent="0.3">
      <c r="G398"/>
      <c r="H398"/>
      <c r="I398"/>
      <c r="J398"/>
    </row>
    <row r="399" spans="7:11" x14ac:dyDescent="0.3">
      <c r="G399"/>
      <c r="H399"/>
      <c r="I399"/>
      <c r="J399"/>
    </row>
    <row r="400" spans="7:11" x14ac:dyDescent="0.3">
      <c r="G400"/>
      <c r="H400"/>
      <c r="I400"/>
      <c r="J400"/>
    </row>
    <row r="401" spans="7:10" x14ac:dyDescent="0.3">
      <c r="G401"/>
      <c r="H401"/>
      <c r="I401"/>
      <c r="J401"/>
    </row>
    <row r="402" spans="7:10" x14ac:dyDescent="0.3">
      <c r="G402"/>
      <c r="H402"/>
      <c r="I402"/>
      <c r="J402"/>
    </row>
    <row r="403" spans="7:10" x14ac:dyDescent="0.3">
      <c r="G403"/>
      <c r="H403"/>
      <c r="I403"/>
      <c r="J403"/>
    </row>
    <row r="404" spans="7:10" x14ac:dyDescent="0.3">
      <c r="G404"/>
      <c r="H404"/>
      <c r="I404"/>
      <c r="J404"/>
    </row>
    <row r="405" spans="7:10" x14ac:dyDescent="0.3">
      <c r="G405"/>
      <c r="H405"/>
      <c r="I405"/>
      <c r="J405"/>
    </row>
    <row r="406" spans="7:10" x14ac:dyDescent="0.3">
      <c r="G406"/>
      <c r="H406"/>
      <c r="I406"/>
      <c r="J406"/>
    </row>
    <row r="407" spans="7:10" x14ac:dyDescent="0.3">
      <c r="G407"/>
      <c r="H407"/>
      <c r="I407"/>
      <c r="J407"/>
    </row>
    <row r="408" spans="7:10" x14ac:dyDescent="0.3">
      <c r="G408"/>
      <c r="H408"/>
      <c r="I408"/>
      <c r="J408"/>
    </row>
    <row r="409" spans="7:10" x14ac:dyDescent="0.3">
      <c r="G409"/>
      <c r="H409"/>
      <c r="I409"/>
      <c r="J409"/>
    </row>
    <row r="410" spans="7:10" x14ac:dyDescent="0.3">
      <c r="G410"/>
      <c r="H410"/>
      <c r="I410"/>
      <c r="J410"/>
    </row>
    <row r="411" spans="7:10" x14ac:dyDescent="0.3">
      <c r="G411"/>
      <c r="H411"/>
      <c r="I411"/>
      <c r="J411"/>
    </row>
    <row r="412" spans="7:10" x14ac:dyDescent="0.3">
      <c r="G412"/>
      <c r="H412"/>
      <c r="I412"/>
      <c r="J412"/>
    </row>
    <row r="413" spans="7:10" x14ac:dyDescent="0.3">
      <c r="G413"/>
      <c r="H413"/>
      <c r="I413"/>
      <c r="J413"/>
    </row>
    <row r="414" spans="7:10" x14ac:dyDescent="0.3">
      <c r="G414"/>
      <c r="H414"/>
      <c r="I414"/>
      <c r="J414"/>
    </row>
    <row r="415" spans="7:10" x14ac:dyDescent="0.3">
      <c r="G415"/>
      <c r="H415"/>
      <c r="I415"/>
      <c r="J415"/>
    </row>
    <row r="416" spans="7:10" x14ac:dyDescent="0.3">
      <c r="G416"/>
      <c r="H416"/>
      <c r="I416"/>
      <c r="J416"/>
    </row>
    <row r="417" spans="7:10" x14ac:dyDescent="0.3">
      <c r="G417"/>
      <c r="H417"/>
      <c r="I417"/>
      <c r="J417"/>
    </row>
    <row r="418" spans="7:10" x14ac:dyDescent="0.3">
      <c r="G418"/>
      <c r="H418"/>
      <c r="I418"/>
      <c r="J418"/>
    </row>
    <row r="419" spans="7:10" x14ac:dyDescent="0.3">
      <c r="G419"/>
      <c r="H419"/>
      <c r="I419"/>
      <c r="J419"/>
    </row>
    <row r="420" spans="7:10" x14ac:dyDescent="0.3">
      <c r="G420"/>
      <c r="H420"/>
      <c r="I420"/>
      <c r="J420"/>
    </row>
    <row r="421" spans="7:10" x14ac:dyDescent="0.3">
      <c r="G421"/>
      <c r="H421"/>
      <c r="I421"/>
      <c r="J421"/>
    </row>
    <row r="422" spans="7:10" x14ac:dyDescent="0.3">
      <c r="G422"/>
      <c r="H422"/>
      <c r="I422"/>
      <c r="J422"/>
    </row>
    <row r="423" spans="7:10" x14ac:dyDescent="0.3">
      <c r="G423"/>
      <c r="H423"/>
      <c r="I423"/>
      <c r="J423"/>
    </row>
    <row r="424" spans="7:10" x14ac:dyDescent="0.3">
      <c r="G424"/>
      <c r="H424"/>
      <c r="I424"/>
      <c r="J424"/>
    </row>
    <row r="425" spans="7:10" x14ac:dyDescent="0.3">
      <c r="G425"/>
      <c r="H425"/>
      <c r="I425"/>
      <c r="J425"/>
    </row>
    <row r="426" spans="7:10" x14ac:dyDescent="0.3">
      <c r="G426"/>
      <c r="H426"/>
      <c r="I426"/>
      <c r="J426"/>
    </row>
    <row r="427" spans="7:10" x14ac:dyDescent="0.3">
      <c r="G427"/>
      <c r="H427"/>
      <c r="I427"/>
      <c r="J427"/>
    </row>
    <row r="428" spans="7:10" x14ac:dyDescent="0.3">
      <c r="G428"/>
      <c r="H428"/>
      <c r="I428"/>
      <c r="J428"/>
    </row>
    <row r="429" spans="7:10" x14ac:dyDescent="0.3">
      <c r="G429"/>
      <c r="H429"/>
      <c r="I429"/>
      <c r="J429"/>
    </row>
    <row r="430" spans="7:10" x14ac:dyDescent="0.3">
      <c r="G430"/>
      <c r="H430"/>
      <c r="I430"/>
      <c r="J430"/>
    </row>
    <row r="431" spans="7:10" x14ac:dyDescent="0.3">
      <c r="G431"/>
      <c r="H431"/>
      <c r="I431"/>
      <c r="J431"/>
    </row>
    <row r="432" spans="7:10" x14ac:dyDescent="0.3">
      <c r="G432"/>
      <c r="H432"/>
      <c r="I432"/>
      <c r="J432"/>
    </row>
    <row r="433" spans="7:10" x14ac:dyDescent="0.3">
      <c r="G433"/>
      <c r="H433"/>
      <c r="I433"/>
      <c r="J433"/>
    </row>
    <row r="434" spans="7:10" x14ac:dyDescent="0.3">
      <c r="G434"/>
      <c r="H434"/>
      <c r="I434"/>
      <c r="J434"/>
    </row>
    <row r="435" spans="7:10" x14ac:dyDescent="0.3">
      <c r="G435"/>
      <c r="H435"/>
      <c r="I435"/>
      <c r="J435"/>
    </row>
    <row r="436" spans="7:10" x14ac:dyDescent="0.3">
      <c r="G436"/>
      <c r="H436"/>
      <c r="I436"/>
      <c r="J436"/>
    </row>
    <row r="437" spans="7:10" x14ac:dyDescent="0.3">
      <c r="G437"/>
      <c r="H437"/>
      <c r="I437"/>
      <c r="J437"/>
    </row>
    <row r="438" spans="7:10" x14ac:dyDescent="0.3">
      <c r="G438"/>
      <c r="H438"/>
      <c r="I438"/>
      <c r="J438"/>
    </row>
    <row r="439" spans="7:10" x14ac:dyDescent="0.3">
      <c r="G439"/>
      <c r="H439"/>
      <c r="I439"/>
      <c r="J439"/>
    </row>
    <row r="440" spans="7:10" x14ac:dyDescent="0.3">
      <c r="G440"/>
      <c r="H440"/>
      <c r="I440"/>
      <c r="J440"/>
    </row>
    <row r="441" spans="7:10" x14ac:dyDescent="0.3">
      <c r="G441"/>
      <c r="H441"/>
      <c r="I441"/>
      <c r="J441"/>
    </row>
    <row r="442" spans="7:10" x14ac:dyDescent="0.3">
      <c r="G442"/>
      <c r="H442"/>
      <c r="I442"/>
      <c r="J442"/>
    </row>
    <row r="443" spans="7:10" x14ac:dyDescent="0.3">
      <c r="G443"/>
      <c r="H443"/>
      <c r="I443"/>
      <c r="J443"/>
    </row>
    <row r="444" spans="7:10" x14ac:dyDescent="0.3">
      <c r="G444"/>
      <c r="H444"/>
      <c r="I444"/>
      <c r="J444"/>
    </row>
    <row r="445" spans="7:10" x14ac:dyDescent="0.3">
      <c r="G445"/>
      <c r="H445"/>
      <c r="I445"/>
      <c r="J445"/>
    </row>
    <row r="446" spans="7:10" x14ac:dyDescent="0.3">
      <c r="G446"/>
      <c r="H446"/>
      <c r="I446"/>
      <c r="J446"/>
    </row>
    <row r="447" spans="7:10" x14ac:dyDescent="0.3">
      <c r="G447"/>
      <c r="H447"/>
      <c r="I447"/>
      <c r="J447"/>
    </row>
    <row r="448" spans="7:10" x14ac:dyDescent="0.3">
      <c r="G448"/>
      <c r="H448"/>
      <c r="I448"/>
      <c r="J448"/>
    </row>
    <row r="449" spans="7:10" x14ac:dyDescent="0.3">
      <c r="G449"/>
      <c r="H449"/>
      <c r="I449"/>
      <c r="J449"/>
    </row>
    <row r="450" spans="7:10" x14ac:dyDescent="0.3">
      <c r="G450"/>
      <c r="H450"/>
      <c r="I450"/>
      <c r="J450"/>
    </row>
    <row r="451" spans="7:10" x14ac:dyDescent="0.3">
      <c r="G451"/>
      <c r="H451"/>
      <c r="I451"/>
      <c r="J451"/>
    </row>
    <row r="452" spans="7:10" x14ac:dyDescent="0.3">
      <c r="G452"/>
      <c r="H452"/>
      <c r="I452"/>
      <c r="J452"/>
    </row>
    <row r="453" spans="7:10" x14ac:dyDescent="0.3">
      <c r="G453"/>
      <c r="H453"/>
      <c r="I453"/>
      <c r="J453"/>
    </row>
    <row r="454" spans="7:10" x14ac:dyDescent="0.3">
      <c r="G454"/>
      <c r="H454"/>
      <c r="I454"/>
      <c r="J454"/>
    </row>
    <row r="455" spans="7:10" x14ac:dyDescent="0.3">
      <c r="G455"/>
      <c r="H455"/>
      <c r="I455"/>
      <c r="J455"/>
    </row>
    <row r="456" spans="7:10" x14ac:dyDescent="0.3">
      <c r="G456"/>
      <c r="H456"/>
      <c r="I456"/>
      <c r="J456"/>
    </row>
    <row r="457" spans="7:10" x14ac:dyDescent="0.3">
      <c r="G457"/>
      <c r="H457"/>
      <c r="I457"/>
      <c r="J457"/>
    </row>
    <row r="458" spans="7:10" x14ac:dyDescent="0.3">
      <c r="G458"/>
      <c r="H458"/>
      <c r="I458"/>
      <c r="J458"/>
    </row>
    <row r="459" spans="7:10" x14ac:dyDescent="0.3">
      <c r="G459"/>
      <c r="H459"/>
      <c r="I459"/>
      <c r="J459"/>
    </row>
    <row r="460" spans="7:10" x14ac:dyDescent="0.3">
      <c r="G460"/>
      <c r="H460"/>
      <c r="I460"/>
      <c r="J460"/>
    </row>
    <row r="461" spans="7:10" x14ac:dyDescent="0.3">
      <c r="G461"/>
      <c r="H461"/>
      <c r="I461"/>
      <c r="J461"/>
    </row>
    <row r="462" spans="7:10" x14ac:dyDescent="0.3">
      <c r="G462"/>
      <c r="H462"/>
      <c r="I462"/>
      <c r="J462"/>
    </row>
    <row r="463" spans="7:10" x14ac:dyDescent="0.3">
      <c r="G463"/>
      <c r="H463"/>
      <c r="I463"/>
      <c r="J463"/>
    </row>
    <row r="464" spans="7:10" x14ac:dyDescent="0.3">
      <c r="G464"/>
      <c r="H464"/>
      <c r="I464"/>
      <c r="J464"/>
    </row>
    <row r="465" spans="7:10" x14ac:dyDescent="0.3">
      <c r="G465"/>
      <c r="H465"/>
      <c r="I465"/>
      <c r="J465"/>
    </row>
    <row r="466" spans="7:10" x14ac:dyDescent="0.3">
      <c r="G466"/>
      <c r="H466"/>
      <c r="I466"/>
      <c r="J466"/>
    </row>
    <row r="467" spans="7:10" x14ac:dyDescent="0.3">
      <c r="G467"/>
      <c r="H467"/>
      <c r="I467"/>
      <c r="J467"/>
    </row>
    <row r="468" spans="7:10" x14ac:dyDescent="0.3">
      <c r="G468"/>
      <c r="H468"/>
      <c r="I468"/>
      <c r="J468"/>
    </row>
    <row r="469" spans="7:10" x14ac:dyDescent="0.3">
      <c r="G469"/>
      <c r="H469"/>
      <c r="I469"/>
      <c r="J469"/>
    </row>
    <row r="470" spans="7:10" x14ac:dyDescent="0.3">
      <c r="G470"/>
      <c r="H470"/>
      <c r="I470"/>
      <c r="J470"/>
    </row>
    <row r="471" spans="7:10" x14ac:dyDescent="0.3">
      <c r="G471"/>
      <c r="H471"/>
      <c r="I471"/>
      <c r="J471"/>
    </row>
    <row r="472" spans="7:10" x14ac:dyDescent="0.3">
      <c r="G472"/>
      <c r="H472"/>
      <c r="I472"/>
      <c r="J472"/>
    </row>
    <row r="473" spans="7:10" x14ac:dyDescent="0.3">
      <c r="G473"/>
      <c r="H473"/>
      <c r="I473"/>
      <c r="J473"/>
    </row>
    <row r="474" spans="7:10" x14ac:dyDescent="0.3">
      <c r="G474"/>
      <c r="H474"/>
      <c r="I474"/>
      <c r="J474"/>
    </row>
    <row r="475" spans="7:10" x14ac:dyDescent="0.3">
      <c r="G475"/>
      <c r="H475"/>
      <c r="I475"/>
      <c r="J475"/>
    </row>
    <row r="476" spans="7:10" x14ac:dyDescent="0.3">
      <c r="G476"/>
      <c r="H476"/>
      <c r="I476"/>
      <c r="J476"/>
    </row>
    <row r="477" spans="7:10" x14ac:dyDescent="0.3">
      <c r="G477"/>
      <c r="H477"/>
      <c r="I477"/>
      <c r="J477"/>
    </row>
    <row r="478" spans="7:10" x14ac:dyDescent="0.3">
      <c r="G478"/>
      <c r="H478"/>
      <c r="I478"/>
      <c r="J478"/>
    </row>
    <row r="479" spans="7:10" x14ac:dyDescent="0.3">
      <c r="G479"/>
      <c r="H479"/>
      <c r="I479"/>
      <c r="J479"/>
    </row>
    <row r="480" spans="7:10" x14ac:dyDescent="0.3">
      <c r="G480"/>
      <c r="H480"/>
      <c r="I480"/>
      <c r="J480"/>
    </row>
    <row r="481" spans="7:10" x14ac:dyDescent="0.3">
      <c r="G481"/>
      <c r="H481"/>
      <c r="I481"/>
      <c r="J481"/>
    </row>
    <row r="482" spans="7:10" x14ac:dyDescent="0.3">
      <c r="G482"/>
      <c r="H482"/>
      <c r="I482"/>
      <c r="J482"/>
    </row>
    <row r="483" spans="7:10" x14ac:dyDescent="0.3">
      <c r="G483"/>
      <c r="H483"/>
      <c r="I483"/>
      <c r="J483"/>
    </row>
    <row r="484" spans="7:10" x14ac:dyDescent="0.3">
      <c r="G484"/>
      <c r="H484"/>
      <c r="I484"/>
      <c r="J484"/>
    </row>
    <row r="485" spans="7:10" x14ac:dyDescent="0.3">
      <c r="G485"/>
      <c r="H485"/>
      <c r="I485"/>
      <c r="J485"/>
    </row>
    <row r="486" spans="7:10" x14ac:dyDescent="0.3">
      <c r="G486"/>
      <c r="H486"/>
      <c r="I486"/>
      <c r="J486"/>
    </row>
    <row r="487" spans="7:10" x14ac:dyDescent="0.3">
      <c r="G487"/>
      <c r="H487"/>
      <c r="I487"/>
      <c r="J487"/>
    </row>
    <row r="488" spans="7:10" x14ac:dyDescent="0.3">
      <c r="G488"/>
      <c r="H488"/>
      <c r="I488"/>
      <c r="J488"/>
    </row>
    <row r="489" spans="7:10" x14ac:dyDescent="0.3">
      <c r="G489"/>
      <c r="H489"/>
      <c r="I489"/>
      <c r="J489"/>
    </row>
    <row r="490" spans="7:10" x14ac:dyDescent="0.3">
      <c r="G490"/>
      <c r="H490"/>
      <c r="I490"/>
      <c r="J490"/>
    </row>
    <row r="491" spans="7:10" x14ac:dyDescent="0.3">
      <c r="G491"/>
      <c r="H491"/>
      <c r="I491"/>
      <c r="J491"/>
    </row>
    <row r="492" spans="7:10" x14ac:dyDescent="0.3">
      <c r="G492"/>
      <c r="H492"/>
      <c r="I492"/>
      <c r="J492"/>
    </row>
    <row r="493" spans="7:10" x14ac:dyDescent="0.3">
      <c r="G493"/>
      <c r="H493"/>
      <c r="I493"/>
      <c r="J493"/>
    </row>
    <row r="494" spans="7:10" x14ac:dyDescent="0.3">
      <c r="G494"/>
      <c r="H494"/>
      <c r="I494"/>
      <c r="J494"/>
    </row>
    <row r="495" spans="7:10" x14ac:dyDescent="0.3">
      <c r="G495"/>
      <c r="H495"/>
      <c r="I495"/>
      <c r="J495"/>
    </row>
    <row r="496" spans="7:10" x14ac:dyDescent="0.3">
      <c r="G496"/>
      <c r="H496"/>
      <c r="I496"/>
      <c r="J496"/>
    </row>
    <row r="497" spans="7:10" x14ac:dyDescent="0.3">
      <c r="G497"/>
      <c r="H497"/>
      <c r="I497"/>
      <c r="J497"/>
    </row>
    <row r="498" spans="7:10" x14ac:dyDescent="0.3">
      <c r="G498"/>
      <c r="H498"/>
      <c r="I498"/>
      <c r="J498"/>
    </row>
    <row r="499" spans="7:10" x14ac:dyDescent="0.3">
      <c r="G499"/>
      <c r="H499"/>
      <c r="I499"/>
      <c r="J499"/>
    </row>
    <row r="500" spans="7:10" x14ac:dyDescent="0.3">
      <c r="G500"/>
      <c r="H500"/>
      <c r="I500"/>
      <c r="J500"/>
    </row>
    <row r="501" spans="7:10" x14ac:dyDescent="0.3">
      <c r="G501"/>
      <c r="H501"/>
      <c r="I501"/>
      <c r="J501"/>
    </row>
    <row r="502" spans="7:10" x14ac:dyDescent="0.3">
      <c r="G502"/>
      <c r="H502"/>
      <c r="I502"/>
      <c r="J502"/>
    </row>
    <row r="503" spans="7:10" x14ac:dyDescent="0.3">
      <c r="G503"/>
      <c r="H503"/>
      <c r="I503"/>
      <c r="J503"/>
    </row>
    <row r="504" spans="7:10" x14ac:dyDescent="0.3">
      <c r="G504"/>
      <c r="H504"/>
      <c r="I504"/>
      <c r="J504"/>
    </row>
    <row r="505" spans="7:10" x14ac:dyDescent="0.3">
      <c r="G505"/>
      <c r="H505"/>
      <c r="I505"/>
      <c r="J505"/>
    </row>
    <row r="506" spans="7:10" x14ac:dyDescent="0.3">
      <c r="G506"/>
      <c r="H506"/>
      <c r="I506"/>
      <c r="J506"/>
    </row>
    <row r="507" spans="7:10" x14ac:dyDescent="0.3">
      <c r="G507"/>
      <c r="H507"/>
      <c r="I507"/>
      <c r="J507"/>
    </row>
    <row r="508" spans="7:10" x14ac:dyDescent="0.3">
      <c r="G508"/>
      <c r="H508"/>
      <c r="I508"/>
      <c r="J508"/>
    </row>
    <row r="509" spans="7:10" x14ac:dyDescent="0.3">
      <c r="G509"/>
      <c r="H509"/>
      <c r="I509"/>
      <c r="J509"/>
    </row>
    <row r="510" spans="7:10" x14ac:dyDescent="0.3">
      <c r="G510"/>
      <c r="H510"/>
      <c r="I510"/>
      <c r="J510"/>
    </row>
    <row r="511" spans="7:10" x14ac:dyDescent="0.3">
      <c r="G511"/>
      <c r="H511"/>
      <c r="I511"/>
      <c r="J511"/>
    </row>
    <row r="512" spans="7:10" x14ac:dyDescent="0.3">
      <c r="G512"/>
      <c r="H512"/>
      <c r="I512"/>
      <c r="J512"/>
    </row>
    <row r="513" spans="7:10" x14ac:dyDescent="0.3">
      <c r="G513"/>
      <c r="H513"/>
      <c r="I513"/>
      <c r="J513"/>
    </row>
    <row r="514" spans="7:10" x14ac:dyDescent="0.3">
      <c r="G514"/>
      <c r="H514"/>
      <c r="I514"/>
      <c r="J514"/>
    </row>
    <row r="515" spans="7:10" x14ac:dyDescent="0.3">
      <c r="G515"/>
      <c r="H515"/>
      <c r="I515"/>
      <c r="J515"/>
    </row>
    <row r="516" spans="7:10" x14ac:dyDescent="0.3">
      <c r="G516"/>
      <c r="H516"/>
      <c r="I516"/>
      <c r="J516"/>
    </row>
    <row r="517" spans="7:10" x14ac:dyDescent="0.3">
      <c r="G517"/>
      <c r="H517"/>
      <c r="I517"/>
      <c r="J517"/>
    </row>
    <row r="518" spans="7:10" x14ac:dyDescent="0.3">
      <c r="G518"/>
      <c r="H518"/>
      <c r="I518"/>
      <c r="J518"/>
    </row>
    <row r="519" spans="7:10" x14ac:dyDescent="0.3">
      <c r="G519"/>
      <c r="H519"/>
      <c r="I519"/>
      <c r="J519"/>
    </row>
    <row r="520" spans="7:10" x14ac:dyDescent="0.3">
      <c r="G520"/>
      <c r="H520"/>
      <c r="I520"/>
      <c r="J520"/>
    </row>
    <row r="521" spans="7:10" x14ac:dyDescent="0.3">
      <c r="G521"/>
      <c r="H521"/>
      <c r="I521"/>
      <c r="J521"/>
    </row>
    <row r="522" spans="7:10" x14ac:dyDescent="0.3">
      <c r="G522"/>
      <c r="H522"/>
      <c r="I522"/>
      <c r="J522"/>
    </row>
    <row r="523" spans="7:10" x14ac:dyDescent="0.3">
      <c r="G523"/>
      <c r="H523"/>
      <c r="I523"/>
      <c r="J523"/>
    </row>
    <row r="524" spans="7:10" x14ac:dyDescent="0.3">
      <c r="G524"/>
      <c r="H524"/>
      <c r="I524"/>
      <c r="J524"/>
    </row>
    <row r="525" spans="7:10" x14ac:dyDescent="0.3">
      <c r="G525"/>
      <c r="H525"/>
      <c r="I525"/>
      <c r="J525"/>
    </row>
    <row r="526" spans="7:10" x14ac:dyDescent="0.3">
      <c r="G526"/>
      <c r="H526"/>
      <c r="I526"/>
      <c r="J526"/>
    </row>
    <row r="527" spans="7:10" x14ac:dyDescent="0.3">
      <c r="G527"/>
      <c r="H527"/>
      <c r="I527"/>
      <c r="J527"/>
    </row>
    <row r="528" spans="7:10" x14ac:dyDescent="0.3">
      <c r="G528"/>
      <c r="H528"/>
      <c r="I528"/>
      <c r="J528"/>
    </row>
    <row r="529" spans="7:10" x14ac:dyDescent="0.3">
      <c r="G529"/>
      <c r="H529"/>
      <c r="I529"/>
      <c r="J529"/>
    </row>
    <row r="530" spans="7:10" x14ac:dyDescent="0.3">
      <c r="G530"/>
      <c r="H530"/>
      <c r="I530"/>
      <c r="J530"/>
    </row>
    <row r="531" spans="7:10" x14ac:dyDescent="0.3">
      <c r="G531"/>
      <c r="H531"/>
      <c r="I531"/>
      <c r="J531"/>
    </row>
    <row r="532" spans="7:10" x14ac:dyDescent="0.3">
      <c r="G532"/>
      <c r="H532"/>
      <c r="I532"/>
      <c r="J532"/>
    </row>
    <row r="533" spans="7:10" x14ac:dyDescent="0.3">
      <c r="G533"/>
      <c r="H533"/>
      <c r="I533"/>
      <c r="J533"/>
    </row>
    <row r="534" spans="7:10" x14ac:dyDescent="0.3">
      <c r="G534"/>
      <c r="H534"/>
      <c r="I534"/>
      <c r="J534"/>
    </row>
    <row r="535" spans="7:10" x14ac:dyDescent="0.3">
      <c r="G535"/>
      <c r="H535"/>
      <c r="I535"/>
      <c r="J535"/>
    </row>
    <row r="536" spans="7:10" x14ac:dyDescent="0.3">
      <c r="G536"/>
      <c r="H536"/>
      <c r="I536"/>
      <c r="J536"/>
    </row>
    <row r="537" spans="7:10" x14ac:dyDescent="0.3">
      <c r="G537"/>
      <c r="H537"/>
      <c r="I537"/>
      <c r="J537"/>
    </row>
    <row r="538" spans="7:10" x14ac:dyDescent="0.3">
      <c r="G538"/>
      <c r="H538"/>
      <c r="I538"/>
      <c r="J538"/>
    </row>
    <row r="539" spans="7:10" x14ac:dyDescent="0.3">
      <c r="G539"/>
      <c r="H539"/>
      <c r="I539"/>
      <c r="J539"/>
    </row>
    <row r="540" spans="7:10" x14ac:dyDescent="0.3">
      <c r="G540"/>
      <c r="H540"/>
      <c r="I540"/>
      <c r="J540"/>
    </row>
    <row r="541" spans="7:10" x14ac:dyDescent="0.3">
      <c r="G541"/>
      <c r="H541"/>
      <c r="I541"/>
      <c r="J541"/>
    </row>
    <row r="542" spans="7:10" x14ac:dyDescent="0.3">
      <c r="G542"/>
      <c r="H542"/>
      <c r="I542"/>
      <c r="J542"/>
    </row>
    <row r="543" spans="7:10" x14ac:dyDescent="0.3">
      <c r="G543"/>
      <c r="H543"/>
      <c r="I543"/>
      <c r="J543"/>
    </row>
    <row r="544" spans="7:10" x14ac:dyDescent="0.3">
      <c r="G544"/>
      <c r="H544"/>
      <c r="I544"/>
      <c r="J544"/>
    </row>
    <row r="545" spans="7:10" x14ac:dyDescent="0.3">
      <c r="G545"/>
      <c r="H545"/>
      <c r="I545"/>
      <c r="J545"/>
    </row>
    <row r="546" spans="7:10" x14ac:dyDescent="0.3">
      <c r="G546"/>
      <c r="H546"/>
      <c r="I546"/>
      <c r="J546"/>
    </row>
    <row r="547" spans="7:10" x14ac:dyDescent="0.3">
      <c r="G547"/>
      <c r="H547"/>
      <c r="I547"/>
      <c r="J547"/>
    </row>
    <row r="548" spans="7:10" x14ac:dyDescent="0.3">
      <c r="G548"/>
      <c r="H548"/>
      <c r="I548"/>
      <c r="J548"/>
    </row>
    <row r="549" spans="7:10" x14ac:dyDescent="0.3">
      <c r="G549"/>
      <c r="H549"/>
      <c r="I549"/>
      <c r="J549"/>
    </row>
    <row r="550" spans="7:10" x14ac:dyDescent="0.3">
      <c r="G550"/>
      <c r="H550"/>
      <c r="I550"/>
      <c r="J550"/>
    </row>
    <row r="551" spans="7:10" x14ac:dyDescent="0.3">
      <c r="G551"/>
      <c r="H551"/>
      <c r="I551"/>
      <c r="J551"/>
    </row>
    <row r="552" spans="7:10" x14ac:dyDescent="0.3">
      <c r="G552"/>
      <c r="H552"/>
      <c r="I552"/>
      <c r="J552"/>
    </row>
    <row r="553" spans="7:10" x14ac:dyDescent="0.3">
      <c r="G553"/>
      <c r="H553"/>
      <c r="I553"/>
      <c r="J553"/>
    </row>
    <row r="554" spans="7:10" x14ac:dyDescent="0.3">
      <c r="G554"/>
      <c r="H554"/>
      <c r="I554"/>
      <c r="J554"/>
    </row>
    <row r="555" spans="7:10" x14ac:dyDescent="0.3">
      <c r="G555"/>
      <c r="H555"/>
      <c r="I555"/>
      <c r="J555"/>
    </row>
    <row r="556" spans="7:10" x14ac:dyDescent="0.3">
      <c r="G556"/>
      <c r="H556"/>
      <c r="I556"/>
      <c r="J556"/>
    </row>
    <row r="557" spans="7:10" x14ac:dyDescent="0.3">
      <c r="G557"/>
      <c r="H557"/>
      <c r="I557"/>
      <c r="J557"/>
    </row>
    <row r="558" spans="7:10" x14ac:dyDescent="0.3">
      <c r="G558"/>
      <c r="H558"/>
      <c r="I558"/>
      <c r="J558"/>
    </row>
    <row r="559" spans="7:10" x14ac:dyDescent="0.3">
      <c r="G559"/>
      <c r="H559"/>
      <c r="I559"/>
      <c r="J559"/>
    </row>
    <row r="560" spans="7:10" x14ac:dyDescent="0.3">
      <c r="G560"/>
      <c r="H560"/>
      <c r="I560"/>
      <c r="J560"/>
    </row>
    <row r="561" spans="7:10" x14ac:dyDescent="0.3">
      <c r="G561"/>
      <c r="H561"/>
      <c r="I561"/>
      <c r="J561"/>
    </row>
    <row r="562" spans="7:10" x14ac:dyDescent="0.3">
      <c r="G562"/>
      <c r="H562"/>
      <c r="I562"/>
      <c r="J562"/>
    </row>
    <row r="563" spans="7:10" x14ac:dyDescent="0.3">
      <c r="G563"/>
      <c r="H563"/>
      <c r="I563"/>
      <c r="J563"/>
    </row>
    <row r="564" spans="7:10" x14ac:dyDescent="0.3">
      <c r="G564"/>
      <c r="H564"/>
      <c r="I564"/>
      <c r="J564"/>
    </row>
    <row r="565" spans="7:10" x14ac:dyDescent="0.3">
      <c r="G565"/>
      <c r="H565"/>
      <c r="I565"/>
      <c r="J565"/>
    </row>
    <row r="566" spans="7:10" x14ac:dyDescent="0.3">
      <c r="G566"/>
      <c r="H566"/>
      <c r="I566"/>
      <c r="J566"/>
    </row>
    <row r="567" spans="7:10" x14ac:dyDescent="0.3">
      <c r="G567"/>
      <c r="H567"/>
      <c r="I567"/>
      <c r="J567"/>
    </row>
    <row r="568" spans="7:10" x14ac:dyDescent="0.3">
      <c r="G568"/>
      <c r="H568"/>
      <c r="I568"/>
      <c r="J568"/>
    </row>
    <row r="569" spans="7:10" x14ac:dyDescent="0.3">
      <c r="G569"/>
      <c r="H569"/>
      <c r="I569"/>
      <c r="J569"/>
    </row>
    <row r="570" spans="7:10" x14ac:dyDescent="0.3">
      <c r="G570"/>
      <c r="H570"/>
      <c r="I570"/>
      <c r="J570"/>
    </row>
    <row r="571" spans="7:10" x14ac:dyDescent="0.3">
      <c r="G571"/>
      <c r="H571"/>
      <c r="I571"/>
      <c r="J571"/>
    </row>
    <row r="572" spans="7:10" x14ac:dyDescent="0.3">
      <c r="G572"/>
      <c r="H572"/>
      <c r="I572"/>
      <c r="J572"/>
    </row>
    <row r="573" spans="7:10" x14ac:dyDescent="0.3">
      <c r="G573"/>
      <c r="H573"/>
      <c r="I573"/>
      <c r="J573"/>
    </row>
    <row r="574" spans="7:10" x14ac:dyDescent="0.3">
      <c r="G574"/>
      <c r="H574"/>
      <c r="I574"/>
      <c r="J574"/>
    </row>
    <row r="575" spans="7:10" x14ac:dyDescent="0.3">
      <c r="G575"/>
      <c r="H575"/>
      <c r="I575"/>
      <c r="J575"/>
    </row>
    <row r="576" spans="7:10" x14ac:dyDescent="0.3">
      <c r="G576"/>
      <c r="H576"/>
      <c r="I576"/>
      <c r="J576"/>
    </row>
    <row r="577" spans="7:10" x14ac:dyDescent="0.3">
      <c r="G577"/>
      <c r="H577"/>
      <c r="I577"/>
      <c r="J577"/>
    </row>
    <row r="578" spans="7:10" x14ac:dyDescent="0.3">
      <c r="G578"/>
      <c r="H578"/>
      <c r="I578"/>
      <c r="J578"/>
    </row>
    <row r="579" spans="7:10" x14ac:dyDescent="0.3">
      <c r="G579"/>
      <c r="H579"/>
      <c r="I579"/>
      <c r="J579"/>
    </row>
    <row r="580" spans="7:10" x14ac:dyDescent="0.3">
      <c r="G580"/>
      <c r="H580"/>
      <c r="I580"/>
      <c r="J580"/>
    </row>
    <row r="581" spans="7:10" x14ac:dyDescent="0.3">
      <c r="G581"/>
      <c r="H581"/>
      <c r="I581"/>
      <c r="J581"/>
    </row>
    <row r="582" spans="7:10" x14ac:dyDescent="0.3">
      <c r="G582"/>
      <c r="H582"/>
      <c r="I582"/>
      <c r="J582"/>
    </row>
    <row r="583" spans="7:10" x14ac:dyDescent="0.3">
      <c r="G583"/>
      <c r="H583"/>
      <c r="I583"/>
      <c r="J583"/>
    </row>
    <row r="584" spans="7:10" x14ac:dyDescent="0.3">
      <c r="G584"/>
      <c r="H584"/>
      <c r="I584"/>
      <c r="J584"/>
    </row>
    <row r="585" spans="7:10" x14ac:dyDescent="0.3">
      <c r="G585"/>
      <c r="H585"/>
      <c r="I585"/>
      <c r="J585"/>
    </row>
    <row r="586" spans="7:10" x14ac:dyDescent="0.3">
      <c r="G586"/>
      <c r="H586"/>
      <c r="I586"/>
      <c r="J586"/>
    </row>
    <row r="587" spans="7:10" x14ac:dyDescent="0.3">
      <c r="G587"/>
      <c r="H587"/>
      <c r="I587"/>
      <c r="J587"/>
    </row>
    <row r="588" spans="7:10" x14ac:dyDescent="0.3">
      <c r="G588"/>
      <c r="H588"/>
      <c r="I588"/>
      <c r="J588"/>
    </row>
    <row r="589" spans="7:10" x14ac:dyDescent="0.3">
      <c r="G589"/>
      <c r="H589"/>
      <c r="I589"/>
      <c r="J589"/>
    </row>
    <row r="590" spans="7:10" x14ac:dyDescent="0.3">
      <c r="G590"/>
      <c r="H590"/>
      <c r="I590"/>
      <c r="J590"/>
    </row>
    <row r="591" spans="7:10" x14ac:dyDescent="0.3">
      <c r="G591"/>
      <c r="H591"/>
      <c r="I591"/>
      <c r="J591"/>
    </row>
    <row r="592" spans="7:10" x14ac:dyDescent="0.3">
      <c r="G592"/>
      <c r="H592"/>
      <c r="I592"/>
      <c r="J592"/>
    </row>
    <row r="593" spans="7:10" x14ac:dyDescent="0.3">
      <c r="G593"/>
      <c r="H593"/>
      <c r="I593"/>
      <c r="J593"/>
    </row>
    <row r="594" spans="7:10" x14ac:dyDescent="0.3">
      <c r="G594"/>
      <c r="H594"/>
      <c r="I594"/>
      <c r="J594"/>
    </row>
    <row r="595" spans="7:10" x14ac:dyDescent="0.3">
      <c r="G595"/>
      <c r="H595"/>
      <c r="I595"/>
      <c r="J595"/>
    </row>
    <row r="596" spans="7:10" x14ac:dyDescent="0.3">
      <c r="G596"/>
      <c r="H596"/>
      <c r="I596"/>
      <c r="J596"/>
    </row>
    <row r="597" spans="7:10" x14ac:dyDescent="0.3">
      <c r="G597"/>
      <c r="H597"/>
      <c r="I597"/>
      <c r="J597"/>
    </row>
    <row r="598" spans="7:10" x14ac:dyDescent="0.3">
      <c r="G598"/>
      <c r="H598"/>
      <c r="I598"/>
      <c r="J598"/>
    </row>
    <row r="599" spans="7:10" x14ac:dyDescent="0.3">
      <c r="G599"/>
      <c r="H599"/>
      <c r="I599"/>
      <c r="J599"/>
    </row>
    <row r="600" spans="7:10" x14ac:dyDescent="0.3">
      <c r="G600"/>
      <c r="H600"/>
      <c r="I600"/>
      <c r="J600"/>
    </row>
    <row r="601" spans="7:10" x14ac:dyDescent="0.3">
      <c r="G601"/>
      <c r="H601"/>
      <c r="I601"/>
      <c r="J601"/>
    </row>
    <row r="602" spans="7:10" x14ac:dyDescent="0.3">
      <c r="G602"/>
      <c r="H602"/>
      <c r="I602"/>
      <c r="J602"/>
    </row>
    <row r="603" spans="7:10" x14ac:dyDescent="0.3">
      <c r="G603"/>
      <c r="H603"/>
      <c r="I603"/>
      <c r="J603"/>
    </row>
    <row r="604" spans="7:10" x14ac:dyDescent="0.3">
      <c r="G604"/>
      <c r="H604"/>
      <c r="I604"/>
      <c r="J604"/>
    </row>
    <row r="605" spans="7:10" x14ac:dyDescent="0.3">
      <c r="G605"/>
      <c r="H605"/>
      <c r="I605"/>
      <c r="J605"/>
    </row>
    <row r="606" spans="7:10" x14ac:dyDescent="0.3">
      <c r="G606"/>
      <c r="H606"/>
      <c r="I606"/>
      <c r="J606"/>
    </row>
    <row r="607" spans="7:10" x14ac:dyDescent="0.3">
      <c r="G607"/>
      <c r="H607"/>
      <c r="I607"/>
      <c r="J607"/>
    </row>
    <row r="608" spans="7:10" x14ac:dyDescent="0.3">
      <c r="G608"/>
      <c r="H608"/>
      <c r="I608"/>
      <c r="J608"/>
    </row>
    <row r="609" spans="7:10" x14ac:dyDescent="0.3">
      <c r="G609"/>
      <c r="H609"/>
      <c r="I609"/>
      <c r="J609"/>
    </row>
    <row r="610" spans="7:10" x14ac:dyDescent="0.3">
      <c r="G610"/>
      <c r="H610"/>
      <c r="I610"/>
      <c r="J610"/>
    </row>
    <row r="611" spans="7:10" x14ac:dyDescent="0.3">
      <c r="G611"/>
      <c r="H611"/>
      <c r="I611"/>
      <c r="J611"/>
    </row>
    <row r="612" spans="7:10" x14ac:dyDescent="0.3">
      <c r="G612"/>
      <c r="H612"/>
      <c r="I612"/>
      <c r="J612"/>
    </row>
    <row r="613" spans="7:10" x14ac:dyDescent="0.3">
      <c r="G613"/>
      <c r="H613"/>
      <c r="I613"/>
      <c r="J613"/>
    </row>
    <row r="614" spans="7:10" x14ac:dyDescent="0.3">
      <c r="G614"/>
      <c r="H614"/>
      <c r="I614"/>
      <c r="J614"/>
    </row>
    <row r="615" spans="7:10" x14ac:dyDescent="0.3">
      <c r="G615"/>
      <c r="H615"/>
      <c r="I615"/>
      <c r="J615"/>
    </row>
    <row r="616" spans="7:10" x14ac:dyDescent="0.3">
      <c r="G616"/>
      <c r="H616"/>
      <c r="I616"/>
      <c r="J616"/>
    </row>
    <row r="617" spans="7:10" x14ac:dyDescent="0.3">
      <c r="G617"/>
      <c r="H617"/>
      <c r="I617"/>
      <c r="J617"/>
    </row>
    <row r="618" spans="7:10" x14ac:dyDescent="0.3">
      <c r="G618"/>
      <c r="H618"/>
      <c r="I618"/>
      <c r="J618"/>
    </row>
    <row r="619" spans="7:10" x14ac:dyDescent="0.3">
      <c r="G619"/>
      <c r="H619"/>
      <c r="I619"/>
      <c r="J619"/>
    </row>
    <row r="620" spans="7:10" x14ac:dyDescent="0.3">
      <c r="G620"/>
      <c r="H620"/>
      <c r="I620"/>
      <c r="J620"/>
    </row>
    <row r="621" spans="7:10" x14ac:dyDescent="0.3">
      <c r="G621"/>
      <c r="H621"/>
      <c r="I621"/>
      <c r="J621"/>
    </row>
    <row r="622" spans="7:10" x14ac:dyDescent="0.3">
      <c r="G622"/>
      <c r="H622"/>
      <c r="I622"/>
      <c r="J622"/>
    </row>
    <row r="623" spans="7:10" x14ac:dyDescent="0.3">
      <c r="G623"/>
      <c r="H623"/>
      <c r="I623"/>
      <c r="J623"/>
    </row>
    <row r="624" spans="7:10" x14ac:dyDescent="0.3">
      <c r="G624"/>
      <c r="H624"/>
      <c r="I624"/>
      <c r="J624"/>
    </row>
    <row r="625" spans="7:10" x14ac:dyDescent="0.3">
      <c r="G625"/>
      <c r="H625"/>
      <c r="I625"/>
      <c r="J625"/>
    </row>
    <row r="626" spans="7:10" x14ac:dyDescent="0.3">
      <c r="G626"/>
      <c r="H626"/>
      <c r="I626"/>
      <c r="J626"/>
    </row>
    <row r="627" spans="7:10" x14ac:dyDescent="0.3">
      <c r="G627"/>
      <c r="H627"/>
      <c r="I627"/>
      <c r="J627"/>
    </row>
    <row r="628" spans="7:10" x14ac:dyDescent="0.3">
      <c r="G628"/>
      <c r="H628"/>
      <c r="I628"/>
      <c r="J628"/>
    </row>
    <row r="629" spans="7:10" x14ac:dyDescent="0.3">
      <c r="G629"/>
      <c r="H629"/>
      <c r="I629"/>
      <c r="J629"/>
    </row>
    <row r="630" spans="7:10" x14ac:dyDescent="0.3">
      <c r="G630"/>
      <c r="H630"/>
      <c r="I630"/>
      <c r="J630"/>
    </row>
    <row r="631" spans="7:10" x14ac:dyDescent="0.3">
      <c r="G631"/>
      <c r="H631"/>
      <c r="I631"/>
      <c r="J631"/>
    </row>
    <row r="632" spans="7:10" x14ac:dyDescent="0.3">
      <c r="G632"/>
      <c r="H632"/>
      <c r="I632"/>
      <c r="J632"/>
    </row>
    <row r="633" spans="7:10" x14ac:dyDescent="0.3">
      <c r="G633"/>
      <c r="H633"/>
      <c r="I633"/>
      <c r="J633"/>
    </row>
    <row r="634" spans="7:10" x14ac:dyDescent="0.3">
      <c r="G634"/>
      <c r="H634"/>
      <c r="I634"/>
      <c r="J634"/>
    </row>
    <row r="635" spans="7:10" x14ac:dyDescent="0.3">
      <c r="G635"/>
      <c r="H635"/>
      <c r="I635"/>
      <c r="J635"/>
    </row>
    <row r="636" spans="7:10" x14ac:dyDescent="0.3">
      <c r="G636"/>
      <c r="H636"/>
      <c r="I636"/>
      <c r="J636"/>
    </row>
    <row r="637" spans="7:10" x14ac:dyDescent="0.3">
      <c r="G637"/>
      <c r="H637"/>
      <c r="I637"/>
      <c r="J637"/>
    </row>
    <row r="638" spans="7:10" x14ac:dyDescent="0.3">
      <c r="G638"/>
      <c r="H638"/>
      <c r="I638"/>
      <c r="J638"/>
    </row>
    <row r="639" spans="7:10" x14ac:dyDescent="0.3">
      <c r="G639"/>
      <c r="H639"/>
      <c r="I639"/>
      <c r="J639"/>
    </row>
    <row r="640" spans="7:10" x14ac:dyDescent="0.3">
      <c r="G640"/>
      <c r="H640"/>
      <c r="I640"/>
      <c r="J640"/>
    </row>
    <row r="641" spans="7:10" x14ac:dyDescent="0.3">
      <c r="G641"/>
      <c r="H641"/>
      <c r="I641"/>
      <c r="J641"/>
    </row>
    <row r="642" spans="7:10" x14ac:dyDescent="0.3">
      <c r="G642"/>
      <c r="H642"/>
      <c r="I642"/>
      <c r="J642"/>
    </row>
    <row r="643" spans="7:10" x14ac:dyDescent="0.3">
      <c r="G643"/>
      <c r="H643"/>
      <c r="I643"/>
      <c r="J643"/>
    </row>
    <row r="644" spans="7:10" x14ac:dyDescent="0.3">
      <c r="G644"/>
      <c r="H644"/>
      <c r="I644"/>
      <c r="J644"/>
    </row>
    <row r="645" spans="7:10" x14ac:dyDescent="0.3">
      <c r="G645"/>
      <c r="H645"/>
      <c r="I645"/>
      <c r="J645"/>
    </row>
    <row r="646" spans="7:10" x14ac:dyDescent="0.3">
      <c r="G646"/>
      <c r="H646"/>
      <c r="I646"/>
      <c r="J646"/>
    </row>
    <row r="647" spans="7:10" x14ac:dyDescent="0.3">
      <c r="G647"/>
      <c r="H647"/>
      <c r="I647"/>
      <c r="J647"/>
    </row>
    <row r="648" spans="7:10" x14ac:dyDescent="0.3">
      <c r="G648"/>
      <c r="H648"/>
      <c r="I648"/>
      <c r="J648"/>
    </row>
    <row r="649" spans="7:10" x14ac:dyDescent="0.3">
      <c r="G649"/>
      <c r="H649"/>
      <c r="I649"/>
      <c r="J649"/>
    </row>
    <row r="650" spans="7:10" x14ac:dyDescent="0.3">
      <c r="G650"/>
      <c r="H650"/>
      <c r="I650"/>
      <c r="J650"/>
    </row>
    <row r="651" spans="7:10" x14ac:dyDescent="0.3">
      <c r="G651"/>
      <c r="H651"/>
      <c r="I651"/>
      <c r="J651"/>
    </row>
    <row r="652" spans="7:10" x14ac:dyDescent="0.3">
      <c r="G652"/>
      <c r="H652"/>
      <c r="I652"/>
      <c r="J652"/>
    </row>
    <row r="653" spans="7:10" x14ac:dyDescent="0.3">
      <c r="G653"/>
      <c r="H653"/>
      <c r="I653"/>
      <c r="J653"/>
    </row>
    <row r="654" spans="7:10" x14ac:dyDescent="0.3">
      <c r="G654"/>
      <c r="H654"/>
      <c r="I654"/>
      <c r="J654"/>
    </row>
    <row r="655" spans="7:10" x14ac:dyDescent="0.3">
      <c r="G655"/>
      <c r="H655"/>
      <c r="I655"/>
      <c r="J655"/>
    </row>
    <row r="656" spans="7:10" x14ac:dyDescent="0.3">
      <c r="G656"/>
      <c r="H656"/>
      <c r="I656"/>
      <c r="J656"/>
    </row>
    <row r="657" spans="7:10" x14ac:dyDescent="0.3">
      <c r="G657"/>
      <c r="H657"/>
      <c r="I657"/>
      <c r="J657"/>
    </row>
    <row r="658" spans="7:10" x14ac:dyDescent="0.3">
      <c r="G658"/>
      <c r="H658"/>
      <c r="I658"/>
      <c r="J658"/>
    </row>
    <row r="659" spans="7:10" x14ac:dyDescent="0.3">
      <c r="G659"/>
      <c r="H659"/>
      <c r="I659"/>
      <c r="J659"/>
    </row>
    <row r="660" spans="7:10" x14ac:dyDescent="0.3">
      <c r="G660"/>
      <c r="H660"/>
      <c r="I660"/>
      <c r="J660"/>
    </row>
    <row r="661" spans="7:10" x14ac:dyDescent="0.3">
      <c r="G661"/>
      <c r="H661"/>
      <c r="I661"/>
      <c r="J661"/>
    </row>
    <row r="662" spans="7:10" x14ac:dyDescent="0.3">
      <c r="G662"/>
      <c r="H662"/>
      <c r="I662"/>
      <c r="J662"/>
    </row>
    <row r="663" spans="7:10" x14ac:dyDescent="0.3">
      <c r="G663"/>
      <c r="H663"/>
      <c r="I663"/>
      <c r="J663"/>
    </row>
    <row r="664" spans="7:10" x14ac:dyDescent="0.3">
      <c r="G664"/>
      <c r="H664"/>
      <c r="I664"/>
      <c r="J664"/>
    </row>
    <row r="665" spans="7:10" x14ac:dyDescent="0.3">
      <c r="G665"/>
      <c r="H665"/>
      <c r="I665"/>
      <c r="J665"/>
    </row>
    <row r="666" spans="7:10" x14ac:dyDescent="0.3">
      <c r="G666"/>
      <c r="H666"/>
      <c r="I666"/>
      <c r="J666"/>
    </row>
    <row r="667" spans="7:10" x14ac:dyDescent="0.3">
      <c r="G667"/>
      <c r="H667"/>
      <c r="I667"/>
      <c r="J667"/>
    </row>
    <row r="668" spans="7:10" x14ac:dyDescent="0.3">
      <c r="G668"/>
      <c r="H668"/>
      <c r="I668"/>
      <c r="J668"/>
    </row>
    <row r="669" spans="7:10" x14ac:dyDescent="0.3">
      <c r="G669"/>
      <c r="H669"/>
      <c r="I669"/>
      <c r="J669"/>
    </row>
    <row r="670" spans="7:10" x14ac:dyDescent="0.3">
      <c r="G670"/>
      <c r="H670"/>
      <c r="I670"/>
      <c r="J670"/>
    </row>
    <row r="671" spans="7:10" x14ac:dyDescent="0.3">
      <c r="G671"/>
      <c r="H671"/>
      <c r="I671"/>
      <c r="J671"/>
    </row>
    <row r="672" spans="7:10" x14ac:dyDescent="0.3">
      <c r="G672"/>
      <c r="H672"/>
      <c r="I672"/>
      <c r="J672"/>
    </row>
    <row r="673" spans="7:10" x14ac:dyDescent="0.3">
      <c r="G673"/>
      <c r="H673"/>
      <c r="I673"/>
      <c r="J673"/>
    </row>
    <row r="674" spans="7:10" x14ac:dyDescent="0.3">
      <c r="G674"/>
      <c r="H674"/>
      <c r="I674"/>
      <c r="J674"/>
    </row>
    <row r="675" spans="7:10" x14ac:dyDescent="0.3">
      <c r="G675"/>
      <c r="H675"/>
      <c r="I675"/>
      <c r="J675"/>
    </row>
    <row r="676" spans="7:10" x14ac:dyDescent="0.3">
      <c r="G676"/>
      <c r="H676"/>
      <c r="I676"/>
      <c r="J676"/>
    </row>
    <row r="677" spans="7:10" x14ac:dyDescent="0.3">
      <c r="G677"/>
      <c r="H677"/>
      <c r="I677"/>
      <c r="J677"/>
    </row>
    <row r="678" spans="7:10" x14ac:dyDescent="0.3">
      <c r="G678"/>
      <c r="H678"/>
      <c r="I678"/>
      <c r="J678"/>
    </row>
    <row r="679" spans="7:10" x14ac:dyDescent="0.3">
      <c r="G679"/>
      <c r="H679"/>
      <c r="I679"/>
      <c r="J679"/>
    </row>
    <row r="680" spans="7:10" x14ac:dyDescent="0.3">
      <c r="G680"/>
      <c r="H680"/>
      <c r="I680"/>
      <c r="J680"/>
    </row>
    <row r="681" spans="7:10" x14ac:dyDescent="0.3">
      <c r="G681"/>
      <c r="H681"/>
      <c r="I681"/>
      <c r="J681"/>
    </row>
    <row r="682" spans="7:10" x14ac:dyDescent="0.3">
      <c r="G682"/>
      <c r="H682"/>
      <c r="I682"/>
      <c r="J682"/>
    </row>
    <row r="683" spans="7:10" x14ac:dyDescent="0.3">
      <c r="G683"/>
      <c r="H683"/>
      <c r="I683"/>
      <c r="J683"/>
    </row>
    <row r="684" spans="7:10" x14ac:dyDescent="0.3">
      <c r="G684"/>
      <c r="H684"/>
      <c r="I684"/>
      <c r="J684"/>
    </row>
    <row r="685" spans="7:10" x14ac:dyDescent="0.3">
      <c r="G685"/>
      <c r="H685"/>
      <c r="I685"/>
      <c r="J685"/>
    </row>
    <row r="686" spans="7:10" x14ac:dyDescent="0.3">
      <c r="G686"/>
      <c r="H686"/>
      <c r="I686"/>
      <c r="J686"/>
    </row>
    <row r="687" spans="7:10" x14ac:dyDescent="0.3">
      <c r="G687"/>
      <c r="H687"/>
      <c r="I687"/>
      <c r="J687"/>
    </row>
    <row r="688" spans="7:10" x14ac:dyDescent="0.3">
      <c r="G688"/>
      <c r="H688"/>
      <c r="I688"/>
      <c r="J688"/>
    </row>
    <row r="689" spans="7:10" x14ac:dyDescent="0.3">
      <c r="G689"/>
      <c r="H689"/>
      <c r="I689"/>
      <c r="J689"/>
    </row>
    <row r="690" spans="7:10" x14ac:dyDescent="0.3">
      <c r="G690"/>
      <c r="H690"/>
      <c r="I690"/>
      <c r="J690"/>
    </row>
    <row r="691" spans="7:10" x14ac:dyDescent="0.3">
      <c r="G691"/>
      <c r="H691"/>
      <c r="I691"/>
      <c r="J691"/>
    </row>
    <row r="692" spans="7:10" x14ac:dyDescent="0.3">
      <c r="G692"/>
      <c r="H692"/>
      <c r="I692"/>
      <c r="J692"/>
    </row>
    <row r="693" spans="7:10" x14ac:dyDescent="0.3">
      <c r="G693"/>
      <c r="H693"/>
      <c r="I693"/>
      <c r="J693"/>
    </row>
    <row r="694" spans="7:10" x14ac:dyDescent="0.3">
      <c r="G694"/>
      <c r="H694"/>
      <c r="I694"/>
      <c r="J694"/>
    </row>
    <row r="695" spans="7:10" x14ac:dyDescent="0.3">
      <c r="G695"/>
      <c r="H695"/>
      <c r="I695"/>
      <c r="J695"/>
    </row>
    <row r="696" spans="7:10" x14ac:dyDescent="0.3">
      <c r="G696"/>
      <c r="H696"/>
      <c r="I696"/>
      <c r="J696"/>
    </row>
    <row r="697" spans="7:10" x14ac:dyDescent="0.3">
      <c r="G697"/>
      <c r="H697"/>
      <c r="I697"/>
      <c r="J697"/>
    </row>
    <row r="698" spans="7:10" x14ac:dyDescent="0.3">
      <c r="G698"/>
      <c r="H698"/>
      <c r="I698"/>
      <c r="J698"/>
    </row>
    <row r="699" spans="7:10" x14ac:dyDescent="0.3">
      <c r="G699"/>
      <c r="H699"/>
      <c r="I699"/>
      <c r="J699"/>
    </row>
    <row r="700" spans="7:10" x14ac:dyDescent="0.3">
      <c r="G700"/>
      <c r="H700"/>
      <c r="I700"/>
      <c r="J700"/>
    </row>
    <row r="701" spans="7:10" x14ac:dyDescent="0.3">
      <c r="G701"/>
      <c r="H701"/>
      <c r="I701"/>
      <c r="J701"/>
    </row>
    <row r="702" spans="7:10" x14ac:dyDescent="0.3">
      <c r="G702"/>
      <c r="H702"/>
      <c r="I702"/>
      <c r="J702"/>
    </row>
    <row r="703" spans="7:10" x14ac:dyDescent="0.3">
      <c r="G703"/>
      <c r="H703"/>
      <c r="I703"/>
      <c r="J703"/>
    </row>
    <row r="704" spans="7:10" x14ac:dyDescent="0.3">
      <c r="G704"/>
      <c r="H704"/>
      <c r="I704"/>
      <c r="J704"/>
    </row>
    <row r="705" spans="7:10" x14ac:dyDescent="0.3">
      <c r="G705"/>
      <c r="H705"/>
      <c r="I705"/>
      <c r="J705"/>
    </row>
    <row r="706" spans="7:10" x14ac:dyDescent="0.3">
      <c r="G706"/>
      <c r="H706"/>
      <c r="I706"/>
      <c r="J706"/>
    </row>
    <row r="707" spans="7:10" x14ac:dyDescent="0.3">
      <c r="G707"/>
      <c r="H707"/>
      <c r="I707"/>
      <c r="J707"/>
    </row>
    <row r="708" spans="7:10" x14ac:dyDescent="0.3">
      <c r="G708"/>
      <c r="H708"/>
      <c r="I708"/>
      <c r="J708"/>
    </row>
    <row r="709" spans="7:10" x14ac:dyDescent="0.3">
      <c r="G709"/>
      <c r="H709"/>
      <c r="I709"/>
      <c r="J709"/>
    </row>
    <row r="710" spans="7:10" x14ac:dyDescent="0.3">
      <c r="G710"/>
      <c r="H710"/>
      <c r="I710"/>
      <c r="J710"/>
    </row>
    <row r="711" spans="7:10" x14ac:dyDescent="0.3">
      <c r="G711"/>
      <c r="H711"/>
      <c r="I711"/>
      <c r="J711"/>
    </row>
    <row r="712" spans="7:10" x14ac:dyDescent="0.3">
      <c r="G712"/>
      <c r="H712"/>
      <c r="I712"/>
      <c r="J712"/>
    </row>
    <row r="713" spans="7:10" x14ac:dyDescent="0.3">
      <c r="G713"/>
      <c r="H713"/>
      <c r="I713"/>
      <c r="J713"/>
    </row>
    <row r="714" spans="7:10" x14ac:dyDescent="0.3">
      <c r="G714"/>
      <c r="H714"/>
      <c r="I714"/>
      <c r="J714"/>
    </row>
    <row r="715" spans="7:10" x14ac:dyDescent="0.3">
      <c r="G715"/>
      <c r="H715"/>
      <c r="I715"/>
      <c r="J715"/>
    </row>
    <row r="716" spans="7:10" x14ac:dyDescent="0.3">
      <c r="G716"/>
      <c r="H716"/>
      <c r="I716"/>
      <c r="J716"/>
    </row>
    <row r="717" spans="7:10" x14ac:dyDescent="0.3">
      <c r="G717"/>
      <c r="H717"/>
      <c r="I717"/>
      <c r="J717"/>
    </row>
    <row r="718" spans="7:10" x14ac:dyDescent="0.3">
      <c r="G718"/>
      <c r="H718"/>
      <c r="I718"/>
      <c r="J718"/>
    </row>
    <row r="719" spans="7:10" x14ac:dyDescent="0.3">
      <c r="G719"/>
      <c r="H719"/>
      <c r="I719"/>
      <c r="J719"/>
    </row>
    <row r="720" spans="7:10" x14ac:dyDescent="0.3">
      <c r="G720"/>
      <c r="H720"/>
      <c r="I720"/>
      <c r="J720"/>
    </row>
    <row r="721" spans="7:10" x14ac:dyDescent="0.3">
      <c r="G721"/>
      <c r="H721"/>
      <c r="I721"/>
      <c r="J721"/>
    </row>
    <row r="722" spans="7:10" x14ac:dyDescent="0.3">
      <c r="G722"/>
      <c r="H722"/>
      <c r="I722"/>
      <c r="J722"/>
    </row>
    <row r="723" spans="7:10" x14ac:dyDescent="0.3">
      <c r="G723"/>
      <c r="H723"/>
      <c r="I723"/>
      <c r="J723"/>
    </row>
    <row r="724" spans="7:10" x14ac:dyDescent="0.3">
      <c r="G724"/>
      <c r="H724"/>
      <c r="I724"/>
      <c r="J724"/>
    </row>
    <row r="725" spans="7:10" x14ac:dyDescent="0.3">
      <c r="G725"/>
      <c r="H725"/>
      <c r="I725"/>
      <c r="J725"/>
    </row>
    <row r="726" spans="7:10" x14ac:dyDescent="0.3">
      <c r="G726"/>
      <c r="H726"/>
      <c r="I726"/>
      <c r="J726"/>
    </row>
    <row r="727" spans="7:10" x14ac:dyDescent="0.3">
      <c r="G727"/>
      <c r="H727"/>
      <c r="I727"/>
      <c r="J727"/>
    </row>
    <row r="728" spans="7:10" x14ac:dyDescent="0.3">
      <c r="G728"/>
      <c r="H728"/>
      <c r="I728"/>
      <c r="J728"/>
    </row>
    <row r="729" spans="7:10" x14ac:dyDescent="0.3">
      <c r="G729"/>
      <c r="H729"/>
      <c r="I729"/>
      <c r="J729"/>
    </row>
    <row r="730" spans="7:10" x14ac:dyDescent="0.3">
      <c r="G730"/>
      <c r="H730"/>
      <c r="I730"/>
      <c r="J730"/>
    </row>
    <row r="731" spans="7:10" x14ac:dyDescent="0.3">
      <c r="G731"/>
      <c r="H731"/>
      <c r="I731"/>
      <c r="J731"/>
    </row>
    <row r="732" spans="7:10" x14ac:dyDescent="0.3">
      <c r="G732"/>
      <c r="H732"/>
      <c r="I732"/>
      <c r="J732"/>
    </row>
    <row r="733" spans="7:10" x14ac:dyDescent="0.3">
      <c r="G733"/>
      <c r="H733"/>
      <c r="I733"/>
      <c r="J733"/>
    </row>
    <row r="734" spans="7:10" x14ac:dyDescent="0.3">
      <c r="G734"/>
      <c r="H734"/>
      <c r="I734"/>
      <c r="J734"/>
    </row>
    <row r="735" spans="7:10" x14ac:dyDescent="0.3">
      <c r="G735"/>
      <c r="H735"/>
      <c r="I735"/>
      <c r="J735"/>
    </row>
    <row r="736" spans="7:10" x14ac:dyDescent="0.3">
      <c r="G736"/>
      <c r="H736"/>
      <c r="I736"/>
      <c r="J736"/>
    </row>
    <row r="737" spans="7:10" x14ac:dyDescent="0.3">
      <c r="G737"/>
      <c r="H737"/>
      <c r="I737"/>
      <c r="J737"/>
    </row>
    <row r="738" spans="7:10" x14ac:dyDescent="0.3">
      <c r="G738"/>
      <c r="H738"/>
      <c r="I738"/>
      <c r="J738"/>
    </row>
    <row r="739" spans="7:10" x14ac:dyDescent="0.3">
      <c r="G739"/>
      <c r="H739"/>
      <c r="I739"/>
      <c r="J739"/>
    </row>
    <row r="740" spans="7:10" x14ac:dyDescent="0.3">
      <c r="G740"/>
      <c r="H740"/>
      <c r="I740"/>
      <c r="J740"/>
    </row>
    <row r="741" spans="7:10" x14ac:dyDescent="0.3">
      <c r="G741"/>
      <c r="H741"/>
      <c r="I741"/>
      <c r="J741"/>
    </row>
    <row r="742" spans="7:10" x14ac:dyDescent="0.3">
      <c r="G742"/>
      <c r="H742"/>
      <c r="I742"/>
      <c r="J742"/>
    </row>
    <row r="743" spans="7:10" x14ac:dyDescent="0.3">
      <c r="G743"/>
      <c r="H743"/>
      <c r="I743"/>
      <c r="J743"/>
    </row>
    <row r="744" spans="7:10" x14ac:dyDescent="0.3">
      <c r="G744"/>
      <c r="H744"/>
      <c r="I744"/>
      <c r="J744"/>
    </row>
    <row r="745" spans="7:10" x14ac:dyDescent="0.3">
      <c r="G745"/>
      <c r="H745"/>
      <c r="I745"/>
      <c r="J745"/>
    </row>
    <row r="746" spans="7:10" x14ac:dyDescent="0.3">
      <c r="G746"/>
      <c r="H746"/>
      <c r="I746"/>
      <c r="J746"/>
    </row>
    <row r="747" spans="7:10" x14ac:dyDescent="0.3">
      <c r="G747"/>
      <c r="H747"/>
      <c r="I747"/>
      <c r="J747"/>
    </row>
    <row r="748" spans="7:10" x14ac:dyDescent="0.3">
      <c r="G748"/>
      <c r="H748"/>
      <c r="I748"/>
      <c r="J748"/>
    </row>
    <row r="749" spans="7:10" x14ac:dyDescent="0.3">
      <c r="G749"/>
      <c r="H749"/>
      <c r="I749"/>
      <c r="J749"/>
    </row>
    <row r="750" spans="7:10" x14ac:dyDescent="0.3">
      <c r="G750"/>
      <c r="H750"/>
      <c r="I750"/>
      <c r="J750"/>
    </row>
    <row r="751" spans="7:10" x14ac:dyDescent="0.3">
      <c r="G751"/>
      <c r="H751"/>
      <c r="I751"/>
      <c r="J751"/>
    </row>
    <row r="752" spans="7:10" x14ac:dyDescent="0.3">
      <c r="G752"/>
      <c r="H752"/>
      <c r="I752"/>
      <c r="J752"/>
    </row>
    <row r="753" spans="7:10" x14ac:dyDescent="0.3">
      <c r="G753"/>
      <c r="H753"/>
      <c r="I753"/>
      <c r="J753"/>
    </row>
    <row r="754" spans="7:10" x14ac:dyDescent="0.3">
      <c r="G754"/>
      <c r="H754"/>
      <c r="I754"/>
      <c r="J754"/>
    </row>
    <row r="755" spans="7:10" x14ac:dyDescent="0.3">
      <c r="G755"/>
      <c r="H755"/>
      <c r="I755"/>
      <c r="J755"/>
    </row>
    <row r="756" spans="7:10" x14ac:dyDescent="0.3">
      <c r="G756"/>
      <c r="H756"/>
      <c r="I756"/>
      <c r="J756"/>
    </row>
    <row r="757" spans="7:10" x14ac:dyDescent="0.3">
      <c r="G757"/>
      <c r="H757"/>
      <c r="I757"/>
      <c r="J757"/>
    </row>
    <row r="758" spans="7:10" x14ac:dyDescent="0.3">
      <c r="G758"/>
      <c r="H758"/>
      <c r="I758"/>
      <c r="J758"/>
    </row>
    <row r="759" spans="7:10" x14ac:dyDescent="0.3">
      <c r="G759"/>
      <c r="H759"/>
      <c r="I759"/>
      <c r="J759"/>
    </row>
    <row r="760" spans="7:10" x14ac:dyDescent="0.3">
      <c r="G760"/>
      <c r="H760"/>
      <c r="I760"/>
      <c r="J760"/>
    </row>
    <row r="761" spans="7:10" x14ac:dyDescent="0.3">
      <c r="G761"/>
      <c r="H761"/>
      <c r="I761"/>
      <c r="J761"/>
    </row>
    <row r="762" spans="7:10" x14ac:dyDescent="0.3">
      <c r="G762"/>
      <c r="H762"/>
      <c r="I762"/>
      <c r="J762"/>
    </row>
    <row r="763" spans="7:10" x14ac:dyDescent="0.3">
      <c r="G763"/>
      <c r="H763"/>
      <c r="I763"/>
      <c r="J763"/>
    </row>
    <row r="764" spans="7:10" x14ac:dyDescent="0.3">
      <c r="G764"/>
      <c r="H764"/>
      <c r="I764"/>
      <c r="J764"/>
    </row>
    <row r="765" spans="7:10" x14ac:dyDescent="0.3">
      <c r="G765"/>
      <c r="H765"/>
      <c r="I765"/>
      <c r="J765"/>
    </row>
    <row r="766" spans="7:10" x14ac:dyDescent="0.3">
      <c r="G766"/>
      <c r="H766"/>
      <c r="I766"/>
      <c r="J766"/>
    </row>
    <row r="767" spans="7:10" x14ac:dyDescent="0.3">
      <c r="G767"/>
      <c r="H767"/>
      <c r="I767"/>
      <c r="J767"/>
    </row>
    <row r="768" spans="7:10" x14ac:dyDescent="0.3">
      <c r="G768"/>
      <c r="H768"/>
      <c r="I768"/>
      <c r="J768"/>
    </row>
    <row r="769" spans="7:10" x14ac:dyDescent="0.3">
      <c r="G769"/>
      <c r="H769"/>
      <c r="I769"/>
      <c r="J769"/>
    </row>
    <row r="770" spans="7:10" x14ac:dyDescent="0.3">
      <c r="G770"/>
      <c r="H770"/>
      <c r="I770"/>
      <c r="J770"/>
    </row>
    <row r="771" spans="7:10" x14ac:dyDescent="0.3">
      <c r="G771"/>
      <c r="H771"/>
      <c r="I771"/>
      <c r="J771"/>
    </row>
    <row r="772" spans="7:10" x14ac:dyDescent="0.3">
      <c r="G772"/>
      <c r="H772"/>
      <c r="I772"/>
      <c r="J772"/>
    </row>
    <row r="773" spans="7:10" x14ac:dyDescent="0.3">
      <c r="G773"/>
      <c r="H773"/>
      <c r="I773"/>
      <c r="J773"/>
    </row>
    <row r="774" spans="7:10" x14ac:dyDescent="0.3">
      <c r="G774"/>
      <c r="H774"/>
      <c r="I774"/>
      <c r="J774"/>
    </row>
    <row r="775" spans="7:10" x14ac:dyDescent="0.3">
      <c r="G775"/>
      <c r="H775"/>
      <c r="I775"/>
      <c r="J775"/>
    </row>
    <row r="776" spans="7:10" x14ac:dyDescent="0.3">
      <c r="G776"/>
      <c r="H776"/>
      <c r="I776"/>
      <c r="J776"/>
    </row>
    <row r="777" spans="7:10" x14ac:dyDescent="0.3">
      <c r="G777"/>
      <c r="H777"/>
      <c r="I777"/>
      <c r="J777"/>
    </row>
    <row r="778" spans="7:10" x14ac:dyDescent="0.3">
      <c r="G778"/>
      <c r="H778"/>
      <c r="I778"/>
      <c r="J778"/>
    </row>
    <row r="779" spans="7:10" x14ac:dyDescent="0.3">
      <c r="G779"/>
      <c r="H779"/>
      <c r="I779"/>
      <c r="J779"/>
    </row>
    <row r="780" spans="7:10" x14ac:dyDescent="0.3">
      <c r="G780"/>
      <c r="H780"/>
      <c r="I780"/>
      <c r="J780"/>
    </row>
    <row r="781" spans="7:10" x14ac:dyDescent="0.3">
      <c r="G781"/>
      <c r="H781"/>
      <c r="I781"/>
      <c r="J781"/>
    </row>
    <row r="782" spans="7:10" x14ac:dyDescent="0.3">
      <c r="G782"/>
      <c r="H782"/>
      <c r="I782"/>
      <c r="J782"/>
    </row>
    <row r="783" spans="7:10" x14ac:dyDescent="0.3">
      <c r="G783"/>
      <c r="H783"/>
      <c r="I783"/>
      <c r="J783"/>
    </row>
    <row r="784" spans="7:10" x14ac:dyDescent="0.3">
      <c r="G784"/>
      <c r="H784"/>
      <c r="I784"/>
      <c r="J784"/>
    </row>
    <row r="785" spans="7:10" x14ac:dyDescent="0.3">
      <c r="G785"/>
      <c r="H785"/>
      <c r="I785"/>
      <c r="J785"/>
    </row>
    <row r="786" spans="7:10" x14ac:dyDescent="0.3">
      <c r="G786"/>
      <c r="H786"/>
      <c r="I786"/>
      <c r="J786"/>
    </row>
    <row r="787" spans="7:10" x14ac:dyDescent="0.3">
      <c r="G787"/>
      <c r="H787"/>
      <c r="I787"/>
      <c r="J787"/>
    </row>
    <row r="788" spans="7:10" x14ac:dyDescent="0.3">
      <c r="G788"/>
      <c r="H788"/>
      <c r="I788"/>
      <c r="J788"/>
    </row>
    <row r="789" spans="7:10" x14ac:dyDescent="0.3">
      <c r="G789"/>
      <c r="H789"/>
      <c r="I789"/>
      <c r="J789"/>
    </row>
    <row r="790" spans="7:10" x14ac:dyDescent="0.3">
      <c r="G790"/>
      <c r="H790"/>
      <c r="I790"/>
      <c r="J790"/>
    </row>
    <row r="791" spans="7:10" x14ac:dyDescent="0.3">
      <c r="G791"/>
      <c r="H791"/>
      <c r="I791"/>
      <c r="J791"/>
    </row>
    <row r="792" spans="7:10" x14ac:dyDescent="0.3">
      <c r="G792"/>
      <c r="H792"/>
      <c r="I792"/>
      <c r="J792"/>
    </row>
    <row r="793" spans="7:10" x14ac:dyDescent="0.3">
      <c r="G793"/>
      <c r="H793"/>
      <c r="I793"/>
      <c r="J793"/>
    </row>
    <row r="794" spans="7:10" x14ac:dyDescent="0.3">
      <c r="G794"/>
      <c r="H794"/>
      <c r="I794"/>
      <c r="J794"/>
    </row>
    <row r="795" spans="7:10" x14ac:dyDescent="0.3">
      <c r="G795"/>
      <c r="H795"/>
      <c r="I795"/>
      <c r="J795"/>
    </row>
    <row r="796" spans="7:10" x14ac:dyDescent="0.3">
      <c r="G796"/>
      <c r="H796"/>
      <c r="I796"/>
      <c r="J796"/>
    </row>
    <row r="797" spans="7:10" x14ac:dyDescent="0.3">
      <c r="G797"/>
      <c r="H797"/>
      <c r="I797"/>
      <c r="J797"/>
    </row>
    <row r="798" spans="7:10" x14ac:dyDescent="0.3">
      <c r="G798"/>
      <c r="H798"/>
      <c r="I798"/>
      <c r="J798"/>
    </row>
    <row r="799" spans="7:10" x14ac:dyDescent="0.3">
      <c r="G799"/>
      <c r="H799"/>
      <c r="I799"/>
      <c r="J799"/>
    </row>
    <row r="800" spans="7:10" x14ac:dyDescent="0.3">
      <c r="G800"/>
      <c r="H800"/>
      <c r="I800"/>
      <c r="J800"/>
    </row>
    <row r="801" spans="7:10" x14ac:dyDescent="0.3">
      <c r="G801"/>
      <c r="H801"/>
      <c r="I801"/>
      <c r="J801"/>
    </row>
    <row r="802" spans="7:10" x14ac:dyDescent="0.3">
      <c r="G802"/>
      <c r="H802"/>
      <c r="I802"/>
      <c r="J802"/>
    </row>
    <row r="803" spans="7:10" x14ac:dyDescent="0.3">
      <c r="G803"/>
      <c r="H803"/>
      <c r="I803"/>
      <c r="J803"/>
    </row>
    <row r="804" spans="7:10" x14ac:dyDescent="0.3">
      <c r="G804"/>
      <c r="H804"/>
      <c r="I804"/>
      <c r="J804"/>
    </row>
    <row r="805" spans="7:10" x14ac:dyDescent="0.3">
      <c r="G805"/>
      <c r="H805"/>
      <c r="I805"/>
      <c r="J805"/>
    </row>
    <row r="806" spans="7:10" x14ac:dyDescent="0.3">
      <c r="G806"/>
      <c r="H806"/>
      <c r="I806"/>
      <c r="J806"/>
    </row>
    <row r="807" spans="7:10" x14ac:dyDescent="0.3">
      <c r="G807"/>
      <c r="H807"/>
      <c r="I807"/>
      <c r="J807"/>
    </row>
    <row r="808" spans="7:10" x14ac:dyDescent="0.3">
      <c r="G808"/>
      <c r="H808"/>
      <c r="I808"/>
      <c r="J808"/>
    </row>
    <row r="809" spans="7:10" x14ac:dyDescent="0.3">
      <c r="G809"/>
      <c r="H809"/>
      <c r="I809"/>
      <c r="J809"/>
    </row>
    <row r="810" spans="7:10" x14ac:dyDescent="0.3">
      <c r="G810"/>
      <c r="H810"/>
      <c r="I810"/>
      <c r="J810"/>
    </row>
    <row r="811" spans="7:10" x14ac:dyDescent="0.3">
      <c r="G811"/>
      <c r="H811"/>
      <c r="I811"/>
      <c r="J811"/>
    </row>
    <row r="812" spans="7:10" x14ac:dyDescent="0.3">
      <c r="G812"/>
      <c r="H812"/>
      <c r="I812"/>
      <c r="J812"/>
    </row>
    <row r="813" spans="7:10" x14ac:dyDescent="0.3">
      <c r="G813"/>
      <c r="H813"/>
      <c r="I813"/>
      <c r="J813"/>
    </row>
    <row r="814" spans="7:10" x14ac:dyDescent="0.3">
      <c r="G814"/>
      <c r="H814"/>
      <c r="I814"/>
      <c r="J814"/>
    </row>
    <row r="815" spans="7:10" x14ac:dyDescent="0.3">
      <c r="G815"/>
      <c r="H815"/>
      <c r="I815"/>
      <c r="J815"/>
    </row>
    <row r="816" spans="7:10" x14ac:dyDescent="0.3">
      <c r="G816"/>
      <c r="H816"/>
      <c r="I816"/>
      <c r="J816"/>
    </row>
    <row r="817" spans="7:10" x14ac:dyDescent="0.3">
      <c r="G817"/>
      <c r="H817"/>
      <c r="I817"/>
      <c r="J817"/>
    </row>
    <row r="818" spans="7:10" x14ac:dyDescent="0.3">
      <c r="G818"/>
      <c r="H818"/>
      <c r="I818"/>
      <c r="J818"/>
    </row>
    <row r="819" spans="7:10" x14ac:dyDescent="0.3">
      <c r="G819"/>
      <c r="H819"/>
      <c r="I819"/>
      <c r="J819"/>
    </row>
    <row r="820" spans="7:10" x14ac:dyDescent="0.3">
      <c r="G820"/>
      <c r="H820"/>
      <c r="I820"/>
      <c r="J820"/>
    </row>
    <row r="821" spans="7:10" x14ac:dyDescent="0.3">
      <c r="G821"/>
      <c r="H821"/>
      <c r="I821"/>
      <c r="J821"/>
    </row>
    <row r="822" spans="7:10" x14ac:dyDescent="0.3">
      <c r="G822"/>
      <c r="H822"/>
      <c r="I822"/>
      <c r="J822"/>
    </row>
    <row r="823" spans="7:10" x14ac:dyDescent="0.3">
      <c r="G823"/>
      <c r="H823"/>
      <c r="I823"/>
      <c r="J823"/>
    </row>
    <row r="824" spans="7:10" x14ac:dyDescent="0.3">
      <c r="G824"/>
      <c r="H824"/>
      <c r="I824"/>
      <c r="J824"/>
    </row>
    <row r="825" spans="7:10" x14ac:dyDescent="0.3">
      <c r="G825"/>
      <c r="H825"/>
      <c r="I825"/>
      <c r="J825"/>
    </row>
    <row r="826" spans="7:10" x14ac:dyDescent="0.3">
      <c r="G826"/>
      <c r="H826"/>
      <c r="I826"/>
      <c r="J826"/>
    </row>
    <row r="827" spans="7:10" x14ac:dyDescent="0.3">
      <c r="G827"/>
      <c r="H827"/>
      <c r="I827"/>
      <c r="J827"/>
    </row>
    <row r="828" spans="7:10" x14ac:dyDescent="0.3">
      <c r="G828"/>
      <c r="H828"/>
      <c r="I828"/>
      <c r="J828"/>
    </row>
    <row r="829" spans="7:10" x14ac:dyDescent="0.3">
      <c r="G829"/>
      <c r="H829"/>
      <c r="I829"/>
      <c r="J829"/>
    </row>
    <row r="830" spans="7:10" x14ac:dyDescent="0.3">
      <c r="G830"/>
      <c r="H830"/>
      <c r="I830"/>
      <c r="J830"/>
    </row>
    <row r="831" spans="7:10" x14ac:dyDescent="0.3">
      <c r="G831"/>
      <c r="H831"/>
      <c r="I831"/>
      <c r="J831"/>
    </row>
    <row r="832" spans="7:10" x14ac:dyDescent="0.3">
      <c r="G832"/>
      <c r="H832"/>
      <c r="I832"/>
      <c r="J832"/>
    </row>
    <row r="833" spans="7:10" x14ac:dyDescent="0.3">
      <c r="G833"/>
      <c r="H833"/>
      <c r="I833"/>
      <c r="J833"/>
    </row>
    <row r="834" spans="7:10" x14ac:dyDescent="0.3">
      <c r="G834"/>
      <c r="H834"/>
      <c r="I834"/>
      <c r="J834"/>
    </row>
    <row r="835" spans="7:10" x14ac:dyDescent="0.3">
      <c r="G835"/>
      <c r="H835"/>
      <c r="I835"/>
      <c r="J835"/>
    </row>
    <row r="836" spans="7:10" x14ac:dyDescent="0.3">
      <c r="G836"/>
      <c r="H836"/>
      <c r="I836"/>
      <c r="J836"/>
    </row>
    <row r="837" spans="7:10" x14ac:dyDescent="0.3">
      <c r="G837"/>
      <c r="H837"/>
      <c r="I837"/>
      <c r="J837"/>
    </row>
    <row r="838" spans="7:10" x14ac:dyDescent="0.3">
      <c r="G838"/>
      <c r="H838"/>
      <c r="I838"/>
      <c r="J838"/>
    </row>
    <row r="839" spans="7:10" x14ac:dyDescent="0.3">
      <c r="G839"/>
      <c r="H839"/>
      <c r="I839"/>
      <c r="J839"/>
    </row>
    <row r="840" spans="7:10" x14ac:dyDescent="0.3">
      <c r="G840"/>
      <c r="H840"/>
      <c r="I840"/>
      <c r="J840"/>
    </row>
    <row r="841" spans="7:10" x14ac:dyDescent="0.3">
      <c r="G841"/>
      <c r="H841"/>
      <c r="I841"/>
      <c r="J841"/>
    </row>
    <row r="842" spans="7:10" x14ac:dyDescent="0.3">
      <c r="G842"/>
      <c r="H842"/>
      <c r="I842"/>
      <c r="J842"/>
    </row>
    <row r="843" spans="7:10" x14ac:dyDescent="0.3">
      <c r="G843"/>
      <c r="H843"/>
      <c r="I843"/>
      <c r="J843"/>
    </row>
    <row r="844" spans="7:10" x14ac:dyDescent="0.3">
      <c r="G844"/>
      <c r="H844"/>
      <c r="I844"/>
      <c r="J844"/>
    </row>
    <row r="845" spans="7:10" x14ac:dyDescent="0.3">
      <c r="G845"/>
      <c r="H845"/>
      <c r="I845"/>
      <c r="J845"/>
    </row>
    <row r="846" spans="7:10" x14ac:dyDescent="0.3">
      <c r="G846"/>
      <c r="H846"/>
      <c r="I846"/>
      <c r="J846"/>
    </row>
    <row r="847" spans="7:10" x14ac:dyDescent="0.3">
      <c r="G847"/>
      <c r="H847"/>
      <c r="I847"/>
      <c r="J847"/>
    </row>
    <row r="848" spans="7:10" x14ac:dyDescent="0.3">
      <c r="G848"/>
      <c r="H848"/>
      <c r="I848"/>
      <c r="J848"/>
    </row>
    <row r="849" spans="7:10" x14ac:dyDescent="0.3">
      <c r="G849"/>
      <c r="H849"/>
      <c r="I849"/>
      <c r="J849"/>
    </row>
    <row r="850" spans="7:10" x14ac:dyDescent="0.3">
      <c r="G850"/>
      <c r="H850"/>
      <c r="I850"/>
      <c r="J850"/>
    </row>
    <row r="851" spans="7:10" x14ac:dyDescent="0.3">
      <c r="G851"/>
      <c r="H851"/>
      <c r="I851"/>
      <c r="J851"/>
    </row>
    <row r="852" spans="7:10" x14ac:dyDescent="0.3">
      <c r="G852"/>
      <c r="H852"/>
      <c r="I852"/>
      <c r="J852"/>
    </row>
    <row r="853" spans="7:10" x14ac:dyDescent="0.3">
      <c r="G853"/>
      <c r="H853"/>
      <c r="I853"/>
      <c r="J853"/>
    </row>
    <row r="854" spans="7:10" x14ac:dyDescent="0.3">
      <c r="G854"/>
      <c r="H854"/>
      <c r="I854"/>
      <c r="J854"/>
    </row>
    <row r="855" spans="7:10" x14ac:dyDescent="0.3">
      <c r="G855"/>
      <c r="H855"/>
      <c r="I855"/>
      <c r="J855"/>
    </row>
    <row r="856" spans="7:10" x14ac:dyDescent="0.3">
      <c r="G856"/>
      <c r="H856"/>
      <c r="I856"/>
      <c r="J856"/>
    </row>
    <row r="857" spans="7:10" x14ac:dyDescent="0.3">
      <c r="G857"/>
      <c r="H857"/>
      <c r="I857"/>
      <c r="J857"/>
    </row>
    <row r="858" spans="7:10" x14ac:dyDescent="0.3">
      <c r="G858"/>
      <c r="H858"/>
      <c r="I858"/>
      <c r="J858"/>
    </row>
    <row r="859" spans="7:10" x14ac:dyDescent="0.3">
      <c r="G859"/>
      <c r="H859"/>
      <c r="I859"/>
      <c r="J859"/>
    </row>
    <row r="860" spans="7:10" x14ac:dyDescent="0.3">
      <c r="G860"/>
      <c r="H860"/>
      <c r="I860"/>
      <c r="J860"/>
    </row>
    <row r="861" spans="7:10" x14ac:dyDescent="0.3">
      <c r="G861"/>
      <c r="H861"/>
      <c r="I861"/>
      <c r="J861"/>
    </row>
    <row r="862" spans="7:10" x14ac:dyDescent="0.3">
      <c r="G862"/>
      <c r="H862"/>
      <c r="I862"/>
      <c r="J862"/>
    </row>
    <row r="863" spans="7:10" x14ac:dyDescent="0.3">
      <c r="G863"/>
      <c r="H863"/>
      <c r="I863"/>
      <c r="J863"/>
    </row>
    <row r="864" spans="7:10" x14ac:dyDescent="0.3">
      <c r="G864"/>
      <c r="H864"/>
      <c r="I864"/>
      <c r="J864"/>
    </row>
    <row r="865" spans="7:10" x14ac:dyDescent="0.3">
      <c r="G865"/>
      <c r="H865"/>
      <c r="I865"/>
      <c r="J865"/>
    </row>
    <row r="866" spans="7:10" x14ac:dyDescent="0.3">
      <c r="G866"/>
      <c r="H866"/>
      <c r="I866"/>
      <c r="J866"/>
    </row>
    <row r="867" spans="7:10" x14ac:dyDescent="0.3">
      <c r="G867"/>
      <c r="H867"/>
      <c r="I867"/>
      <c r="J867"/>
    </row>
    <row r="868" spans="7:10" x14ac:dyDescent="0.3">
      <c r="G868"/>
      <c r="H868"/>
      <c r="I868"/>
      <c r="J868"/>
    </row>
    <row r="869" spans="7:10" x14ac:dyDescent="0.3">
      <c r="G869"/>
      <c r="H869"/>
      <c r="I869"/>
      <c r="J869"/>
    </row>
    <row r="870" spans="7:10" x14ac:dyDescent="0.3">
      <c r="G870"/>
      <c r="H870"/>
      <c r="I870"/>
      <c r="J870"/>
    </row>
    <row r="871" spans="7:10" x14ac:dyDescent="0.3">
      <c r="G871"/>
      <c r="H871"/>
      <c r="I871"/>
      <c r="J871"/>
    </row>
    <row r="872" spans="7:10" x14ac:dyDescent="0.3">
      <c r="G872"/>
      <c r="H872"/>
      <c r="I872"/>
      <c r="J872"/>
    </row>
    <row r="873" spans="7:10" x14ac:dyDescent="0.3">
      <c r="G873"/>
      <c r="H873"/>
      <c r="I873"/>
      <c r="J873"/>
    </row>
    <row r="874" spans="7:10" x14ac:dyDescent="0.3">
      <c r="G874"/>
      <c r="H874"/>
      <c r="I874"/>
      <c r="J874"/>
    </row>
    <row r="875" spans="7:10" x14ac:dyDescent="0.3">
      <c r="G875"/>
      <c r="H875"/>
      <c r="I875"/>
      <c r="J875"/>
    </row>
    <row r="876" spans="7:10" x14ac:dyDescent="0.3">
      <c r="G876"/>
      <c r="H876"/>
      <c r="I876"/>
      <c r="J876"/>
    </row>
    <row r="877" spans="7:10" x14ac:dyDescent="0.3">
      <c r="G877"/>
      <c r="H877"/>
      <c r="I877"/>
      <c r="J877"/>
    </row>
    <row r="878" spans="7:10" x14ac:dyDescent="0.3">
      <c r="G878"/>
      <c r="H878"/>
      <c r="I878"/>
      <c r="J878"/>
    </row>
    <row r="879" spans="7:10" x14ac:dyDescent="0.3">
      <c r="G879"/>
      <c r="H879"/>
      <c r="I879"/>
      <c r="J879"/>
    </row>
    <row r="880" spans="7:10" x14ac:dyDescent="0.3">
      <c r="G880"/>
      <c r="H880"/>
      <c r="I880"/>
      <c r="J880"/>
    </row>
    <row r="881" spans="7:10" x14ac:dyDescent="0.3">
      <c r="G881"/>
      <c r="H881"/>
      <c r="I881"/>
      <c r="J881"/>
    </row>
    <row r="882" spans="7:10" x14ac:dyDescent="0.3">
      <c r="G882"/>
      <c r="H882"/>
      <c r="I882"/>
      <c r="J882"/>
    </row>
    <row r="883" spans="7:10" x14ac:dyDescent="0.3">
      <c r="G883"/>
      <c r="H883"/>
      <c r="I883"/>
      <c r="J883"/>
    </row>
    <row r="884" spans="7:10" x14ac:dyDescent="0.3">
      <c r="G884"/>
      <c r="H884"/>
      <c r="I884"/>
      <c r="J884"/>
    </row>
    <row r="885" spans="7:10" x14ac:dyDescent="0.3">
      <c r="G885"/>
      <c r="H885"/>
      <c r="I885"/>
      <c r="J885"/>
    </row>
    <row r="886" spans="7:10" x14ac:dyDescent="0.3">
      <c r="G886"/>
      <c r="H886"/>
      <c r="I886"/>
      <c r="J886"/>
    </row>
    <row r="887" spans="7:10" x14ac:dyDescent="0.3">
      <c r="G887"/>
      <c r="H887"/>
      <c r="I887"/>
      <c r="J887"/>
    </row>
    <row r="888" spans="7:10" x14ac:dyDescent="0.3">
      <c r="G888"/>
      <c r="H888"/>
      <c r="I888"/>
      <c r="J888"/>
    </row>
    <row r="889" spans="7:10" x14ac:dyDescent="0.3">
      <c r="G889"/>
      <c r="H889"/>
      <c r="I889"/>
      <c r="J889"/>
    </row>
    <row r="890" spans="7:10" x14ac:dyDescent="0.3">
      <c r="G890"/>
      <c r="H890"/>
      <c r="I890"/>
      <c r="J890"/>
    </row>
    <row r="891" spans="7:10" x14ac:dyDescent="0.3">
      <c r="G891"/>
      <c r="H891"/>
      <c r="I891"/>
      <c r="J891"/>
    </row>
    <row r="892" spans="7:10" x14ac:dyDescent="0.3">
      <c r="G892"/>
      <c r="H892"/>
      <c r="I892"/>
      <c r="J892"/>
    </row>
    <row r="893" spans="7:10" x14ac:dyDescent="0.3">
      <c r="G893"/>
      <c r="H893"/>
      <c r="I893"/>
      <c r="J893"/>
    </row>
    <row r="894" spans="7:10" x14ac:dyDescent="0.3">
      <c r="G894"/>
      <c r="H894"/>
      <c r="I894"/>
      <c r="J894"/>
    </row>
    <row r="895" spans="7:10" x14ac:dyDescent="0.3">
      <c r="G895"/>
      <c r="H895"/>
      <c r="I895"/>
      <c r="J895"/>
    </row>
    <row r="896" spans="7:10" x14ac:dyDescent="0.3">
      <c r="G896"/>
      <c r="H896"/>
      <c r="I896"/>
      <c r="J896"/>
    </row>
    <row r="897" spans="7:10" x14ac:dyDescent="0.3">
      <c r="G897"/>
      <c r="H897"/>
      <c r="I897"/>
      <c r="J897"/>
    </row>
    <row r="898" spans="7:10" x14ac:dyDescent="0.3">
      <c r="G898"/>
      <c r="H898"/>
      <c r="I898"/>
      <c r="J898"/>
    </row>
    <row r="899" spans="7:10" x14ac:dyDescent="0.3">
      <c r="G899"/>
      <c r="H899"/>
      <c r="I899"/>
      <c r="J899"/>
    </row>
    <row r="900" spans="7:10" x14ac:dyDescent="0.3">
      <c r="G900"/>
      <c r="H900"/>
      <c r="I900"/>
      <c r="J900"/>
    </row>
    <row r="901" spans="7:10" x14ac:dyDescent="0.3">
      <c r="G901"/>
      <c r="H901"/>
      <c r="I901"/>
      <c r="J901"/>
    </row>
    <row r="902" spans="7:10" x14ac:dyDescent="0.3">
      <c r="G902"/>
      <c r="H902"/>
      <c r="I902"/>
      <c r="J902"/>
    </row>
    <row r="903" spans="7:10" x14ac:dyDescent="0.3">
      <c r="G903"/>
      <c r="H903"/>
      <c r="I903"/>
      <c r="J903"/>
    </row>
    <row r="904" spans="7:10" x14ac:dyDescent="0.3">
      <c r="G904"/>
      <c r="H904"/>
      <c r="I904"/>
      <c r="J904"/>
    </row>
    <row r="905" spans="7:10" x14ac:dyDescent="0.3">
      <c r="G905"/>
      <c r="H905"/>
      <c r="I905"/>
      <c r="J905"/>
    </row>
    <row r="906" spans="7:10" x14ac:dyDescent="0.3">
      <c r="G906"/>
      <c r="H906"/>
      <c r="I906"/>
      <c r="J906"/>
    </row>
    <row r="907" spans="7:10" x14ac:dyDescent="0.3">
      <c r="G907"/>
      <c r="H907"/>
      <c r="I907"/>
      <c r="J907"/>
    </row>
    <row r="908" spans="7:10" x14ac:dyDescent="0.3">
      <c r="G908"/>
      <c r="H908"/>
      <c r="I908"/>
      <c r="J908"/>
    </row>
    <row r="909" spans="7:10" x14ac:dyDescent="0.3">
      <c r="G909"/>
      <c r="H909"/>
      <c r="I909"/>
      <c r="J909"/>
    </row>
    <row r="910" spans="7:10" x14ac:dyDescent="0.3">
      <c r="G910"/>
      <c r="H910"/>
      <c r="I910"/>
      <c r="J910"/>
    </row>
    <row r="911" spans="7:10" x14ac:dyDescent="0.3">
      <c r="G911"/>
      <c r="H911"/>
      <c r="I911"/>
      <c r="J911"/>
    </row>
    <row r="912" spans="7:10" x14ac:dyDescent="0.3">
      <c r="G912"/>
      <c r="H912"/>
      <c r="I912"/>
      <c r="J912"/>
    </row>
    <row r="913" spans="7:10" x14ac:dyDescent="0.3">
      <c r="G913"/>
      <c r="H913"/>
      <c r="I913"/>
      <c r="J913"/>
    </row>
    <row r="914" spans="7:10" x14ac:dyDescent="0.3">
      <c r="G914"/>
      <c r="H914"/>
      <c r="I914"/>
      <c r="J914"/>
    </row>
    <row r="915" spans="7:10" x14ac:dyDescent="0.3">
      <c r="G915"/>
      <c r="H915"/>
      <c r="I915"/>
      <c r="J915"/>
    </row>
    <row r="916" spans="7:10" x14ac:dyDescent="0.3">
      <c r="G916"/>
      <c r="H916"/>
      <c r="I916"/>
      <c r="J916"/>
    </row>
    <row r="917" spans="7:10" x14ac:dyDescent="0.3">
      <c r="G917"/>
      <c r="H917"/>
      <c r="I917"/>
      <c r="J917"/>
    </row>
    <row r="918" spans="7:10" x14ac:dyDescent="0.3">
      <c r="G918"/>
      <c r="H918"/>
      <c r="I918"/>
      <c r="J918"/>
    </row>
    <row r="919" spans="7:10" x14ac:dyDescent="0.3">
      <c r="G919"/>
      <c r="H919"/>
      <c r="I919"/>
      <c r="J919"/>
    </row>
    <row r="920" spans="7:10" x14ac:dyDescent="0.3">
      <c r="G920"/>
      <c r="H920"/>
      <c r="I920"/>
      <c r="J920"/>
    </row>
    <row r="921" spans="7:10" x14ac:dyDescent="0.3">
      <c r="G921"/>
      <c r="H921"/>
      <c r="I921"/>
      <c r="J921"/>
    </row>
    <row r="922" spans="7:10" x14ac:dyDescent="0.3">
      <c r="G922"/>
      <c r="H922"/>
      <c r="I922"/>
      <c r="J922"/>
    </row>
    <row r="923" spans="7:10" x14ac:dyDescent="0.3">
      <c r="G923"/>
      <c r="H923"/>
      <c r="I923"/>
      <c r="J923"/>
    </row>
    <row r="924" spans="7:10" x14ac:dyDescent="0.3">
      <c r="G924"/>
      <c r="H924"/>
      <c r="I924"/>
      <c r="J924"/>
    </row>
    <row r="925" spans="7:10" x14ac:dyDescent="0.3">
      <c r="G925"/>
      <c r="H925"/>
      <c r="I925"/>
      <c r="J925"/>
    </row>
    <row r="926" spans="7:10" x14ac:dyDescent="0.3">
      <c r="G926"/>
      <c r="H926"/>
      <c r="I926"/>
      <c r="J926"/>
    </row>
    <row r="927" spans="7:10" x14ac:dyDescent="0.3">
      <c r="G927"/>
      <c r="H927"/>
      <c r="I927"/>
      <c r="J927"/>
    </row>
    <row r="928" spans="7:10" x14ac:dyDescent="0.3">
      <c r="G928"/>
      <c r="H928"/>
      <c r="I928"/>
      <c r="J928"/>
    </row>
    <row r="929" spans="7:10" x14ac:dyDescent="0.3">
      <c r="G929"/>
      <c r="H929"/>
      <c r="I929"/>
      <c r="J929"/>
    </row>
    <row r="930" spans="7:10" x14ac:dyDescent="0.3">
      <c r="G930"/>
      <c r="H930"/>
      <c r="I930"/>
      <c r="J930"/>
    </row>
    <row r="931" spans="7:10" x14ac:dyDescent="0.3">
      <c r="G931"/>
      <c r="H931"/>
      <c r="I931"/>
      <c r="J931"/>
    </row>
    <row r="932" spans="7:10" x14ac:dyDescent="0.3">
      <c r="G932"/>
      <c r="H932"/>
      <c r="I932"/>
      <c r="J932"/>
    </row>
    <row r="933" spans="7:10" x14ac:dyDescent="0.3">
      <c r="G933"/>
      <c r="H933"/>
      <c r="I933"/>
      <c r="J933"/>
    </row>
    <row r="934" spans="7:10" x14ac:dyDescent="0.3">
      <c r="G934"/>
      <c r="H934"/>
      <c r="I934"/>
      <c r="J934"/>
    </row>
    <row r="935" spans="7:10" x14ac:dyDescent="0.3">
      <c r="G935"/>
      <c r="H935"/>
      <c r="I935"/>
      <c r="J935"/>
    </row>
    <row r="936" spans="7:10" x14ac:dyDescent="0.3">
      <c r="G936"/>
      <c r="H936"/>
      <c r="I936"/>
      <c r="J936"/>
    </row>
    <row r="937" spans="7:10" x14ac:dyDescent="0.3">
      <c r="G937"/>
      <c r="H937"/>
      <c r="I937"/>
      <c r="J937"/>
    </row>
    <row r="938" spans="7:10" x14ac:dyDescent="0.3">
      <c r="G938"/>
      <c r="H938"/>
      <c r="I938"/>
      <c r="J938"/>
    </row>
    <row r="939" spans="7:10" x14ac:dyDescent="0.3">
      <c r="G939"/>
      <c r="H939"/>
      <c r="I939"/>
      <c r="J939"/>
    </row>
    <row r="940" spans="7:10" x14ac:dyDescent="0.3">
      <c r="G940"/>
      <c r="H940"/>
      <c r="I940"/>
      <c r="J940"/>
    </row>
    <row r="941" spans="7:10" x14ac:dyDescent="0.3">
      <c r="G941"/>
      <c r="H941"/>
      <c r="I941"/>
      <c r="J941"/>
    </row>
    <row r="942" spans="7:10" x14ac:dyDescent="0.3">
      <c r="G942"/>
      <c r="H942"/>
      <c r="I942"/>
      <c r="J942"/>
    </row>
    <row r="943" spans="7:10" x14ac:dyDescent="0.3">
      <c r="G943"/>
      <c r="H943"/>
      <c r="I943"/>
      <c r="J943"/>
    </row>
    <row r="944" spans="7:10" x14ac:dyDescent="0.3">
      <c r="G944"/>
      <c r="H944"/>
      <c r="I944"/>
      <c r="J944"/>
    </row>
    <row r="945" spans="7:10" x14ac:dyDescent="0.3">
      <c r="G945"/>
      <c r="H945"/>
      <c r="I945"/>
      <c r="J945"/>
    </row>
    <row r="946" spans="7:10" x14ac:dyDescent="0.3">
      <c r="G946"/>
      <c r="H946"/>
      <c r="I946"/>
      <c r="J946"/>
    </row>
    <row r="947" spans="7:10" x14ac:dyDescent="0.3">
      <c r="G947"/>
      <c r="H947"/>
      <c r="I947"/>
      <c r="J947"/>
    </row>
    <row r="948" spans="7:10" x14ac:dyDescent="0.3">
      <c r="G948"/>
      <c r="H948"/>
      <c r="I948"/>
      <c r="J948"/>
    </row>
    <row r="949" spans="7:10" x14ac:dyDescent="0.3">
      <c r="G949"/>
      <c r="H949"/>
      <c r="I949"/>
      <c r="J949"/>
    </row>
    <row r="950" spans="7:10" x14ac:dyDescent="0.3">
      <c r="G950"/>
      <c r="H950"/>
      <c r="I950"/>
      <c r="J950"/>
    </row>
    <row r="951" spans="7:10" x14ac:dyDescent="0.3">
      <c r="G951"/>
      <c r="H951"/>
      <c r="I951"/>
      <c r="J951"/>
    </row>
    <row r="952" spans="7:10" x14ac:dyDescent="0.3">
      <c r="G952"/>
      <c r="H952"/>
      <c r="I952"/>
      <c r="J952"/>
    </row>
    <row r="953" spans="7:10" x14ac:dyDescent="0.3">
      <c r="G953"/>
      <c r="H953"/>
      <c r="I953"/>
      <c r="J953"/>
    </row>
    <row r="954" spans="7:10" x14ac:dyDescent="0.3">
      <c r="G954"/>
      <c r="H954"/>
      <c r="I954"/>
      <c r="J954"/>
    </row>
    <row r="955" spans="7:10" x14ac:dyDescent="0.3">
      <c r="G955"/>
      <c r="H955"/>
      <c r="I955"/>
      <c r="J955"/>
    </row>
    <row r="956" spans="7:10" x14ac:dyDescent="0.3">
      <c r="G956"/>
      <c r="H956"/>
      <c r="I956"/>
      <c r="J956"/>
    </row>
    <row r="957" spans="7:10" x14ac:dyDescent="0.3">
      <c r="G957"/>
      <c r="H957"/>
      <c r="I957"/>
      <c r="J957"/>
    </row>
    <row r="958" spans="7:10" x14ac:dyDescent="0.3">
      <c r="G958"/>
      <c r="H958"/>
      <c r="I958"/>
      <c r="J958"/>
    </row>
    <row r="959" spans="7:10" x14ac:dyDescent="0.3">
      <c r="G959"/>
      <c r="H959"/>
      <c r="I959"/>
      <c r="J959"/>
    </row>
    <row r="960" spans="7:10" x14ac:dyDescent="0.3">
      <c r="G960"/>
      <c r="H960"/>
      <c r="I960"/>
      <c r="J960"/>
    </row>
    <row r="961" spans="7:10" x14ac:dyDescent="0.3">
      <c r="G961"/>
      <c r="H961"/>
      <c r="I961"/>
      <c r="J961"/>
    </row>
    <row r="962" spans="7:10" x14ac:dyDescent="0.3">
      <c r="G962"/>
      <c r="H962"/>
      <c r="I962"/>
      <c r="J962"/>
    </row>
    <row r="963" spans="7:10" x14ac:dyDescent="0.3">
      <c r="G963"/>
      <c r="H963"/>
      <c r="I963"/>
      <c r="J963"/>
    </row>
    <row r="964" spans="7:10" x14ac:dyDescent="0.3">
      <c r="G964"/>
      <c r="H964"/>
      <c r="I964"/>
      <c r="J964"/>
    </row>
    <row r="965" spans="7:10" x14ac:dyDescent="0.3">
      <c r="G965"/>
      <c r="H965"/>
      <c r="I965"/>
      <c r="J965"/>
    </row>
    <row r="966" spans="7:10" x14ac:dyDescent="0.3">
      <c r="G966"/>
      <c r="H966"/>
      <c r="I966"/>
      <c r="J966"/>
    </row>
    <row r="967" spans="7:10" x14ac:dyDescent="0.3">
      <c r="G967"/>
      <c r="H967"/>
      <c r="I967"/>
      <c r="J967"/>
    </row>
    <row r="968" spans="7:10" x14ac:dyDescent="0.3">
      <c r="G968"/>
      <c r="H968"/>
      <c r="I968"/>
      <c r="J968"/>
    </row>
    <row r="969" spans="7:10" x14ac:dyDescent="0.3">
      <c r="G969"/>
      <c r="H969"/>
      <c r="I969"/>
      <c r="J969"/>
    </row>
    <row r="970" spans="7:10" x14ac:dyDescent="0.3">
      <c r="G970"/>
      <c r="H970"/>
      <c r="I970"/>
      <c r="J970"/>
    </row>
    <row r="971" spans="7:10" x14ac:dyDescent="0.3">
      <c r="G971"/>
      <c r="H971"/>
      <c r="I971"/>
      <c r="J971"/>
    </row>
    <row r="972" spans="7:10" x14ac:dyDescent="0.3">
      <c r="G972"/>
      <c r="H972"/>
      <c r="I972"/>
      <c r="J972"/>
    </row>
    <row r="973" spans="7:10" x14ac:dyDescent="0.3">
      <c r="G973"/>
      <c r="H973"/>
      <c r="I973"/>
      <c r="J973"/>
    </row>
    <row r="974" spans="7:10" x14ac:dyDescent="0.3">
      <c r="G974"/>
      <c r="H974"/>
      <c r="I974"/>
      <c r="J974"/>
    </row>
    <row r="975" spans="7:10" x14ac:dyDescent="0.3">
      <c r="G975"/>
      <c r="H975"/>
      <c r="I975"/>
      <c r="J975"/>
    </row>
    <row r="976" spans="7:10" x14ac:dyDescent="0.3">
      <c r="G976"/>
      <c r="H976"/>
      <c r="I976"/>
      <c r="J976"/>
    </row>
    <row r="977" spans="7:10" x14ac:dyDescent="0.3">
      <c r="G977"/>
      <c r="H977"/>
      <c r="I977"/>
      <c r="J977"/>
    </row>
    <row r="978" spans="7:10" x14ac:dyDescent="0.3">
      <c r="G978"/>
      <c r="H978"/>
      <c r="I978"/>
      <c r="J978"/>
    </row>
    <row r="979" spans="7:10" x14ac:dyDescent="0.3">
      <c r="G979"/>
      <c r="H979"/>
      <c r="I979"/>
      <c r="J979"/>
    </row>
    <row r="980" spans="7:10" x14ac:dyDescent="0.3">
      <c r="G980"/>
      <c r="H980"/>
      <c r="I980"/>
      <c r="J980"/>
    </row>
    <row r="981" spans="7:10" x14ac:dyDescent="0.3">
      <c r="G981"/>
      <c r="H981"/>
      <c r="I981"/>
      <c r="J981"/>
    </row>
    <row r="982" spans="7:10" x14ac:dyDescent="0.3">
      <c r="G982"/>
      <c r="H982"/>
      <c r="I982"/>
      <c r="J982"/>
    </row>
    <row r="983" spans="7:10" x14ac:dyDescent="0.3">
      <c r="G983"/>
      <c r="H983"/>
      <c r="I983"/>
      <c r="J983"/>
    </row>
    <row r="984" spans="7:10" x14ac:dyDescent="0.3">
      <c r="G984"/>
      <c r="H984"/>
      <c r="I984"/>
      <c r="J984"/>
    </row>
    <row r="985" spans="7:10" x14ac:dyDescent="0.3">
      <c r="G985"/>
      <c r="H985"/>
      <c r="I985"/>
      <c r="J985"/>
    </row>
    <row r="986" spans="7:10" x14ac:dyDescent="0.3">
      <c r="G986"/>
      <c r="H986"/>
      <c r="I986"/>
      <c r="J986"/>
    </row>
    <row r="987" spans="7:10" x14ac:dyDescent="0.3">
      <c r="G987"/>
      <c r="H987"/>
      <c r="I987"/>
      <c r="J987"/>
    </row>
    <row r="988" spans="7:10" x14ac:dyDescent="0.3">
      <c r="G988"/>
      <c r="H988"/>
      <c r="I988"/>
      <c r="J988"/>
    </row>
    <row r="989" spans="7:10" x14ac:dyDescent="0.3">
      <c r="G989"/>
      <c r="H989"/>
      <c r="I989"/>
      <c r="J989"/>
    </row>
    <row r="990" spans="7:10" x14ac:dyDescent="0.3">
      <c r="G990"/>
      <c r="H990"/>
      <c r="I990"/>
      <c r="J990"/>
    </row>
    <row r="991" spans="7:10" x14ac:dyDescent="0.3">
      <c r="G991"/>
      <c r="H991"/>
      <c r="I991"/>
      <c r="J991"/>
    </row>
    <row r="992" spans="7:10" x14ac:dyDescent="0.3">
      <c r="G992"/>
      <c r="H992"/>
      <c r="I992"/>
      <c r="J992"/>
    </row>
    <row r="993" spans="7:10" x14ac:dyDescent="0.3">
      <c r="G993"/>
      <c r="H993"/>
      <c r="I993"/>
      <c r="J993"/>
    </row>
    <row r="994" spans="7:10" x14ac:dyDescent="0.3">
      <c r="G994"/>
      <c r="H994"/>
      <c r="I994"/>
      <c r="J994"/>
    </row>
    <row r="995" spans="7:10" x14ac:dyDescent="0.3">
      <c r="G995"/>
      <c r="H995"/>
      <c r="I995"/>
      <c r="J995"/>
    </row>
    <row r="996" spans="7:10" x14ac:dyDescent="0.3">
      <c r="G996"/>
      <c r="H996"/>
      <c r="I996"/>
      <c r="J996"/>
    </row>
    <row r="997" spans="7:10" x14ac:dyDescent="0.3">
      <c r="G997"/>
      <c r="H997"/>
      <c r="I997"/>
      <c r="J997"/>
    </row>
    <row r="998" spans="7:10" x14ac:dyDescent="0.3">
      <c r="G998"/>
      <c r="H998"/>
      <c r="I998"/>
      <c r="J998"/>
    </row>
    <row r="999" spans="7:10" x14ac:dyDescent="0.3">
      <c r="G999"/>
      <c r="H999"/>
      <c r="I999"/>
      <c r="J999"/>
    </row>
    <row r="1000" spans="7:10" x14ac:dyDescent="0.3">
      <c r="G1000"/>
      <c r="H1000"/>
      <c r="I1000"/>
      <c r="J1000"/>
    </row>
    <row r="1001" spans="7:10" x14ac:dyDescent="0.3">
      <c r="G1001"/>
      <c r="H1001"/>
      <c r="I1001"/>
      <c r="J1001"/>
    </row>
    <row r="1002" spans="7:10" x14ac:dyDescent="0.3">
      <c r="G1002"/>
      <c r="H1002"/>
      <c r="I1002"/>
      <c r="J1002"/>
    </row>
    <row r="1003" spans="7:10" x14ac:dyDescent="0.3">
      <c r="G1003"/>
      <c r="H1003"/>
      <c r="I1003"/>
      <c r="J1003"/>
    </row>
    <row r="1004" spans="7:10" x14ac:dyDescent="0.3">
      <c r="G1004"/>
      <c r="H1004"/>
      <c r="I1004"/>
      <c r="J1004"/>
    </row>
    <row r="1005" spans="7:10" x14ac:dyDescent="0.3">
      <c r="G1005"/>
      <c r="H1005"/>
      <c r="I1005"/>
      <c r="J1005"/>
    </row>
    <row r="1006" spans="7:10" x14ac:dyDescent="0.3">
      <c r="G1006"/>
      <c r="H1006"/>
      <c r="I1006"/>
      <c r="J1006"/>
    </row>
    <row r="1007" spans="7:10" x14ac:dyDescent="0.3">
      <c r="G1007"/>
      <c r="H1007"/>
      <c r="I1007"/>
      <c r="J1007"/>
    </row>
    <row r="1008" spans="7:10" x14ac:dyDescent="0.3">
      <c r="G1008"/>
      <c r="H1008"/>
      <c r="I1008"/>
      <c r="J1008"/>
    </row>
    <row r="1009" spans="7:10" x14ac:dyDescent="0.3">
      <c r="G1009"/>
      <c r="H1009"/>
      <c r="I1009"/>
      <c r="J1009"/>
    </row>
    <row r="1010" spans="7:10" x14ac:dyDescent="0.3">
      <c r="G1010"/>
      <c r="H1010"/>
      <c r="I1010"/>
      <c r="J1010"/>
    </row>
    <row r="1011" spans="7:10" x14ac:dyDescent="0.3">
      <c r="G1011"/>
      <c r="H1011"/>
      <c r="I1011"/>
      <c r="J1011"/>
    </row>
    <row r="1012" spans="7:10" x14ac:dyDescent="0.3">
      <c r="G1012"/>
      <c r="H1012"/>
      <c r="I1012"/>
      <c r="J1012"/>
    </row>
    <row r="1013" spans="7:10" x14ac:dyDescent="0.3">
      <c r="G1013"/>
      <c r="H1013"/>
      <c r="I1013"/>
    </row>
    <row r="1014" spans="7:10" x14ac:dyDescent="0.3">
      <c r="G1014"/>
      <c r="H1014"/>
      <c r="I1014"/>
    </row>
    <row r="1015" spans="7:10" x14ac:dyDescent="0.3">
      <c r="G1015"/>
      <c r="H1015"/>
      <c r="I1015"/>
    </row>
    <row r="1016" spans="7:10" x14ac:dyDescent="0.3">
      <c r="G1016"/>
      <c r="H1016"/>
      <c r="I1016"/>
    </row>
    <row r="1017" spans="7:10" x14ac:dyDescent="0.3">
      <c r="G1017"/>
      <c r="H1017"/>
      <c r="I1017"/>
    </row>
    <row r="1018" spans="7:10" x14ac:dyDescent="0.3">
      <c r="G1018"/>
      <c r="H1018"/>
      <c r="I1018"/>
    </row>
    <row r="1019" spans="7:10" x14ac:dyDescent="0.3">
      <c r="G1019"/>
      <c r="H1019"/>
      <c r="I1019"/>
    </row>
    <row r="1020" spans="7:10" x14ac:dyDescent="0.3">
      <c r="G1020"/>
      <c r="H1020"/>
      <c r="I1020"/>
    </row>
    <row r="1021" spans="7:10" x14ac:dyDescent="0.3">
      <c r="G1021"/>
      <c r="H1021"/>
      <c r="I1021"/>
    </row>
    <row r="1022" spans="7:10" x14ac:dyDescent="0.3">
      <c r="G1022"/>
      <c r="H1022"/>
      <c r="I1022"/>
    </row>
    <row r="1023" spans="7:10" x14ac:dyDescent="0.3">
      <c r="G1023"/>
      <c r="H1023"/>
      <c r="I1023"/>
    </row>
    <row r="1024" spans="7:10" x14ac:dyDescent="0.3">
      <c r="G1024"/>
      <c r="H1024"/>
      <c r="I1024"/>
    </row>
    <row r="1025" spans="7:9" x14ac:dyDescent="0.3">
      <c r="G1025"/>
      <c r="H1025"/>
      <c r="I1025"/>
    </row>
    <row r="1026" spans="7:9" x14ac:dyDescent="0.3">
      <c r="G1026"/>
      <c r="H1026"/>
      <c r="I1026"/>
    </row>
    <row r="1027" spans="7:9" x14ac:dyDescent="0.3">
      <c r="G1027"/>
      <c r="H1027"/>
      <c r="I1027"/>
    </row>
    <row r="1028" spans="7:9" x14ac:dyDescent="0.3">
      <c r="G1028"/>
      <c r="H1028"/>
      <c r="I1028"/>
    </row>
    <row r="1029" spans="7:9" x14ac:dyDescent="0.3">
      <c r="G1029"/>
      <c r="H1029"/>
      <c r="I1029"/>
    </row>
    <row r="1030" spans="7:9" x14ac:dyDescent="0.3">
      <c r="G1030"/>
      <c r="H1030"/>
      <c r="I1030"/>
    </row>
    <row r="1031" spans="7:9" x14ac:dyDescent="0.3">
      <c r="G1031"/>
      <c r="H1031"/>
      <c r="I1031"/>
    </row>
    <row r="1032" spans="7:9" x14ac:dyDescent="0.3">
      <c r="G1032"/>
      <c r="H1032"/>
      <c r="I1032"/>
    </row>
    <row r="1033" spans="7:9" x14ac:dyDescent="0.3">
      <c r="G1033"/>
      <c r="H1033"/>
      <c r="I1033"/>
    </row>
    <row r="1034" spans="7:9" x14ac:dyDescent="0.3">
      <c r="G1034"/>
      <c r="H1034"/>
      <c r="I1034"/>
    </row>
    <row r="1035" spans="7:9" x14ac:dyDescent="0.3">
      <c r="G1035"/>
      <c r="H1035"/>
      <c r="I1035"/>
    </row>
    <row r="1036" spans="7:9" x14ac:dyDescent="0.3">
      <c r="G1036"/>
      <c r="H1036"/>
      <c r="I1036"/>
    </row>
    <row r="1037" spans="7:9" x14ac:dyDescent="0.3">
      <c r="G1037"/>
      <c r="H1037"/>
      <c r="I1037"/>
    </row>
    <row r="1038" spans="7:9" x14ac:dyDescent="0.3">
      <c r="G1038"/>
      <c r="H1038"/>
      <c r="I1038"/>
    </row>
    <row r="1039" spans="7:9" x14ac:dyDescent="0.3">
      <c r="G1039"/>
      <c r="H1039"/>
      <c r="I1039"/>
    </row>
    <row r="1040" spans="7:9" x14ac:dyDescent="0.3">
      <c r="G1040"/>
      <c r="H1040"/>
      <c r="I1040"/>
    </row>
    <row r="1041" spans="7:9" x14ac:dyDescent="0.3">
      <c r="G1041"/>
      <c r="H1041"/>
      <c r="I1041"/>
    </row>
    <row r="1042" spans="7:9" x14ac:dyDescent="0.3">
      <c r="G1042"/>
      <c r="H1042"/>
      <c r="I1042"/>
    </row>
    <row r="1043" spans="7:9" x14ac:dyDescent="0.3">
      <c r="G1043"/>
      <c r="H1043"/>
      <c r="I1043"/>
    </row>
    <row r="1044" spans="7:9" x14ac:dyDescent="0.3">
      <c r="G1044"/>
      <c r="H1044"/>
      <c r="I1044"/>
    </row>
    <row r="1045" spans="7:9" x14ac:dyDescent="0.3">
      <c r="G1045"/>
      <c r="H1045"/>
      <c r="I1045"/>
    </row>
    <row r="1046" spans="7:9" x14ac:dyDescent="0.3">
      <c r="G1046"/>
      <c r="H1046"/>
      <c r="I1046"/>
    </row>
    <row r="1047" spans="7:9" x14ac:dyDescent="0.3">
      <c r="G1047"/>
      <c r="H1047"/>
      <c r="I1047"/>
    </row>
    <row r="1048" spans="7:9" x14ac:dyDescent="0.3">
      <c r="G1048"/>
      <c r="H1048"/>
      <c r="I1048"/>
    </row>
    <row r="1049" spans="7:9" x14ac:dyDescent="0.3">
      <c r="G1049"/>
      <c r="H1049"/>
      <c r="I1049"/>
    </row>
    <row r="1050" spans="7:9" x14ac:dyDescent="0.3">
      <c r="G1050"/>
      <c r="H1050"/>
      <c r="I1050"/>
    </row>
    <row r="1051" spans="7:9" x14ac:dyDescent="0.3">
      <c r="G1051"/>
      <c r="H1051"/>
      <c r="I1051"/>
    </row>
    <row r="1052" spans="7:9" x14ac:dyDescent="0.3">
      <c r="G1052"/>
      <c r="H1052"/>
      <c r="I1052"/>
    </row>
    <row r="1053" spans="7:9" x14ac:dyDescent="0.3">
      <c r="G1053"/>
      <c r="H1053"/>
      <c r="I1053"/>
    </row>
    <row r="1054" spans="7:9" x14ac:dyDescent="0.3">
      <c r="G1054"/>
      <c r="H1054"/>
      <c r="I1054"/>
    </row>
    <row r="1055" spans="7:9" x14ac:dyDescent="0.3">
      <c r="G1055"/>
      <c r="H1055"/>
      <c r="I1055"/>
    </row>
    <row r="1056" spans="7:9" x14ac:dyDescent="0.3">
      <c r="G1056"/>
      <c r="H1056"/>
      <c r="I1056"/>
    </row>
    <row r="1057" spans="7:9" x14ac:dyDescent="0.3">
      <c r="G1057"/>
      <c r="H1057"/>
      <c r="I1057"/>
    </row>
    <row r="1058" spans="7:9" x14ac:dyDescent="0.3">
      <c r="G1058"/>
      <c r="H1058"/>
      <c r="I1058"/>
    </row>
    <row r="1059" spans="7:9" x14ac:dyDescent="0.3">
      <c r="G1059"/>
      <c r="H1059"/>
      <c r="I1059"/>
    </row>
    <row r="1060" spans="7:9" x14ac:dyDescent="0.3">
      <c r="G1060"/>
      <c r="H1060"/>
      <c r="I1060"/>
    </row>
    <row r="1061" spans="7:9" x14ac:dyDescent="0.3">
      <c r="G1061"/>
      <c r="H1061"/>
      <c r="I1061"/>
    </row>
    <row r="1062" spans="7:9" x14ac:dyDescent="0.3">
      <c r="G1062"/>
      <c r="H1062"/>
      <c r="I1062"/>
    </row>
    <row r="1063" spans="7:9" x14ac:dyDescent="0.3">
      <c r="G1063"/>
      <c r="H1063"/>
      <c r="I1063"/>
    </row>
    <row r="1064" spans="7:9" x14ac:dyDescent="0.3">
      <c r="G1064"/>
      <c r="H1064"/>
      <c r="I1064"/>
    </row>
    <row r="1065" spans="7:9" x14ac:dyDescent="0.3">
      <c r="G1065"/>
      <c r="H1065"/>
      <c r="I1065"/>
    </row>
    <row r="1066" spans="7:9" x14ac:dyDescent="0.3">
      <c r="G1066"/>
      <c r="H1066"/>
      <c r="I1066"/>
    </row>
    <row r="1067" spans="7:9" x14ac:dyDescent="0.3">
      <c r="G1067"/>
      <c r="H1067"/>
      <c r="I1067"/>
    </row>
    <row r="1068" spans="7:9" x14ac:dyDescent="0.3">
      <c r="G1068"/>
      <c r="H1068"/>
      <c r="I1068"/>
    </row>
    <row r="1069" spans="7:9" x14ac:dyDescent="0.3">
      <c r="G1069"/>
      <c r="H1069"/>
      <c r="I1069"/>
    </row>
    <row r="1070" spans="7:9" x14ac:dyDescent="0.3">
      <c r="G1070"/>
      <c r="H1070"/>
      <c r="I1070"/>
    </row>
    <row r="1071" spans="7:9" x14ac:dyDescent="0.3">
      <c r="G1071"/>
      <c r="H1071"/>
      <c r="I1071"/>
    </row>
    <row r="1072" spans="7:9" x14ac:dyDescent="0.3">
      <c r="G1072"/>
      <c r="H1072"/>
      <c r="I1072"/>
    </row>
    <row r="1073" spans="7:9" x14ac:dyDescent="0.3">
      <c r="G1073"/>
      <c r="H1073"/>
      <c r="I1073"/>
    </row>
    <row r="1074" spans="7:9" x14ac:dyDescent="0.3">
      <c r="G1074"/>
      <c r="H1074"/>
      <c r="I1074"/>
    </row>
    <row r="1075" spans="7:9" x14ac:dyDescent="0.3">
      <c r="G1075"/>
      <c r="H1075"/>
      <c r="I1075"/>
    </row>
    <row r="1076" spans="7:9" x14ac:dyDescent="0.3">
      <c r="G1076"/>
      <c r="H1076"/>
      <c r="I1076"/>
    </row>
    <row r="1077" spans="7:9" x14ac:dyDescent="0.3">
      <c r="G1077"/>
      <c r="H1077"/>
      <c r="I1077"/>
    </row>
    <row r="1078" spans="7:9" x14ac:dyDescent="0.3">
      <c r="G1078"/>
      <c r="H1078"/>
      <c r="I1078"/>
    </row>
    <row r="1079" spans="7:9" x14ac:dyDescent="0.3">
      <c r="G1079"/>
      <c r="H1079"/>
      <c r="I1079"/>
    </row>
    <row r="1080" spans="7:9" x14ac:dyDescent="0.3">
      <c r="G1080"/>
      <c r="H1080"/>
      <c r="I1080"/>
    </row>
    <row r="1081" spans="7:9" x14ac:dyDescent="0.3">
      <c r="G1081"/>
      <c r="H1081"/>
      <c r="I1081"/>
    </row>
    <row r="1082" spans="7:9" x14ac:dyDescent="0.3">
      <c r="G1082"/>
      <c r="H1082"/>
      <c r="I1082"/>
    </row>
    <row r="1083" spans="7:9" x14ac:dyDescent="0.3">
      <c r="G1083"/>
      <c r="H1083"/>
      <c r="I1083"/>
    </row>
    <row r="1084" spans="7:9" x14ac:dyDescent="0.3">
      <c r="G1084"/>
      <c r="H1084"/>
      <c r="I1084"/>
    </row>
    <row r="1085" spans="7:9" x14ac:dyDescent="0.3">
      <c r="G1085"/>
      <c r="H1085"/>
      <c r="I1085"/>
    </row>
    <row r="1086" spans="7:9" x14ac:dyDescent="0.3">
      <c r="G1086"/>
      <c r="H1086"/>
      <c r="I1086"/>
    </row>
    <row r="1087" spans="7:9" x14ac:dyDescent="0.3">
      <c r="G1087"/>
      <c r="H1087"/>
      <c r="I1087"/>
    </row>
    <row r="1088" spans="7:9" x14ac:dyDescent="0.3">
      <c r="G1088"/>
      <c r="H1088"/>
      <c r="I1088"/>
    </row>
    <row r="1089" spans="7:9" x14ac:dyDescent="0.3">
      <c r="G1089"/>
      <c r="H1089"/>
      <c r="I1089"/>
    </row>
    <row r="1090" spans="7:9" x14ac:dyDescent="0.3">
      <c r="G1090"/>
      <c r="H1090"/>
      <c r="I1090"/>
    </row>
    <row r="1091" spans="7:9" x14ac:dyDescent="0.3">
      <c r="G1091"/>
      <c r="H1091"/>
      <c r="I1091"/>
    </row>
    <row r="1092" spans="7:9" x14ac:dyDescent="0.3">
      <c r="G1092"/>
      <c r="H1092"/>
      <c r="I1092"/>
    </row>
    <row r="1093" spans="7:9" x14ac:dyDescent="0.3">
      <c r="G1093"/>
      <c r="H1093"/>
      <c r="I1093"/>
    </row>
    <row r="1094" spans="7:9" x14ac:dyDescent="0.3">
      <c r="G1094"/>
      <c r="H1094"/>
      <c r="I1094"/>
    </row>
    <row r="1095" spans="7:9" x14ac:dyDescent="0.3">
      <c r="G1095"/>
      <c r="H1095"/>
      <c r="I1095"/>
    </row>
    <row r="1096" spans="7:9" x14ac:dyDescent="0.3">
      <c r="G1096"/>
      <c r="H1096"/>
      <c r="I1096"/>
    </row>
    <row r="1097" spans="7:9" x14ac:dyDescent="0.3">
      <c r="G1097"/>
      <c r="H1097"/>
      <c r="I1097"/>
    </row>
    <row r="1098" spans="7:9" x14ac:dyDescent="0.3">
      <c r="G1098"/>
      <c r="H1098"/>
      <c r="I1098"/>
    </row>
    <row r="1099" spans="7:9" x14ac:dyDescent="0.3">
      <c r="G1099"/>
      <c r="H1099"/>
      <c r="I1099"/>
    </row>
    <row r="1100" spans="7:9" x14ac:dyDescent="0.3">
      <c r="G1100"/>
      <c r="H1100"/>
      <c r="I1100"/>
    </row>
    <row r="1101" spans="7:9" x14ac:dyDescent="0.3">
      <c r="G1101"/>
      <c r="H1101"/>
      <c r="I1101"/>
    </row>
    <row r="1102" spans="7:9" x14ac:dyDescent="0.3">
      <c r="G1102"/>
      <c r="H1102"/>
      <c r="I1102"/>
    </row>
    <row r="1103" spans="7:9" x14ac:dyDescent="0.3">
      <c r="G1103"/>
      <c r="H1103"/>
      <c r="I1103"/>
    </row>
    <row r="1104" spans="7:9" x14ac:dyDescent="0.3">
      <c r="G1104"/>
      <c r="H1104"/>
      <c r="I1104"/>
    </row>
    <row r="1105" spans="7:9" x14ac:dyDescent="0.3">
      <c r="G1105"/>
      <c r="H1105"/>
      <c r="I1105"/>
    </row>
    <row r="1106" spans="7:9" x14ac:dyDescent="0.3">
      <c r="G1106"/>
      <c r="H1106"/>
      <c r="I1106"/>
    </row>
    <row r="1107" spans="7:9" x14ac:dyDescent="0.3">
      <c r="G1107"/>
      <c r="H1107"/>
      <c r="I1107"/>
    </row>
    <row r="1108" spans="7:9" x14ac:dyDescent="0.3">
      <c r="G1108"/>
      <c r="H1108"/>
      <c r="I1108"/>
    </row>
    <row r="1109" spans="7:9" x14ac:dyDescent="0.3">
      <c r="G1109"/>
      <c r="H1109"/>
      <c r="I1109"/>
    </row>
    <row r="1110" spans="7:9" x14ac:dyDescent="0.3">
      <c r="G1110"/>
      <c r="H1110"/>
      <c r="I1110"/>
    </row>
    <row r="1111" spans="7:9" x14ac:dyDescent="0.3">
      <c r="G1111"/>
      <c r="H1111"/>
      <c r="I1111"/>
    </row>
    <row r="1112" spans="7:9" x14ac:dyDescent="0.3">
      <c r="G1112"/>
      <c r="H1112"/>
      <c r="I1112"/>
    </row>
    <row r="1113" spans="7:9" x14ac:dyDescent="0.3">
      <c r="G1113"/>
      <c r="H1113"/>
      <c r="I1113"/>
    </row>
    <row r="1114" spans="7:9" x14ac:dyDescent="0.3">
      <c r="G1114"/>
      <c r="H1114"/>
      <c r="I1114"/>
    </row>
    <row r="1115" spans="7:9" x14ac:dyDescent="0.3">
      <c r="G1115"/>
      <c r="H1115"/>
      <c r="I1115"/>
    </row>
    <row r="1116" spans="7:9" x14ac:dyDescent="0.3">
      <c r="G1116"/>
      <c r="H1116"/>
      <c r="I1116"/>
    </row>
    <row r="1117" spans="7:9" x14ac:dyDescent="0.3">
      <c r="G1117"/>
      <c r="H1117"/>
      <c r="I1117"/>
    </row>
    <row r="1118" spans="7:9" x14ac:dyDescent="0.3">
      <c r="G1118"/>
      <c r="H1118"/>
      <c r="I1118"/>
    </row>
    <row r="1119" spans="7:9" x14ac:dyDescent="0.3">
      <c r="G1119"/>
      <c r="H1119"/>
      <c r="I1119"/>
    </row>
    <row r="1120" spans="7:9" x14ac:dyDescent="0.3">
      <c r="G1120"/>
      <c r="H1120"/>
      <c r="I1120"/>
    </row>
    <row r="1121" spans="7:9" x14ac:dyDescent="0.3">
      <c r="G1121"/>
      <c r="H1121"/>
      <c r="I1121"/>
    </row>
    <row r="1122" spans="7:9" x14ac:dyDescent="0.3">
      <c r="G1122"/>
      <c r="H1122"/>
      <c r="I1122"/>
    </row>
    <row r="1123" spans="7:9" x14ac:dyDescent="0.3">
      <c r="G1123"/>
      <c r="H1123"/>
      <c r="I1123"/>
    </row>
    <row r="1124" spans="7:9" x14ac:dyDescent="0.3">
      <c r="G1124"/>
      <c r="H1124"/>
      <c r="I1124"/>
    </row>
    <row r="1125" spans="7:9" x14ac:dyDescent="0.3">
      <c r="G1125"/>
      <c r="H1125"/>
      <c r="I1125"/>
    </row>
    <row r="1126" spans="7:9" x14ac:dyDescent="0.3">
      <c r="G1126"/>
      <c r="H1126"/>
      <c r="I1126"/>
    </row>
    <row r="1127" spans="7:9" x14ac:dyDescent="0.3">
      <c r="G1127"/>
      <c r="H1127"/>
      <c r="I1127"/>
    </row>
    <row r="1128" spans="7:9" x14ac:dyDescent="0.3">
      <c r="G1128"/>
      <c r="H1128"/>
      <c r="I1128"/>
    </row>
    <row r="1129" spans="7:9" x14ac:dyDescent="0.3">
      <c r="G1129"/>
      <c r="H1129"/>
      <c r="I1129"/>
    </row>
    <row r="1130" spans="7:9" x14ac:dyDescent="0.3">
      <c r="G1130"/>
      <c r="H1130"/>
      <c r="I1130"/>
    </row>
    <row r="1131" spans="7:9" x14ac:dyDescent="0.3">
      <c r="G1131"/>
      <c r="H1131"/>
      <c r="I1131"/>
    </row>
    <row r="1132" spans="7:9" x14ac:dyDescent="0.3">
      <c r="G1132"/>
      <c r="H1132"/>
      <c r="I1132"/>
    </row>
    <row r="1133" spans="7:9" x14ac:dyDescent="0.3">
      <c r="G1133"/>
      <c r="H1133"/>
      <c r="I1133"/>
    </row>
    <row r="1134" spans="7:9" x14ac:dyDescent="0.3">
      <c r="G1134"/>
      <c r="H1134"/>
      <c r="I1134"/>
    </row>
    <row r="1135" spans="7:9" x14ac:dyDescent="0.3">
      <c r="G1135"/>
      <c r="H1135"/>
      <c r="I1135"/>
    </row>
    <row r="1136" spans="7:9" x14ac:dyDescent="0.3">
      <c r="G1136"/>
      <c r="H1136"/>
      <c r="I1136"/>
    </row>
    <row r="1137" spans="7:9" x14ac:dyDescent="0.3">
      <c r="G1137"/>
      <c r="H1137"/>
      <c r="I1137"/>
    </row>
    <row r="1138" spans="7:9" x14ac:dyDescent="0.3">
      <c r="G1138"/>
      <c r="H1138"/>
      <c r="I1138"/>
    </row>
    <row r="1139" spans="7:9" x14ac:dyDescent="0.3">
      <c r="G1139"/>
      <c r="H1139"/>
      <c r="I1139"/>
    </row>
    <row r="1140" spans="7:9" x14ac:dyDescent="0.3">
      <c r="G1140"/>
      <c r="H1140"/>
      <c r="I1140"/>
    </row>
    <row r="1141" spans="7:9" x14ac:dyDescent="0.3">
      <c r="G1141"/>
      <c r="H1141"/>
      <c r="I1141"/>
    </row>
    <row r="1142" spans="7:9" x14ac:dyDescent="0.3">
      <c r="G1142"/>
      <c r="H1142"/>
      <c r="I1142"/>
    </row>
    <row r="1143" spans="7:9" x14ac:dyDescent="0.3">
      <c r="G1143"/>
      <c r="H1143"/>
      <c r="I1143"/>
    </row>
    <row r="1144" spans="7:9" x14ac:dyDescent="0.3">
      <c r="G1144"/>
      <c r="H1144"/>
      <c r="I1144"/>
    </row>
    <row r="1145" spans="7:9" x14ac:dyDescent="0.3">
      <c r="G1145"/>
      <c r="H1145"/>
      <c r="I1145"/>
    </row>
    <row r="1146" spans="7:9" x14ac:dyDescent="0.3">
      <c r="G1146"/>
      <c r="H1146"/>
      <c r="I1146"/>
    </row>
    <row r="1147" spans="7:9" x14ac:dyDescent="0.3">
      <c r="G1147"/>
      <c r="H1147"/>
      <c r="I1147"/>
    </row>
    <row r="1148" spans="7:9" x14ac:dyDescent="0.3">
      <c r="G1148"/>
      <c r="H1148"/>
      <c r="I1148"/>
    </row>
    <row r="1149" spans="7:9" x14ac:dyDescent="0.3">
      <c r="G1149"/>
      <c r="H1149"/>
      <c r="I1149"/>
    </row>
    <row r="1150" spans="7:9" x14ac:dyDescent="0.3">
      <c r="G1150"/>
      <c r="H1150"/>
      <c r="I1150"/>
    </row>
    <row r="1151" spans="7:9" x14ac:dyDescent="0.3">
      <c r="G1151"/>
      <c r="H1151"/>
      <c r="I1151"/>
    </row>
    <row r="1152" spans="7:9" x14ac:dyDescent="0.3">
      <c r="G1152"/>
      <c r="H1152"/>
      <c r="I1152"/>
    </row>
    <row r="1153" spans="7:9" x14ac:dyDescent="0.3">
      <c r="G1153"/>
      <c r="H1153"/>
      <c r="I1153"/>
    </row>
    <row r="1154" spans="7:9" x14ac:dyDescent="0.3">
      <c r="G1154"/>
      <c r="H1154"/>
      <c r="I1154"/>
    </row>
    <row r="1155" spans="7:9" x14ac:dyDescent="0.3">
      <c r="G1155"/>
      <c r="H1155"/>
      <c r="I1155"/>
    </row>
    <row r="1156" spans="7:9" x14ac:dyDescent="0.3">
      <c r="G1156"/>
      <c r="H1156"/>
      <c r="I1156"/>
    </row>
    <row r="1157" spans="7:9" x14ac:dyDescent="0.3">
      <c r="G1157"/>
      <c r="H1157"/>
      <c r="I1157"/>
    </row>
    <row r="1158" spans="7:9" x14ac:dyDescent="0.3">
      <c r="G1158"/>
      <c r="H1158"/>
      <c r="I1158"/>
    </row>
    <row r="1159" spans="7:9" x14ac:dyDescent="0.3">
      <c r="G1159"/>
      <c r="H1159"/>
      <c r="I1159"/>
    </row>
    <row r="1160" spans="7:9" x14ac:dyDescent="0.3">
      <c r="G1160"/>
      <c r="H1160"/>
      <c r="I1160"/>
    </row>
    <row r="1161" spans="7:9" x14ac:dyDescent="0.3">
      <c r="G1161"/>
      <c r="H1161"/>
      <c r="I1161"/>
    </row>
    <row r="1162" spans="7:9" x14ac:dyDescent="0.3">
      <c r="G1162"/>
      <c r="H1162"/>
      <c r="I1162"/>
    </row>
    <row r="1163" spans="7:9" x14ac:dyDescent="0.3">
      <c r="G1163"/>
      <c r="H1163"/>
      <c r="I1163"/>
    </row>
    <row r="1164" spans="7:9" x14ac:dyDescent="0.3">
      <c r="G1164"/>
      <c r="H1164"/>
      <c r="I1164"/>
    </row>
    <row r="1165" spans="7:9" x14ac:dyDescent="0.3">
      <c r="G1165"/>
      <c r="H1165"/>
      <c r="I1165"/>
    </row>
    <row r="1166" spans="7:9" x14ac:dyDescent="0.3">
      <c r="G1166"/>
      <c r="H1166"/>
      <c r="I1166"/>
    </row>
    <row r="1167" spans="7:9" x14ac:dyDescent="0.3">
      <c r="G1167"/>
      <c r="H1167"/>
      <c r="I1167"/>
    </row>
    <row r="1168" spans="7:9" x14ac:dyDescent="0.3">
      <c r="G1168"/>
      <c r="H1168"/>
      <c r="I1168"/>
    </row>
    <row r="1169" spans="7:9" x14ac:dyDescent="0.3">
      <c r="G1169"/>
      <c r="H1169"/>
      <c r="I1169"/>
    </row>
    <row r="1170" spans="7:9" x14ac:dyDescent="0.3">
      <c r="G1170"/>
      <c r="H1170"/>
      <c r="I1170"/>
    </row>
    <row r="1171" spans="7:9" x14ac:dyDescent="0.3">
      <c r="G1171"/>
      <c r="H1171"/>
      <c r="I1171"/>
    </row>
    <row r="1172" spans="7:9" x14ac:dyDescent="0.3">
      <c r="G1172"/>
      <c r="H1172"/>
      <c r="I1172"/>
    </row>
    <row r="1173" spans="7:9" x14ac:dyDescent="0.3">
      <c r="G1173"/>
      <c r="H1173"/>
      <c r="I1173"/>
    </row>
    <row r="1174" spans="7:9" x14ac:dyDescent="0.3">
      <c r="G1174"/>
      <c r="H1174"/>
      <c r="I1174"/>
    </row>
    <row r="1175" spans="7:9" x14ac:dyDescent="0.3">
      <c r="G1175"/>
      <c r="H1175"/>
      <c r="I1175"/>
    </row>
    <row r="1176" spans="7:9" x14ac:dyDescent="0.3">
      <c r="G1176"/>
      <c r="H1176"/>
      <c r="I1176"/>
    </row>
    <row r="1177" spans="7:9" x14ac:dyDescent="0.3">
      <c r="G1177"/>
      <c r="H1177"/>
      <c r="I1177"/>
    </row>
    <row r="1178" spans="7:9" x14ac:dyDescent="0.3">
      <c r="G1178"/>
      <c r="H1178"/>
      <c r="I1178"/>
    </row>
    <row r="1179" spans="7:9" x14ac:dyDescent="0.3">
      <c r="G1179"/>
      <c r="H1179"/>
      <c r="I1179"/>
    </row>
    <row r="1180" spans="7:9" x14ac:dyDescent="0.3">
      <c r="G1180"/>
      <c r="H1180"/>
      <c r="I1180"/>
    </row>
    <row r="1181" spans="7:9" x14ac:dyDescent="0.3">
      <c r="G1181"/>
      <c r="H1181"/>
      <c r="I1181"/>
    </row>
    <row r="1182" spans="7:9" x14ac:dyDescent="0.3">
      <c r="G1182"/>
      <c r="H1182"/>
      <c r="I1182"/>
    </row>
    <row r="1183" spans="7:9" x14ac:dyDescent="0.3">
      <c r="G1183"/>
      <c r="H1183"/>
      <c r="I1183"/>
    </row>
    <row r="1184" spans="7:9" x14ac:dyDescent="0.3">
      <c r="G1184"/>
      <c r="H1184"/>
      <c r="I1184"/>
    </row>
    <row r="1185" spans="7:9" x14ac:dyDescent="0.3">
      <c r="G1185"/>
      <c r="H1185"/>
      <c r="I1185"/>
    </row>
    <row r="1186" spans="7:9" x14ac:dyDescent="0.3">
      <c r="G1186"/>
      <c r="H1186"/>
      <c r="I1186"/>
    </row>
    <row r="1187" spans="7:9" x14ac:dyDescent="0.3">
      <c r="G1187"/>
      <c r="H1187"/>
      <c r="I1187"/>
    </row>
    <row r="1188" spans="7:9" x14ac:dyDescent="0.3">
      <c r="G1188"/>
      <c r="H1188"/>
      <c r="I1188"/>
    </row>
    <row r="1189" spans="7:9" x14ac:dyDescent="0.3">
      <c r="G1189"/>
      <c r="H1189"/>
      <c r="I1189"/>
    </row>
    <row r="1190" spans="7:9" x14ac:dyDescent="0.3">
      <c r="G1190"/>
      <c r="H1190"/>
      <c r="I1190"/>
    </row>
    <row r="1191" spans="7:9" x14ac:dyDescent="0.3">
      <c r="G1191"/>
      <c r="H1191"/>
      <c r="I1191"/>
    </row>
    <row r="1192" spans="7:9" x14ac:dyDescent="0.3">
      <c r="G1192"/>
      <c r="H1192"/>
      <c r="I1192"/>
    </row>
    <row r="1193" spans="7:9" x14ac:dyDescent="0.3">
      <c r="G1193"/>
      <c r="H1193"/>
      <c r="I1193"/>
    </row>
    <row r="1194" spans="7:9" x14ac:dyDescent="0.3">
      <c r="G1194"/>
      <c r="H1194"/>
      <c r="I1194"/>
    </row>
    <row r="1195" spans="7:9" x14ac:dyDescent="0.3">
      <c r="G1195"/>
      <c r="H1195"/>
      <c r="I1195"/>
    </row>
    <row r="1196" spans="7:9" x14ac:dyDescent="0.3">
      <c r="G1196"/>
      <c r="H1196"/>
      <c r="I1196"/>
    </row>
    <row r="1197" spans="7:9" x14ac:dyDescent="0.3">
      <c r="G1197"/>
      <c r="H1197"/>
      <c r="I1197"/>
    </row>
    <row r="1198" spans="7:9" x14ac:dyDescent="0.3">
      <c r="G1198"/>
      <c r="H1198"/>
      <c r="I1198"/>
    </row>
    <row r="1199" spans="7:9" x14ac:dyDescent="0.3">
      <c r="G1199"/>
      <c r="H1199"/>
      <c r="I1199"/>
    </row>
    <row r="1200" spans="7:9" x14ac:dyDescent="0.3">
      <c r="G1200"/>
      <c r="H1200"/>
      <c r="I1200"/>
    </row>
    <row r="1201" spans="7:9" x14ac:dyDescent="0.3">
      <c r="G1201"/>
      <c r="H1201"/>
      <c r="I1201"/>
    </row>
    <row r="1202" spans="7:9" x14ac:dyDescent="0.3">
      <c r="G1202"/>
      <c r="H1202"/>
      <c r="I1202"/>
    </row>
    <row r="1203" spans="7:9" x14ac:dyDescent="0.3">
      <c r="G1203"/>
      <c r="H1203"/>
      <c r="I1203"/>
    </row>
    <row r="1204" spans="7:9" x14ac:dyDescent="0.3">
      <c r="G1204"/>
      <c r="H1204"/>
      <c r="I1204"/>
    </row>
    <row r="1205" spans="7:9" x14ac:dyDescent="0.3">
      <c r="G1205"/>
      <c r="H1205"/>
      <c r="I1205"/>
    </row>
    <row r="1206" spans="7:9" x14ac:dyDescent="0.3">
      <c r="G1206"/>
      <c r="H1206"/>
      <c r="I1206"/>
    </row>
    <row r="1207" spans="7:9" x14ac:dyDescent="0.3">
      <c r="G1207"/>
      <c r="H1207"/>
      <c r="I1207"/>
    </row>
    <row r="1208" spans="7:9" x14ac:dyDescent="0.3">
      <c r="G1208"/>
      <c r="H1208"/>
      <c r="I1208"/>
    </row>
    <row r="1209" spans="7:9" x14ac:dyDescent="0.3">
      <c r="G1209"/>
      <c r="H1209"/>
      <c r="I1209"/>
    </row>
    <row r="1210" spans="7:9" x14ac:dyDescent="0.3">
      <c r="G1210"/>
      <c r="H1210"/>
      <c r="I1210"/>
    </row>
    <row r="1211" spans="7:9" x14ac:dyDescent="0.3">
      <c r="G1211"/>
      <c r="H1211"/>
      <c r="I1211"/>
    </row>
    <row r="1212" spans="7:9" x14ac:dyDescent="0.3">
      <c r="G1212"/>
      <c r="H1212"/>
      <c r="I1212"/>
    </row>
    <row r="1213" spans="7:9" x14ac:dyDescent="0.3">
      <c r="G1213"/>
      <c r="H1213"/>
      <c r="I1213"/>
    </row>
    <row r="1214" spans="7:9" x14ac:dyDescent="0.3">
      <c r="G1214"/>
      <c r="H1214"/>
      <c r="I1214"/>
    </row>
    <row r="1215" spans="7:9" x14ac:dyDescent="0.3">
      <c r="G1215"/>
      <c r="H1215"/>
      <c r="I1215"/>
    </row>
    <row r="1216" spans="7:9" x14ac:dyDescent="0.3">
      <c r="G1216"/>
      <c r="H1216"/>
      <c r="I1216"/>
    </row>
    <row r="1217" spans="7:9" x14ac:dyDescent="0.3">
      <c r="G1217"/>
      <c r="H1217"/>
      <c r="I1217"/>
    </row>
    <row r="1218" spans="7:9" x14ac:dyDescent="0.3">
      <c r="G1218"/>
      <c r="H1218"/>
      <c r="I1218"/>
    </row>
    <row r="1219" spans="7:9" x14ac:dyDescent="0.3">
      <c r="G1219"/>
      <c r="H1219"/>
      <c r="I1219"/>
    </row>
    <row r="1220" spans="7:9" x14ac:dyDescent="0.3">
      <c r="G1220"/>
      <c r="H1220"/>
      <c r="I1220"/>
    </row>
    <row r="1221" spans="7:9" x14ac:dyDescent="0.3">
      <c r="G1221"/>
      <c r="H1221"/>
      <c r="I1221"/>
    </row>
    <row r="1222" spans="7:9" x14ac:dyDescent="0.3">
      <c r="G1222"/>
      <c r="H1222"/>
      <c r="I1222"/>
    </row>
    <row r="1223" spans="7:9" x14ac:dyDescent="0.3">
      <c r="G1223"/>
      <c r="H1223"/>
      <c r="I1223"/>
    </row>
    <row r="1224" spans="7:9" x14ac:dyDescent="0.3">
      <c r="G1224"/>
      <c r="H1224"/>
      <c r="I1224"/>
    </row>
    <row r="1225" spans="7:9" x14ac:dyDescent="0.3">
      <c r="G1225"/>
      <c r="H1225"/>
      <c r="I1225"/>
    </row>
    <row r="1226" spans="7:9" x14ac:dyDescent="0.3">
      <c r="G1226"/>
      <c r="H1226"/>
      <c r="I1226"/>
    </row>
    <row r="1227" spans="7:9" x14ac:dyDescent="0.3">
      <c r="G1227"/>
      <c r="H1227"/>
      <c r="I1227"/>
    </row>
    <row r="1228" spans="7:9" x14ac:dyDescent="0.3">
      <c r="G1228"/>
      <c r="H1228"/>
      <c r="I1228"/>
    </row>
    <row r="1229" spans="7:9" x14ac:dyDescent="0.3">
      <c r="G1229"/>
      <c r="H1229"/>
      <c r="I1229"/>
    </row>
    <row r="1230" spans="7:9" x14ac:dyDescent="0.3">
      <c r="G1230"/>
      <c r="H1230"/>
      <c r="I1230"/>
    </row>
    <row r="1231" spans="7:9" x14ac:dyDescent="0.3">
      <c r="G1231"/>
      <c r="H1231"/>
      <c r="I1231"/>
    </row>
    <row r="1232" spans="7:9" x14ac:dyDescent="0.3">
      <c r="G1232"/>
      <c r="H1232"/>
      <c r="I1232"/>
    </row>
    <row r="1233" spans="7:9" x14ac:dyDescent="0.3">
      <c r="G1233"/>
      <c r="H1233"/>
      <c r="I1233"/>
    </row>
    <row r="1234" spans="7:9" x14ac:dyDescent="0.3">
      <c r="G1234"/>
      <c r="H1234"/>
      <c r="I1234"/>
    </row>
    <row r="1235" spans="7:9" x14ac:dyDescent="0.3">
      <c r="G1235"/>
      <c r="H1235"/>
      <c r="I1235"/>
    </row>
    <row r="1236" spans="7:9" x14ac:dyDescent="0.3">
      <c r="G1236"/>
      <c r="H1236"/>
      <c r="I1236"/>
    </row>
    <row r="1237" spans="7:9" x14ac:dyDescent="0.3">
      <c r="G1237"/>
      <c r="H1237"/>
      <c r="I1237"/>
    </row>
    <row r="1238" spans="7:9" x14ac:dyDescent="0.3">
      <c r="G1238"/>
      <c r="H1238"/>
      <c r="I1238"/>
    </row>
    <row r="1239" spans="7:9" x14ac:dyDescent="0.3">
      <c r="G1239"/>
      <c r="H1239"/>
      <c r="I1239"/>
    </row>
    <row r="1240" spans="7:9" x14ac:dyDescent="0.3">
      <c r="G1240"/>
      <c r="H1240"/>
      <c r="I1240"/>
    </row>
    <row r="1241" spans="7:9" x14ac:dyDescent="0.3">
      <c r="G1241"/>
      <c r="H1241"/>
      <c r="I1241"/>
    </row>
    <row r="1242" spans="7:9" x14ac:dyDescent="0.3">
      <c r="G1242"/>
      <c r="H1242"/>
      <c r="I1242"/>
    </row>
    <row r="1243" spans="7:9" x14ac:dyDescent="0.3">
      <c r="G1243"/>
      <c r="H1243"/>
      <c r="I1243"/>
    </row>
    <row r="1244" spans="7:9" x14ac:dyDescent="0.3">
      <c r="G1244"/>
      <c r="H1244"/>
      <c r="I1244"/>
    </row>
    <row r="1245" spans="7:9" x14ac:dyDescent="0.3">
      <c r="G1245"/>
      <c r="H1245"/>
      <c r="I1245"/>
    </row>
    <row r="1246" spans="7:9" x14ac:dyDescent="0.3">
      <c r="G1246"/>
      <c r="H1246"/>
      <c r="I1246"/>
    </row>
    <row r="1247" spans="7:9" x14ac:dyDescent="0.3">
      <c r="G1247"/>
      <c r="H1247"/>
      <c r="I1247"/>
    </row>
    <row r="1248" spans="7:9" x14ac:dyDescent="0.3">
      <c r="G1248"/>
      <c r="H1248"/>
      <c r="I1248"/>
    </row>
    <row r="1249" spans="7:9" x14ac:dyDescent="0.3">
      <c r="G1249"/>
      <c r="H1249"/>
      <c r="I1249"/>
    </row>
    <row r="1250" spans="7:9" x14ac:dyDescent="0.3">
      <c r="G1250"/>
      <c r="H1250"/>
      <c r="I1250"/>
    </row>
    <row r="1251" spans="7:9" x14ac:dyDescent="0.3">
      <c r="G1251"/>
      <c r="H1251"/>
      <c r="I1251"/>
    </row>
    <row r="1252" spans="7:9" x14ac:dyDescent="0.3">
      <c r="G1252"/>
      <c r="H1252"/>
      <c r="I1252"/>
    </row>
    <row r="1253" spans="7:9" x14ac:dyDescent="0.3">
      <c r="G1253"/>
      <c r="H1253"/>
      <c r="I1253"/>
    </row>
    <row r="1254" spans="7:9" x14ac:dyDescent="0.3">
      <c r="G1254"/>
      <c r="H1254"/>
      <c r="I1254"/>
    </row>
    <row r="1255" spans="7:9" x14ac:dyDescent="0.3">
      <c r="G1255"/>
      <c r="H1255"/>
      <c r="I1255"/>
    </row>
    <row r="1256" spans="7:9" x14ac:dyDescent="0.3">
      <c r="G1256"/>
      <c r="H1256"/>
      <c r="I1256"/>
    </row>
    <row r="1257" spans="7:9" x14ac:dyDescent="0.3">
      <c r="G1257"/>
      <c r="H1257"/>
      <c r="I1257"/>
    </row>
    <row r="1258" spans="7:9" x14ac:dyDescent="0.3">
      <c r="G1258"/>
      <c r="H1258"/>
      <c r="I1258"/>
    </row>
    <row r="1259" spans="7:9" x14ac:dyDescent="0.3">
      <c r="G1259"/>
      <c r="H1259"/>
      <c r="I1259"/>
    </row>
    <row r="1260" spans="7:9" x14ac:dyDescent="0.3">
      <c r="G1260"/>
      <c r="H1260"/>
      <c r="I1260"/>
    </row>
    <row r="1261" spans="7:9" x14ac:dyDescent="0.3">
      <c r="G1261"/>
      <c r="H1261"/>
      <c r="I1261"/>
    </row>
    <row r="1262" spans="7:9" x14ac:dyDescent="0.3">
      <c r="G1262"/>
      <c r="H1262"/>
      <c r="I1262"/>
    </row>
    <row r="1263" spans="7:9" x14ac:dyDescent="0.3">
      <c r="G1263"/>
      <c r="H1263"/>
      <c r="I1263"/>
    </row>
    <row r="1264" spans="7:9" x14ac:dyDescent="0.3">
      <c r="G1264"/>
      <c r="H1264"/>
      <c r="I1264"/>
    </row>
    <row r="1265" spans="7:9" x14ac:dyDescent="0.3">
      <c r="G1265"/>
      <c r="H1265"/>
      <c r="I1265"/>
    </row>
    <row r="1266" spans="7:9" x14ac:dyDescent="0.3">
      <c r="G1266"/>
      <c r="H1266"/>
      <c r="I1266"/>
    </row>
    <row r="1267" spans="7:9" x14ac:dyDescent="0.3">
      <c r="G1267"/>
      <c r="H1267"/>
      <c r="I1267"/>
    </row>
    <row r="1268" spans="7:9" x14ac:dyDescent="0.3">
      <c r="G1268"/>
      <c r="H1268"/>
      <c r="I1268"/>
    </row>
    <row r="1269" spans="7:9" x14ac:dyDescent="0.3">
      <c r="G1269"/>
      <c r="H1269"/>
      <c r="I1269"/>
    </row>
    <row r="1270" spans="7:9" x14ac:dyDescent="0.3">
      <c r="G1270"/>
      <c r="H1270"/>
      <c r="I1270"/>
    </row>
    <row r="1271" spans="7:9" x14ac:dyDescent="0.3">
      <c r="G1271"/>
      <c r="H1271"/>
      <c r="I1271"/>
    </row>
    <row r="1272" spans="7:9" x14ac:dyDescent="0.3">
      <c r="G1272"/>
      <c r="H1272"/>
      <c r="I1272"/>
    </row>
    <row r="1273" spans="7:9" x14ac:dyDescent="0.3">
      <c r="G1273"/>
      <c r="H1273"/>
      <c r="I1273"/>
    </row>
    <row r="1274" spans="7:9" x14ac:dyDescent="0.3">
      <c r="G1274"/>
      <c r="H1274"/>
      <c r="I1274"/>
    </row>
    <row r="1275" spans="7:9" x14ac:dyDescent="0.3">
      <c r="G1275"/>
      <c r="H1275"/>
      <c r="I1275"/>
    </row>
    <row r="1276" spans="7:9" x14ac:dyDescent="0.3">
      <c r="G1276"/>
      <c r="H1276"/>
      <c r="I1276"/>
    </row>
    <row r="1277" spans="7:9" x14ac:dyDescent="0.3">
      <c r="G1277"/>
      <c r="H1277"/>
      <c r="I1277"/>
    </row>
    <row r="1278" spans="7:9" x14ac:dyDescent="0.3">
      <c r="G1278"/>
      <c r="H1278"/>
      <c r="I1278"/>
    </row>
    <row r="1279" spans="7:9" x14ac:dyDescent="0.3">
      <c r="G1279"/>
      <c r="H1279"/>
      <c r="I1279"/>
    </row>
    <row r="1280" spans="7:9" x14ac:dyDescent="0.3">
      <c r="G1280"/>
      <c r="H1280"/>
      <c r="I1280"/>
    </row>
    <row r="1281" spans="7:9" x14ac:dyDescent="0.3">
      <c r="G1281"/>
      <c r="H1281"/>
      <c r="I1281"/>
    </row>
    <row r="1282" spans="7:9" x14ac:dyDescent="0.3">
      <c r="G1282"/>
      <c r="H1282"/>
      <c r="I1282"/>
    </row>
    <row r="1283" spans="7:9" x14ac:dyDescent="0.3">
      <c r="G1283"/>
      <c r="H1283"/>
      <c r="I1283"/>
    </row>
    <row r="1284" spans="7:9" x14ac:dyDescent="0.3">
      <c r="G1284"/>
      <c r="H1284"/>
      <c r="I1284"/>
    </row>
    <row r="1285" spans="7:9" x14ac:dyDescent="0.3">
      <c r="G1285"/>
      <c r="H1285"/>
      <c r="I1285"/>
    </row>
    <row r="1286" spans="7:9" x14ac:dyDescent="0.3">
      <c r="G1286"/>
      <c r="H1286"/>
      <c r="I1286"/>
    </row>
    <row r="1287" spans="7:9" x14ac:dyDescent="0.3">
      <c r="G1287"/>
      <c r="H1287"/>
      <c r="I1287"/>
    </row>
    <row r="1288" spans="7:9" x14ac:dyDescent="0.3">
      <c r="G1288"/>
      <c r="H1288"/>
      <c r="I1288"/>
    </row>
    <row r="1289" spans="7:9" x14ac:dyDescent="0.3">
      <c r="G1289"/>
      <c r="H1289"/>
      <c r="I1289"/>
    </row>
    <row r="1290" spans="7:9" x14ac:dyDescent="0.3">
      <c r="G1290"/>
      <c r="H1290"/>
      <c r="I1290"/>
    </row>
    <row r="1291" spans="7:9" x14ac:dyDescent="0.3">
      <c r="G1291"/>
      <c r="H1291"/>
      <c r="I1291"/>
    </row>
    <row r="1292" spans="7:9" x14ac:dyDescent="0.3">
      <c r="G1292"/>
      <c r="H1292"/>
      <c r="I1292"/>
    </row>
    <row r="1293" spans="7:9" x14ac:dyDescent="0.3">
      <c r="G1293"/>
      <c r="H1293"/>
      <c r="I1293"/>
    </row>
    <row r="1294" spans="7:9" x14ac:dyDescent="0.3">
      <c r="G1294"/>
      <c r="H1294"/>
      <c r="I1294"/>
    </row>
    <row r="1295" spans="7:9" x14ac:dyDescent="0.3">
      <c r="G1295"/>
      <c r="H1295"/>
      <c r="I1295"/>
    </row>
    <row r="1296" spans="7:9" x14ac:dyDescent="0.3">
      <c r="G1296"/>
      <c r="H1296"/>
      <c r="I1296"/>
    </row>
    <row r="1297" spans="7:9" x14ac:dyDescent="0.3">
      <c r="G1297"/>
      <c r="H1297"/>
      <c r="I1297"/>
    </row>
    <row r="1298" spans="7:9" x14ac:dyDescent="0.3">
      <c r="G1298"/>
      <c r="H1298"/>
      <c r="I1298"/>
    </row>
    <row r="1299" spans="7:9" x14ac:dyDescent="0.3">
      <c r="G1299"/>
      <c r="H1299"/>
      <c r="I1299"/>
    </row>
    <row r="1300" spans="7:9" x14ac:dyDescent="0.3">
      <c r="G1300"/>
      <c r="H1300"/>
      <c r="I1300"/>
    </row>
    <row r="1301" spans="7:9" x14ac:dyDescent="0.3">
      <c r="G1301"/>
      <c r="H1301"/>
      <c r="I1301"/>
    </row>
    <row r="1302" spans="7:9" x14ac:dyDescent="0.3">
      <c r="G1302"/>
      <c r="H1302"/>
      <c r="I1302"/>
    </row>
    <row r="1303" spans="7:9" x14ac:dyDescent="0.3">
      <c r="G1303"/>
      <c r="H1303"/>
      <c r="I1303"/>
    </row>
    <row r="1304" spans="7:9" x14ac:dyDescent="0.3">
      <c r="G1304"/>
      <c r="H1304"/>
      <c r="I1304"/>
    </row>
    <row r="1305" spans="7:9" x14ac:dyDescent="0.3">
      <c r="G1305"/>
      <c r="H1305"/>
      <c r="I1305"/>
    </row>
    <row r="1306" spans="7:9" x14ac:dyDescent="0.3">
      <c r="G1306"/>
      <c r="H1306"/>
      <c r="I1306"/>
    </row>
    <row r="1307" spans="7:9" x14ac:dyDescent="0.3">
      <c r="G1307"/>
      <c r="H1307"/>
      <c r="I1307"/>
    </row>
    <row r="1308" spans="7:9" x14ac:dyDescent="0.3">
      <c r="G1308"/>
      <c r="H1308"/>
      <c r="I1308"/>
    </row>
    <row r="1309" spans="7:9" x14ac:dyDescent="0.3">
      <c r="G1309"/>
      <c r="H1309"/>
      <c r="I1309"/>
    </row>
    <row r="1310" spans="7:9" x14ac:dyDescent="0.3">
      <c r="G1310"/>
      <c r="H1310"/>
      <c r="I1310"/>
    </row>
    <row r="1311" spans="7:9" x14ac:dyDescent="0.3">
      <c r="G1311"/>
      <c r="H1311"/>
      <c r="I1311"/>
    </row>
    <row r="1312" spans="7:9" x14ac:dyDescent="0.3">
      <c r="G1312"/>
      <c r="H1312"/>
      <c r="I1312"/>
    </row>
    <row r="1313" spans="7:9" x14ac:dyDescent="0.3">
      <c r="G1313"/>
      <c r="H1313"/>
      <c r="I1313"/>
    </row>
    <row r="1314" spans="7:9" x14ac:dyDescent="0.3">
      <c r="G1314"/>
      <c r="H1314"/>
      <c r="I1314"/>
    </row>
    <row r="1315" spans="7:9" x14ac:dyDescent="0.3">
      <c r="G1315"/>
      <c r="H1315"/>
      <c r="I1315"/>
    </row>
    <row r="1316" spans="7:9" x14ac:dyDescent="0.3">
      <c r="G1316"/>
      <c r="H1316"/>
      <c r="I1316"/>
    </row>
    <row r="1317" spans="7:9" x14ac:dyDescent="0.3">
      <c r="G1317"/>
      <c r="H1317"/>
      <c r="I1317"/>
    </row>
    <row r="1318" spans="7:9" x14ac:dyDescent="0.3">
      <c r="G1318"/>
      <c r="H1318"/>
      <c r="I1318"/>
    </row>
    <row r="1319" spans="7:9" x14ac:dyDescent="0.3">
      <c r="G1319"/>
      <c r="H1319"/>
      <c r="I1319"/>
    </row>
    <row r="1320" spans="7:9" x14ac:dyDescent="0.3">
      <c r="G1320"/>
      <c r="H1320"/>
      <c r="I1320"/>
    </row>
    <row r="1321" spans="7:9" x14ac:dyDescent="0.3">
      <c r="G1321"/>
      <c r="H1321"/>
      <c r="I1321"/>
    </row>
    <row r="1322" spans="7:9" x14ac:dyDescent="0.3">
      <c r="G1322"/>
      <c r="H1322"/>
      <c r="I1322"/>
    </row>
    <row r="1323" spans="7:9" x14ac:dyDescent="0.3">
      <c r="G1323"/>
      <c r="H1323"/>
      <c r="I1323"/>
    </row>
    <row r="1324" spans="7:9" x14ac:dyDescent="0.3">
      <c r="G1324"/>
      <c r="H1324"/>
      <c r="I1324"/>
    </row>
    <row r="1325" spans="7:9" x14ac:dyDescent="0.3">
      <c r="G1325"/>
      <c r="H1325"/>
      <c r="I1325"/>
    </row>
    <row r="1326" spans="7:9" x14ac:dyDescent="0.3">
      <c r="G1326"/>
      <c r="H1326"/>
      <c r="I1326"/>
    </row>
    <row r="1327" spans="7:9" x14ac:dyDescent="0.3">
      <c r="G1327"/>
      <c r="H1327"/>
      <c r="I1327"/>
    </row>
    <row r="1328" spans="7:9" x14ac:dyDescent="0.3">
      <c r="G1328"/>
      <c r="H1328"/>
      <c r="I1328"/>
    </row>
    <row r="1329" spans="7:9" x14ac:dyDescent="0.3">
      <c r="G1329"/>
      <c r="H1329"/>
      <c r="I1329"/>
    </row>
    <row r="1330" spans="7:9" x14ac:dyDescent="0.3">
      <c r="G1330"/>
      <c r="H1330"/>
      <c r="I1330"/>
    </row>
    <row r="1331" spans="7:9" x14ac:dyDescent="0.3">
      <c r="G1331"/>
      <c r="H1331"/>
      <c r="I1331"/>
    </row>
    <row r="1332" spans="7:9" x14ac:dyDescent="0.3">
      <c r="G1332"/>
      <c r="H1332"/>
      <c r="I1332"/>
    </row>
    <row r="1333" spans="7:9" x14ac:dyDescent="0.3">
      <c r="G1333"/>
      <c r="H1333"/>
      <c r="I1333"/>
    </row>
    <row r="1334" spans="7:9" x14ac:dyDescent="0.3">
      <c r="G1334"/>
      <c r="H1334"/>
      <c r="I1334"/>
    </row>
    <row r="1335" spans="7:9" x14ac:dyDescent="0.3">
      <c r="G1335"/>
      <c r="H1335"/>
      <c r="I1335"/>
    </row>
    <row r="1336" spans="7:9" x14ac:dyDescent="0.3">
      <c r="G1336"/>
      <c r="H1336"/>
      <c r="I1336"/>
    </row>
    <row r="1337" spans="7:9" x14ac:dyDescent="0.3">
      <c r="G1337"/>
      <c r="H1337"/>
      <c r="I1337"/>
    </row>
    <row r="1338" spans="7:9" x14ac:dyDescent="0.3">
      <c r="G1338"/>
      <c r="H1338"/>
      <c r="I1338"/>
    </row>
    <row r="1339" spans="7:9" x14ac:dyDescent="0.3">
      <c r="G1339"/>
      <c r="H1339"/>
      <c r="I1339"/>
    </row>
    <row r="1340" spans="7:9" x14ac:dyDescent="0.3">
      <c r="G1340"/>
      <c r="H1340"/>
      <c r="I1340"/>
    </row>
    <row r="1341" spans="7:9" x14ac:dyDescent="0.3">
      <c r="G1341"/>
      <c r="H1341"/>
      <c r="I1341"/>
    </row>
    <row r="1342" spans="7:9" x14ac:dyDescent="0.3">
      <c r="G1342"/>
      <c r="H1342"/>
      <c r="I1342"/>
    </row>
    <row r="1343" spans="7:9" x14ac:dyDescent="0.3">
      <c r="G1343"/>
      <c r="H1343"/>
      <c r="I1343"/>
    </row>
    <row r="1344" spans="7:9" x14ac:dyDescent="0.3">
      <c r="G1344"/>
      <c r="H1344"/>
      <c r="I1344"/>
    </row>
    <row r="1345" spans="7:9" x14ac:dyDescent="0.3">
      <c r="G1345"/>
      <c r="H1345"/>
      <c r="I1345"/>
    </row>
    <row r="1346" spans="7:9" x14ac:dyDescent="0.3">
      <c r="G1346"/>
      <c r="H1346"/>
      <c r="I1346"/>
    </row>
    <row r="1347" spans="7:9" x14ac:dyDescent="0.3">
      <c r="G1347"/>
      <c r="H1347"/>
      <c r="I1347"/>
    </row>
    <row r="1348" spans="7:9" x14ac:dyDescent="0.3">
      <c r="G1348"/>
      <c r="H1348"/>
      <c r="I1348"/>
    </row>
    <row r="1349" spans="7:9" x14ac:dyDescent="0.3">
      <c r="G1349"/>
      <c r="H1349"/>
      <c r="I1349"/>
    </row>
    <row r="1350" spans="7:9" x14ac:dyDescent="0.3">
      <c r="G1350"/>
      <c r="H1350"/>
      <c r="I1350"/>
    </row>
    <row r="1351" spans="7:9" x14ac:dyDescent="0.3">
      <c r="G1351"/>
      <c r="H1351"/>
      <c r="I1351"/>
    </row>
    <row r="1352" spans="7:9" x14ac:dyDescent="0.3">
      <c r="G1352"/>
      <c r="H1352"/>
      <c r="I1352"/>
    </row>
    <row r="1353" spans="7:9" x14ac:dyDescent="0.3">
      <c r="G1353"/>
      <c r="H1353"/>
      <c r="I1353"/>
    </row>
    <row r="1354" spans="7:9" x14ac:dyDescent="0.3">
      <c r="G1354"/>
      <c r="H1354"/>
      <c r="I1354"/>
    </row>
    <row r="1355" spans="7:9" x14ac:dyDescent="0.3">
      <c r="G1355"/>
      <c r="H1355"/>
      <c r="I1355"/>
    </row>
    <row r="1356" spans="7:9" x14ac:dyDescent="0.3">
      <c r="G1356"/>
      <c r="H1356"/>
      <c r="I1356"/>
    </row>
    <row r="1357" spans="7:9" x14ac:dyDescent="0.3">
      <c r="G1357"/>
      <c r="H1357"/>
      <c r="I1357"/>
    </row>
    <row r="1358" spans="7:9" x14ac:dyDescent="0.3">
      <c r="G1358"/>
      <c r="H1358"/>
      <c r="I1358"/>
    </row>
    <row r="1359" spans="7:9" x14ac:dyDescent="0.3">
      <c r="G1359"/>
      <c r="H1359"/>
      <c r="I1359"/>
    </row>
    <row r="1360" spans="7:9" x14ac:dyDescent="0.3">
      <c r="G1360"/>
      <c r="H1360"/>
      <c r="I1360"/>
    </row>
    <row r="1361" spans="7:9" x14ac:dyDescent="0.3">
      <c r="G1361"/>
      <c r="H1361"/>
      <c r="I1361"/>
    </row>
    <row r="1362" spans="7:9" x14ac:dyDescent="0.3">
      <c r="G1362"/>
      <c r="H1362"/>
      <c r="I1362"/>
    </row>
    <row r="1363" spans="7:9" x14ac:dyDescent="0.3">
      <c r="G1363"/>
      <c r="H1363"/>
      <c r="I1363"/>
    </row>
    <row r="1364" spans="7:9" x14ac:dyDescent="0.3">
      <c r="G1364"/>
      <c r="H1364"/>
      <c r="I1364"/>
    </row>
    <row r="1365" spans="7:9" x14ac:dyDescent="0.3">
      <c r="G1365"/>
      <c r="H1365"/>
      <c r="I1365"/>
    </row>
    <row r="1366" spans="7:9" x14ac:dyDescent="0.3">
      <c r="G1366"/>
      <c r="H1366"/>
      <c r="I1366"/>
    </row>
    <row r="1367" spans="7:9" x14ac:dyDescent="0.3">
      <c r="G1367"/>
      <c r="H1367"/>
      <c r="I1367"/>
    </row>
    <row r="1368" spans="7:9" x14ac:dyDescent="0.3">
      <c r="G1368"/>
      <c r="H1368"/>
      <c r="I1368"/>
    </row>
    <row r="1369" spans="7:9" x14ac:dyDescent="0.3">
      <c r="G1369"/>
      <c r="H1369"/>
      <c r="I1369"/>
    </row>
    <row r="1370" spans="7:9" x14ac:dyDescent="0.3">
      <c r="G1370"/>
      <c r="H1370"/>
      <c r="I1370"/>
    </row>
    <row r="1371" spans="7:9" x14ac:dyDescent="0.3">
      <c r="G1371"/>
      <c r="H1371"/>
      <c r="I1371"/>
    </row>
    <row r="1372" spans="7:9" x14ac:dyDescent="0.3">
      <c r="G1372"/>
      <c r="H1372"/>
      <c r="I1372"/>
    </row>
    <row r="1373" spans="7:9" x14ac:dyDescent="0.3">
      <c r="G1373"/>
      <c r="H1373"/>
      <c r="I1373"/>
    </row>
    <row r="1374" spans="7:9" x14ac:dyDescent="0.3">
      <c r="G1374"/>
      <c r="H1374"/>
      <c r="I1374"/>
    </row>
    <row r="1375" spans="7:9" x14ac:dyDescent="0.3">
      <c r="G1375"/>
      <c r="H1375"/>
      <c r="I1375"/>
    </row>
    <row r="1376" spans="7:9" x14ac:dyDescent="0.3">
      <c r="G1376"/>
      <c r="H1376"/>
      <c r="I1376"/>
    </row>
    <row r="1377" spans="7:9" x14ac:dyDescent="0.3">
      <c r="G1377"/>
      <c r="H1377"/>
      <c r="I1377"/>
    </row>
    <row r="1378" spans="7:9" x14ac:dyDescent="0.3">
      <c r="G1378"/>
      <c r="H1378"/>
      <c r="I1378"/>
    </row>
    <row r="1379" spans="7:9" x14ac:dyDescent="0.3">
      <c r="G1379"/>
      <c r="H1379"/>
      <c r="I1379"/>
    </row>
    <row r="1380" spans="7:9" x14ac:dyDescent="0.3">
      <c r="G1380"/>
      <c r="H1380"/>
      <c r="I1380"/>
    </row>
    <row r="1381" spans="7:9" x14ac:dyDescent="0.3">
      <c r="G1381"/>
      <c r="H1381"/>
      <c r="I1381"/>
    </row>
    <row r="1382" spans="7:9" x14ac:dyDescent="0.3">
      <c r="G1382"/>
      <c r="H1382"/>
      <c r="I1382"/>
    </row>
    <row r="1383" spans="7:9" x14ac:dyDescent="0.3">
      <c r="G1383"/>
      <c r="H1383"/>
      <c r="I1383"/>
    </row>
    <row r="1384" spans="7:9" x14ac:dyDescent="0.3">
      <c r="G1384"/>
      <c r="H1384"/>
      <c r="I1384"/>
    </row>
    <row r="1385" spans="7:9" x14ac:dyDescent="0.3">
      <c r="G1385"/>
      <c r="H1385"/>
      <c r="I1385"/>
    </row>
    <row r="1386" spans="7:9" x14ac:dyDescent="0.3">
      <c r="G1386"/>
      <c r="H1386"/>
      <c r="I1386"/>
    </row>
    <row r="1387" spans="7:9" x14ac:dyDescent="0.3">
      <c r="G1387"/>
      <c r="H1387"/>
      <c r="I1387"/>
    </row>
    <row r="1388" spans="7:9" x14ac:dyDescent="0.3">
      <c r="G1388"/>
      <c r="H1388"/>
      <c r="I1388"/>
    </row>
    <row r="1389" spans="7:9" x14ac:dyDescent="0.3">
      <c r="G1389"/>
      <c r="H1389"/>
      <c r="I1389"/>
    </row>
    <row r="1390" spans="7:9" x14ac:dyDescent="0.3">
      <c r="G1390"/>
      <c r="H1390"/>
      <c r="I1390"/>
    </row>
    <row r="1391" spans="7:9" x14ac:dyDescent="0.3">
      <c r="G1391"/>
      <c r="H1391"/>
      <c r="I1391"/>
    </row>
    <row r="1392" spans="7:9" x14ac:dyDescent="0.3">
      <c r="G1392"/>
      <c r="H1392"/>
      <c r="I1392"/>
    </row>
    <row r="1393" spans="7:9" x14ac:dyDescent="0.3">
      <c r="G1393"/>
      <c r="H1393"/>
      <c r="I1393"/>
    </row>
    <row r="1394" spans="7:9" x14ac:dyDescent="0.3">
      <c r="G1394"/>
      <c r="H1394"/>
      <c r="I1394"/>
    </row>
    <row r="1395" spans="7:9" x14ac:dyDescent="0.3">
      <c r="G1395"/>
      <c r="H1395"/>
      <c r="I1395"/>
    </row>
    <row r="1396" spans="7:9" x14ac:dyDescent="0.3">
      <c r="G1396"/>
      <c r="H1396"/>
      <c r="I1396"/>
    </row>
    <row r="1397" spans="7:9" x14ac:dyDescent="0.3">
      <c r="G1397"/>
      <c r="H1397"/>
      <c r="I1397"/>
    </row>
    <row r="1398" spans="7:9" x14ac:dyDescent="0.3">
      <c r="G1398"/>
      <c r="H1398"/>
      <c r="I1398"/>
    </row>
    <row r="1399" spans="7:9" x14ac:dyDescent="0.3">
      <c r="G1399"/>
      <c r="H1399"/>
      <c r="I1399"/>
    </row>
    <row r="1400" spans="7:9" x14ac:dyDescent="0.3">
      <c r="G1400"/>
      <c r="H1400"/>
      <c r="I1400"/>
    </row>
    <row r="1401" spans="7:9" x14ac:dyDescent="0.3">
      <c r="G1401"/>
      <c r="H1401"/>
      <c r="I1401"/>
    </row>
    <row r="1402" spans="7:9" x14ac:dyDescent="0.3">
      <c r="G1402"/>
      <c r="H1402"/>
      <c r="I1402"/>
    </row>
    <row r="1403" spans="7:9" x14ac:dyDescent="0.3">
      <c r="G1403"/>
      <c r="H1403"/>
      <c r="I1403"/>
    </row>
    <row r="1404" spans="7:9" x14ac:dyDescent="0.3">
      <c r="G1404"/>
      <c r="H1404"/>
      <c r="I1404"/>
    </row>
    <row r="1405" spans="7:9" x14ac:dyDescent="0.3">
      <c r="G1405"/>
      <c r="H1405"/>
      <c r="I1405"/>
    </row>
    <row r="1406" spans="7:9" x14ac:dyDescent="0.3">
      <c r="G1406"/>
      <c r="H1406"/>
      <c r="I1406"/>
    </row>
    <row r="1407" spans="7:9" x14ac:dyDescent="0.3">
      <c r="G1407"/>
      <c r="H1407"/>
      <c r="I1407"/>
    </row>
    <row r="1408" spans="7:9" x14ac:dyDescent="0.3">
      <c r="G1408"/>
      <c r="H1408"/>
      <c r="I1408"/>
    </row>
    <row r="1409" spans="7:9" x14ac:dyDescent="0.3">
      <c r="G1409"/>
      <c r="H1409"/>
      <c r="I1409"/>
    </row>
    <row r="1410" spans="7:9" x14ac:dyDescent="0.3">
      <c r="G1410"/>
      <c r="H1410"/>
      <c r="I1410"/>
    </row>
    <row r="1411" spans="7:9" x14ac:dyDescent="0.3">
      <c r="G1411"/>
      <c r="H1411"/>
      <c r="I1411"/>
    </row>
    <row r="1412" spans="7:9" x14ac:dyDescent="0.3">
      <c r="G1412"/>
      <c r="H1412"/>
      <c r="I1412"/>
    </row>
    <row r="1413" spans="7:9" x14ac:dyDescent="0.3">
      <c r="G1413"/>
      <c r="H1413"/>
      <c r="I1413"/>
    </row>
    <row r="1414" spans="7:9" x14ac:dyDescent="0.3">
      <c r="G1414"/>
      <c r="H1414"/>
      <c r="I1414"/>
    </row>
    <row r="1415" spans="7:9" x14ac:dyDescent="0.3">
      <c r="G1415"/>
      <c r="H1415"/>
      <c r="I1415"/>
    </row>
    <row r="1416" spans="7:9" x14ac:dyDescent="0.3">
      <c r="G1416"/>
      <c r="H1416"/>
      <c r="I1416"/>
    </row>
    <row r="1417" spans="7:9" x14ac:dyDescent="0.3">
      <c r="G1417"/>
      <c r="H1417"/>
      <c r="I1417"/>
    </row>
    <row r="1418" spans="7:9" x14ac:dyDescent="0.3">
      <c r="G1418"/>
      <c r="H1418"/>
      <c r="I1418"/>
    </row>
    <row r="1419" spans="7:9" x14ac:dyDescent="0.3">
      <c r="G1419"/>
      <c r="H1419"/>
      <c r="I1419"/>
    </row>
    <row r="1420" spans="7:9" x14ac:dyDescent="0.3">
      <c r="G1420"/>
      <c r="H1420"/>
      <c r="I1420"/>
    </row>
    <row r="1421" spans="7:9" x14ac:dyDescent="0.3">
      <c r="G1421"/>
      <c r="H1421"/>
      <c r="I1421"/>
    </row>
    <row r="1422" spans="7:9" x14ac:dyDescent="0.3">
      <c r="G1422"/>
      <c r="H1422"/>
      <c r="I1422"/>
    </row>
    <row r="1423" spans="7:9" x14ac:dyDescent="0.3">
      <c r="G1423"/>
      <c r="H1423"/>
      <c r="I1423"/>
    </row>
    <row r="1424" spans="7:9" x14ac:dyDescent="0.3">
      <c r="G1424"/>
      <c r="H1424"/>
      <c r="I1424"/>
    </row>
    <row r="1425" spans="7:8" x14ac:dyDescent="0.3">
      <c r="G1425"/>
      <c r="H1425"/>
    </row>
    <row r="1426" spans="7:8" x14ac:dyDescent="0.3">
      <c r="G1426"/>
      <c r="H1426"/>
    </row>
    <row r="1427" spans="7:8" x14ac:dyDescent="0.3">
      <c r="G1427"/>
      <c r="H1427"/>
    </row>
    <row r="1428" spans="7:8" x14ac:dyDescent="0.3">
      <c r="G1428"/>
      <c r="H1428"/>
    </row>
    <row r="1429" spans="7:8" x14ac:dyDescent="0.3">
      <c r="G1429"/>
      <c r="H1429"/>
    </row>
    <row r="1430" spans="7:8" x14ac:dyDescent="0.3">
      <c r="G1430"/>
      <c r="H1430"/>
    </row>
    <row r="1431" spans="7:8" x14ac:dyDescent="0.3">
      <c r="G1431"/>
      <c r="H1431"/>
    </row>
    <row r="1432" spans="7:8" x14ac:dyDescent="0.3">
      <c r="G1432"/>
      <c r="H1432"/>
    </row>
    <row r="1433" spans="7:8" x14ac:dyDescent="0.3">
      <c r="G1433"/>
      <c r="H1433"/>
    </row>
    <row r="1434" spans="7:8" x14ac:dyDescent="0.3">
      <c r="G1434"/>
      <c r="H1434"/>
    </row>
    <row r="1435" spans="7:8" x14ac:dyDescent="0.3">
      <c r="G1435"/>
      <c r="H1435"/>
    </row>
    <row r="1436" spans="7:8" x14ac:dyDescent="0.3">
      <c r="G1436"/>
      <c r="H1436"/>
    </row>
    <row r="1437" spans="7:8" x14ac:dyDescent="0.3">
      <c r="G1437"/>
      <c r="H1437"/>
    </row>
    <row r="1438" spans="7:8" x14ac:dyDescent="0.3">
      <c r="G1438"/>
      <c r="H1438"/>
    </row>
    <row r="1439" spans="7:8" x14ac:dyDescent="0.3">
      <c r="G1439"/>
      <c r="H1439"/>
    </row>
    <row r="1440" spans="7:8" x14ac:dyDescent="0.3">
      <c r="G1440"/>
      <c r="H1440"/>
    </row>
    <row r="1441" spans="7:8" x14ac:dyDescent="0.3">
      <c r="G1441"/>
      <c r="H1441"/>
    </row>
    <row r="1442" spans="7:8" x14ac:dyDescent="0.3">
      <c r="G1442"/>
      <c r="H1442"/>
    </row>
    <row r="1443" spans="7:8" x14ac:dyDescent="0.3">
      <c r="G1443"/>
      <c r="H1443"/>
    </row>
    <row r="1444" spans="7:8" x14ac:dyDescent="0.3">
      <c r="G1444"/>
      <c r="H1444"/>
    </row>
    <row r="1445" spans="7:8" x14ac:dyDescent="0.3">
      <c r="G1445"/>
      <c r="H1445"/>
    </row>
    <row r="1446" spans="7:8" x14ac:dyDescent="0.3">
      <c r="G1446"/>
      <c r="H1446"/>
    </row>
    <row r="1447" spans="7:8" x14ac:dyDescent="0.3">
      <c r="G1447"/>
      <c r="H1447"/>
    </row>
    <row r="1448" spans="7:8" x14ac:dyDescent="0.3">
      <c r="G1448"/>
      <c r="H1448"/>
    </row>
    <row r="1449" spans="7:8" x14ac:dyDescent="0.3">
      <c r="G1449"/>
      <c r="H1449"/>
    </row>
    <row r="1450" spans="7:8" x14ac:dyDescent="0.3">
      <c r="G1450"/>
      <c r="H1450"/>
    </row>
    <row r="1451" spans="7:8" x14ac:dyDescent="0.3">
      <c r="G1451"/>
      <c r="H1451"/>
    </row>
    <row r="1452" spans="7:8" x14ac:dyDescent="0.3">
      <c r="G1452"/>
      <c r="H1452"/>
    </row>
    <row r="1453" spans="7:8" x14ac:dyDescent="0.3">
      <c r="G1453"/>
      <c r="H1453"/>
    </row>
    <row r="1454" spans="7:8" x14ac:dyDescent="0.3">
      <c r="G1454"/>
      <c r="H1454"/>
    </row>
    <row r="1455" spans="7:8" x14ac:dyDescent="0.3">
      <c r="G1455"/>
      <c r="H1455"/>
    </row>
    <row r="1456" spans="7:8" x14ac:dyDescent="0.3">
      <c r="G1456"/>
      <c r="H1456"/>
    </row>
    <row r="1457" spans="7:8" x14ac:dyDescent="0.3">
      <c r="G1457"/>
      <c r="H1457"/>
    </row>
    <row r="1458" spans="7:8" x14ac:dyDescent="0.3">
      <c r="G1458"/>
      <c r="H1458"/>
    </row>
    <row r="1459" spans="7:8" x14ac:dyDescent="0.3">
      <c r="G1459"/>
      <c r="H1459"/>
    </row>
    <row r="1460" spans="7:8" x14ac:dyDescent="0.3">
      <c r="G1460"/>
      <c r="H1460"/>
    </row>
    <row r="1461" spans="7:8" x14ac:dyDescent="0.3">
      <c r="G1461"/>
      <c r="H1461"/>
    </row>
    <row r="1462" spans="7:8" x14ac:dyDescent="0.3">
      <c r="G1462"/>
      <c r="H1462"/>
    </row>
    <row r="1463" spans="7:8" x14ac:dyDescent="0.3">
      <c r="G1463"/>
      <c r="H1463"/>
    </row>
    <row r="1464" spans="7:8" x14ac:dyDescent="0.3">
      <c r="G1464"/>
      <c r="H1464"/>
    </row>
    <row r="1465" spans="7:8" x14ac:dyDescent="0.3">
      <c r="G1465"/>
      <c r="H1465"/>
    </row>
    <row r="1466" spans="7:8" x14ac:dyDescent="0.3">
      <c r="G1466"/>
      <c r="H1466"/>
    </row>
    <row r="1467" spans="7:8" x14ac:dyDescent="0.3">
      <c r="G1467"/>
      <c r="H1467"/>
    </row>
    <row r="1468" spans="7:8" x14ac:dyDescent="0.3">
      <c r="G1468"/>
      <c r="H1468"/>
    </row>
    <row r="1469" spans="7:8" x14ac:dyDescent="0.3">
      <c r="G1469"/>
      <c r="H1469"/>
    </row>
    <row r="1470" spans="7:8" x14ac:dyDescent="0.3">
      <c r="G1470"/>
      <c r="H1470"/>
    </row>
    <row r="1471" spans="7:8" x14ac:dyDescent="0.3">
      <c r="G1471"/>
      <c r="H1471"/>
    </row>
    <row r="1472" spans="7:8" x14ac:dyDescent="0.3">
      <c r="G1472"/>
      <c r="H1472"/>
    </row>
    <row r="1473" spans="7:8" x14ac:dyDescent="0.3">
      <c r="G1473"/>
      <c r="H1473"/>
    </row>
    <row r="1474" spans="7:8" x14ac:dyDescent="0.3">
      <c r="G1474"/>
      <c r="H1474"/>
    </row>
    <row r="1475" spans="7:8" x14ac:dyDescent="0.3">
      <c r="G1475"/>
      <c r="H1475"/>
    </row>
    <row r="1476" spans="7:8" x14ac:dyDescent="0.3">
      <c r="G1476"/>
      <c r="H1476"/>
    </row>
    <row r="1477" spans="7:8" x14ac:dyDescent="0.3">
      <c r="G1477"/>
      <c r="H1477"/>
    </row>
    <row r="1478" spans="7:8" x14ac:dyDescent="0.3">
      <c r="G1478"/>
      <c r="H1478"/>
    </row>
    <row r="1479" spans="7:8" x14ac:dyDescent="0.3">
      <c r="G1479"/>
      <c r="H1479"/>
    </row>
    <row r="1480" spans="7:8" x14ac:dyDescent="0.3">
      <c r="G1480"/>
      <c r="H1480"/>
    </row>
    <row r="1481" spans="7:8" x14ac:dyDescent="0.3">
      <c r="G1481"/>
      <c r="H1481"/>
    </row>
    <row r="1482" spans="7:8" x14ac:dyDescent="0.3">
      <c r="G1482"/>
      <c r="H1482"/>
    </row>
    <row r="1483" spans="7:8" x14ac:dyDescent="0.3">
      <c r="G1483"/>
      <c r="H1483"/>
    </row>
    <row r="1484" spans="7:8" x14ac:dyDescent="0.3">
      <c r="G1484"/>
      <c r="H1484"/>
    </row>
    <row r="1485" spans="7:8" x14ac:dyDescent="0.3">
      <c r="G1485"/>
      <c r="H1485"/>
    </row>
    <row r="1486" spans="7:8" x14ac:dyDescent="0.3">
      <c r="G1486"/>
      <c r="H1486"/>
    </row>
    <row r="1487" spans="7:8" x14ac:dyDescent="0.3">
      <c r="G1487"/>
      <c r="H1487"/>
    </row>
    <row r="1488" spans="7:8" x14ac:dyDescent="0.3">
      <c r="G1488"/>
      <c r="H1488"/>
    </row>
    <row r="1489" spans="7:8" x14ac:dyDescent="0.3">
      <c r="G1489"/>
      <c r="H1489"/>
    </row>
    <row r="1490" spans="7:8" x14ac:dyDescent="0.3">
      <c r="G1490"/>
      <c r="H1490"/>
    </row>
    <row r="1491" spans="7:8" x14ac:dyDescent="0.3">
      <c r="G1491"/>
      <c r="H1491"/>
    </row>
    <row r="1492" spans="7:8" x14ac:dyDescent="0.3">
      <c r="G1492"/>
      <c r="H1492"/>
    </row>
    <row r="1493" spans="7:8" x14ac:dyDescent="0.3">
      <c r="G1493"/>
      <c r="H1493"/>
    </row>
    <row r="1494" spans="7:8" x14ac:dyDescent="0.3">
      <c r="G1494"/>
      <c r="H1494"/>
    </row>
    <row r="1495" spans="7:8" x14ac:dyDescent="0.3">
      <c r="G1495"/>
      <c r="H1495"/>
    </row>
    <row r="1496" spans="7:8" x14ac:dyDescent="0.3">
      <c r="G1496"/>
      <c r="H1496"/>
    </row>
    <row r="1497" spans="7:8" x14ac:dyDescent="0.3">
      <c r="G1497"/>
      <c r="H1497"/>
    </row>
    <row r="1498" spans="7:8" x14ac:dyDescent="0.3">
      <c r="G1498"/>
      <c r="H1498"/>
    </row>
    <row r="1499" spans="7:8" x14ac:dyDescent="0.3">
      <c r="G1499"/>
      <c r="H1499"/>
    </row>
    <row r="1500" spans="7:8" x14ac:dyDescent="0.3">
      <c r="G1500"/>
      <c r="H1500"/>
    </row>
    <row r="1501" spans="7:8" x14ac:dyDescent="0.3">
      <c r="G1501"/>
      <c r="H1501"/>
    </row>
    <row r="1502" spans="7:8" x14ac:dyDescent="0.3">
      <c r="G1502"/>
      <c r="H1502"/>
    </row>
    <row r="1503" spans="7:8" x14ac:dyDescent="0.3">
      <c r="G1503"/>
      <c r="H1503"/>
    </row>
    <row r="1504" spans="7:8" x14ac:dyDescent="0.3">
      <c r="G1504"/>
      <c r="H1504"/>
    </row>
    <row r="1505" spans="7:8" x14ac:dyDescent="0.3">
      <c r="G1505"/>
      <c r="H1505"/>
    </row>
    <row r="1506" spans="7:8" x14ac:dyDescent="0.3">
      <c r="G1506"/>
      <c r="H1506"/>
    </row>
    <row r="1507" spans="7:8" x14ac:dyDescent="0.3">
      <c r="G1507"/>
      <c r="H1507"/>
    </row>
    <row r="1508" spans="7:8" x14ac:dyDescent="0.3">
      <c r="G1508"/>
      <c r="H1508"/>
    </row>
    <row r="1509" spans="7:8" x14ac:dyDescent="0.3">
      <c r="G1509"/>
      <c r="H1509"/>
    </row>
    <row r="1510" spans="7:8" x14ac:dyDescent="0.3">
      <c r="G1510"/>
      <c r="H1510"/>
    </row>
    <row r="1511" spans="7:8" x14ac:dyDescent="0.3">
      <c r="G1511"/>
      <c r="H1511"/>
    </row>
    <row r="1512" spans="7:8" x14ac:dyDescent="0.3">
      <c r="G1512"/>
      <c r="H1512"/>
    </row>
    <row r="1513" spans="7:8" x14ac:dyDescent="0.3">
      <c r="G1513"/>
      <c r="H1513"/>
    </row>
    <row r="1514" spans="7:8" x14ac:dyDescent="0.3">
      <c r="G1514"/>
      <c r="H1514"/>
    </row>
    <row r="1515" spans="7:8" x14ac:dyDescent="0.3">
      <c r="G1515"/>
      <c r="H1515"/>
    </row>
    <row r="1516" spans="7:8" x14ac:dyDescent="0.3">
      <c r="G1516"/>
      <c r="H1516"/>
    </row>
    <row r="1517" spans="7:8" x14ac:dyDescent="0.3">
      <c r="G1517"/>
      <c r="H1517"/>
    </row>
    <row r="1518" spans="7:8" x14ac:dyDescent="0.3">
      <c r="G1518"/>
      <c r="H1518"/>
    </row>
    <row r="1519" spans="7:8" x14ac:dyDescent="0.3">
      <c r="G1519"/>
      <c r="H1519"/>
    </row>
    <row r="1520" spans="7:8" x14ac:dyDescent="0.3">
      <c r="G1520"/>
      <c r="H1520"/>
    </row>
    <row r="1521" spans="7:8" x14ac:dyDescent="0.3">
      <c r="G1521"/>
      <c r="H1521"/>
    </row>
    <row r="1522" spans="7:8" x14ac:dyDescent="0.3">
      <c r="G1522"/>
      <c r="H1522"/>
    </row>
    <row r="1523" spans="7:8" x14ac:dyDescent="0.3">
      <c r="G1523"/>
      <c r="H1523"/>
    </row>
    <row r="1524" spans="7:8" x14ac:dyDescent="0.3">
      <c r="G1524"/>
      <c r="H1524"/>
    </row>
    <row r="1525" spans="7:8" x14ac:dyDescent="0.3">
      <c r="G1525"/>
      <c r="H1525"/>
    </row>
    <row r="1526" spans="7:8" x14ac:dyDescent="0.3">
      <c r="G1526"/>
      <c r="H1526"/>
    </row>
    <row r="1527" spans="7:8" x14ac:dyDescent="0.3">
      <c r="G1527"/>
      <c r="H1527"/>
    </row>
    <row r="1528" spans="7:8" x14ac:dyDescent="0.3">
      <c r="G1528"/>
      <c r="H1528"/>
    </row>
    <row r="1529" spans="7:8" x14ac:dyDescent="0.3">
      <c r="G1529"/>
      <c r="H1529"/>
    </row>
    <row r="1530" spans="7:8" x14ac:dyDescent="0.3">
      <c r="G1530"/>
      <c r="H1530"/>
    </row>
    <row r="1531" spans="7:8" x14ac:dyDescent="0.3">
      <c r="G1531"/>
      <c r="H1531"/>
    </row>
    <row r="1532" spans="7:8" x14ac:dyDescent="0.3">
      <c r="G1532"/>
      <c r="H1532"/>
    </row>
    <row r="1533" spans="7:8" x14ac:dyDescent="0.3">
      <c r="G1533"/>
      <c r="H1533"/>
    </row>
    <row r="1534" spans="7:8" x14ac:dyDescent="0.3">
      <c r="G1534"/>
      <c r="H1534"/>
    </row>
    <row r="1535" spans="7:8" x14ac:dyDescent="0.3">
      <c r="G1535"/>
      <c r="H1535"/>
    </row>
    <row r="1536" spans="7:8" x14ac:dyDescent="0.3">
      <c r="G1536"/>
      <c r="H1536"/>
    </row>
    <row r="1537" spans="7:8" x14ac:dyDescent="0.3">
      <c r="G1537"/>
      <c r="H1537"/>
    </row>
    <row r="1538" spans="7:8" x14ac:dyDescent="0.3">
      <c r="G1538"/>
      <c r="H1538"/>
    </row>
    <row r="1539" spans="7:8" x14ac:dyDescent="0.3">
      <c r="G1539"/>
      <c r="H1539"/>
    </row>
    <row r="1540" spans="7:8" x14ac:dyDescent="0.3">
      <c r="G1540"/>
      <c r="H1540"/>
    </row>
    <row r="1541" spans="7:8" x14ac:dyDescent="0.3">
      <c r="G1541"/>
      <c r="H1541"/>
    </row>
    <row r="1542" spans="7:8" x14ac:dyDescent="0.3">
      <c r="G1542"/>
      <c r="H1542"/>
    </row>
    <row r="1543" spans="7:8" x14ac:dyDescent="0.3">
      <c r="G1543"/>
      <c r="H1543"/>
    </row>
    <row r="1544" spans="7:8" x14ac:dyDescent="0.3">
      <c r="G1544"/>
      <c r="H1544"/>
    </row>
    <row r="1545" spans="7:8" x14ac:dyDescent="0.3">
      <c r="G1545"/>
      <c r="H1545"/>
    </row>
    <row r="1546" spans="7:8" x14ac:dyDescent="0.3">
      <c r="G1546"/>
      <c r="H1546"/>
    </row>
    <row r="1547" spans="7:8" x14ac:dyDescent="0.3">
      <c r="G1547"/>
      <c r="H1547"/>
    </row>
    <row r="1548" spans="7:8" x14ac:dyDescent="0.3">
      <c r="G1548"/>
      <c r="H1548"/>
    </row>
    <row r="1549" spans="7:8" x14ac:dyDescent="0.3">
      <c r="G1549"/>
      <c r="H1549"/>
    </row>
    <row r="1550" spans="7:8" x14ac:dyDescent="0.3">
      <c r="G1550"/>
      <c r="H1550"/>
    </row>
    <row r="1551" spans="7:8" x14ac:dyDescent="0.3">
      <c r="G1551"/>
      <c r="H1551"/>
    </row>
    <row r="1552" spans="7:8" x14ac:dyDescent="0.3">
      <c r="G1552"/>
      <c r="H1552"/>
    </row>
    <row r="1553" spans="7:8" x14ac:dyDescent="0.3">
      <c r="G1553"/>
      <c r="H1553"/>
    </row>
    <row r="1554" spans="7:8" x14ac:dyDescent="0.3">
      <c r="G1554"/>
      <c r="H1554"/>
    </row>
    <row r="1555" spans="7:8" x14ac:dyDescent="0.3">
      <c r="G1555"/>
      <c r="H1555"/>
    </row>
    <row r="1556" spans="7:8" x14ac:dyDescent="0.3">
      <c r="G1556"/>
      <c r="H1556"/>
    </row>
    <row r="1557" spans="7:8" x14ac:dyDescent="0.3">
      <c r="G1557"/>
      <c r="H1557"/>
    </row>
    <row r="1558" spans="7:8" x14ac:dyDescent="0.3">
      <c r="G1558"/>
      <c r="H1558"/>
    </row>
    <row r="1559" spans="7:8" x14ac:dyDescent="0.3">
      <c r="G1559"/>
      <c r="H1559"/>
    </row>
    <row r="1560" spans="7:8" x14ac:dyDescent="0.3">
      <c r="G1560"/>
      <c r="H1560"/>
    </row>
    <row r="1561" spans="7:8" x14ac:dyDescent="0.3">
      <c r="G1561"/>
      <c r="H1561"/>
    </row>
    <row r="1562" spans="7:8" x14ac:dyDescent="0.3">
      <c r="G1562"/>
      <c r="H1562"/>
    </row>
    <row r="1563" spans="7:8" x14ac:dyDescent="0.3">
      <c r="G1563"/>
      <c r="H1563"/>
    </row>
    <row r="1564" spans="7:8" x14ac:dyDescent="0.3">
      <c r="G1564"/>
      <c r="H1564"/>
    </row>
    <row r="1565" spans="7:8" x14ac:dyDescent="0.3">
      <c r="G1565"/>
      <c r="H1565"/>
    </row>
    <row r="1566" spans="7:8" x14ac:dyDescent="0.3">
      <c r="G1566"/>
      <c r="H1566"/>
    </row>
    <row r="1567" spans="7:8" x14ac:dyDescent="0.3">
      <c r="G1567"/>
      <c r="H1567"/>
    </row>
    <row r="1568" spans="7:8" x14ac:dyDescent="0.3">
      <c r="G1568"/>
      <c r="H1568"/>
    </row>
    <row r="1569" spans="7:8" x14ac:dyDescent="0.3">
      <c r="G1569"/>
      <c r="H1569"/>
    </row>
    <row r="1570" spans="7:8" x14ac:dyDescent="0.3">
      <c r="G1570"/>
      <c r="H1570"/>
    </row>
    <row r="1571" spans="7:8" x14ac:dyDescent="0.3">
      <c r="G1571"/>
      <c r="H1571"/>
    </row>
    <row r="1572" spans="7:8" x14ac:dyDescent="0.3">
      <c r="G1572"/>
      <c r="H1572"/>
    </row>
    <row r="1573" spans="7:8" x14ac:dyDescent="0.3">
      <c r="G1573"/>
      <c r="H1573"/>
    </row>
    <row r="1574" spans="7:8" x14ac:dyDescent="0.3">
      <c r="G1574"/>
      <c r="H1574"/>
    </row>
    <row r="1575" spans="7:8" x14ac:dyDescent="0.3">
      <c r="G1575"/>
      <c r="H1575"/>
    </row>
    <row r="1576" spans="7:8" x14ac:dyDescent="0.3">
      <c r="G1576"/>
      <c r="H1576"/>
    </row>
    <row r="1577" spans="7:8" x14ac:dyDescent="0.3">
      <c r="G1577"/>
      <c r="H1577"/>
    </row>
    <row r="1578" spans="7:8" x14ac:dyDescent="0.3">
      <c r="G1578"/>
      <c r="H1578"/>
    </row>
    <row r="1579" spans="7:8" x14ac:dyDescent="0.3">
      <c r="G1579"/>
      <c r="H1579"/>
    </row>
    <row r="1580" spans="7:8" x14ac:dyDescent="0.3">
      <c r="G1580"/>
      <c r="H1580"/>
    </row>
    <row r="1581" spans="7:8" x14ac:dyDescent="0.3">
      <c r="G1581"/>
      <c r="H1581"/>
    </row>
    <row r="1582" spans="7:8" x14ac:dyDescent="0.3">
      <c r="G1582"/>
      <c r="H1582"/>
    </row>
    <row r="1583" spans="7:8" x14ac:dyDescent="0.3">
      <c r="G1583"/>
      <c r="H1583"/>
    </row>
    <row r="1584" spans="7:8" x14ac:dyDescent="0.3">
      <c r="G1584"/>
      <c r="H1584"/>
    </row>
    <row r="1585" spans="7:8" x14ac:dyDescent="0.3">
      <c r="G1585"/>
      <c r="H1585"/>
    </row>
    <row r="1586" spans="7:8" x14ac:dyDescent="0.3">
      <c r="G1586"/>
      <c r="H1586"/>
    </row>
    <row r="1587" spans="7:8" x14ac:dyDescent="0.3">
      <c r="G1587"/>
      <c r="H1587"/>
    </row>
    <row r="1588" spans="7:8" x14ac:dyDescent="0.3">
      <c r="G1588"/>
      <c r="H1588"/>
    </row>
    <row r="1589" spans="7:8" x14ac:dyDescent="0.3">
      <c r="G1589"/>
      <c r="H1589"/>
    </row>
    <row r="1590" spans="7:8" x14ac:dyDescent="0.3">
      <c r="G1590"/>
      <c r="H1590"/>
    </row>
    <row r="1591" spans="7:8" x14ac:dyDescent="0.3">
      <c r="G1591"/>
      <c r="H1591"/>
    </row>
    <row r="1592" spans="7:8" x14ac:dyDescent="0.3">
      <c r="G1592"/>
      <c r="H1592"/>
    </row>
    <row r="1593" spans="7:8" x14ac:dyDescent="0.3">
      <c r="G1593"/>
      <c r="H1593"/>
    </row>
    <row r="1594" spans="7:8" x14ac:dyDescent="0.3">
      <c r="G1594"/>
      <c r="H1594"/>
    </row>
    <row r="1595" spans="7:8" x14ac:dyDescent="0.3">
      <c r="G1595"/>
      <c r="H1595"/>
    </row>
    <row r="1596" spans="7:8" x14ac:dyDescent="0.3">
      <c r="G1596"/>
      <c r="H1596"/>
    </row>
    <row r="1597" spans="7:8" x14ac:dyDescent="0.3">
      <c r="G1597"/>
      <c r="H1597"/>
    </row>
    <row r="1598" spans="7:8" x14ac:dyDescent="0.3">
      <c r="G1598"/>
      <c r="H1598"/>
    </row>
    <row r="1599" spans="7:8" x14ac:dyDescent="0.3">
      <c r="G1599"/>
      <c r="H1599"/>
    </row>
    <row r="1600" spans="7:8" x14ac:dyDescent="0.3">
      <c r="G1600"/>
      <c r="H1600"/>
    </row>
    <row r="1601" spans="7:8" x14ac:dyDescent="0.3">
      <c r="G1601"/>
      <c r="H1601"/>
    </row>
    <row r="1602" spans="7:8" x14ac:dyDescent="0.3">
      <c r="G1602"/>
      <c r="H1602"/>
    </row>
    <row r="1603" spans="7:8" x14ac:dyDescent="0.3">
      <c r="G1603"/>
      <c r="H1603"/>
    </row>
    <row r="1604" spans="7:8" x14ac:dyDescent="0.3">
      <c r="G1604"/>
      <c r="H1604"/>
    </row>
    <row r="1605" spans="7:8" x14ac:dyDescent="0.3">
      <c r="G1605"/>
      <c r="H1605"/>
    </row>
    <row r="1606" spans="7:8" x14ac:dyDescent="0.3">
      <c r="G1606"/>
      <c r="H1606"/>
    </row>
    <row r="1607" spans="7:8" x14ac:dyDescent="0.3">
      <c r="G1607"/>
      <c r="H1607"/>
    </row>
    <row r="1608" spans="7:8" x14ac:dyDescent="0.3">
      <c r="G1608"/>
      <c r="H1608"/>
    </row>
    <row r="1609" spans="7:8" x14ac:dyDescent="0.3">
      <c r="G1609"/>
      <c r="H1609"/>
    </row>
    <row r="1610" spans="7:8" x14ac:dyDescent="0.3">
      <c r="G1610"/>
      <c r="H1610"/>
    </row>
    <row r="1611" spans="7:8" x14ac:dyDescent="0.3">
      <c r="G1611"/>
      <c r="H1611"/>
    </row>
    <row r="1612" spans="7:8" x14ac:dyDescent="0.3">
      <c r="G1612"/>
      <c r="H1612"/>
    </row>
    <row r="1613" spans="7:8" x14ac:dyDescent="0.3">
      <c r="G1613"/>
      <c r="H1613"/>
    </row>
    <row r="1614" spans="7:8" x14ac:dyDescent="0.3">
      <c r="G1614"/>
      <c r="H1614"/>
    </row>
    <row r="1615" spans="7:8" x14ac:dyDescent="0.3">
      <c r="G1615"/>
      <c r="H1615"/>
    </row>
    <row r="1616" spans="7:8" x14ac:dyDescent="0.3">
      <c r="G1616"/>
      <c r="H1616"/>
    </row>
    <row r="1617" spans="7:8" x14ac:dyDescent="0.3">
      <c r="G1617"/>
      <c r="H1617"/>
    </row>
    <row r="1618" spans="7:8" x14ac:dyDescent="0.3">
      <c r="G1618"/>
      <c r="H1618"/>
    </row>
    <row r="1619" spans="7:8" x14ac:dyDescent="0.3">
      <c r="G1619"/>
      <c r="H1619"/>
    </row>
    <row r="1620" spans="7:8" x14ac:dyDescent="0.3">
      <c r="G1620"/>
      <c r="H1620"/>
    </row>
    <row r="1621" spans="7:8" x14ac:dyDescent="0.3">
      <c r="G1621"/>
      <c r="H1621"/>
    </row>
    <row r="1622" spans="7:8" x14ac:dyDescent="0.3">
      <c r="G1622"/>
      <c r="H1622"/>
    </row>
    <row r="1623" spans="7:8" x14ac:dyDescent="0.3">
      <c r="G1623"/>
      <c r="H1623"/>
    </row>
    <row r="1624" spans="7:8" x14ac:dyDescent="0.3">
      <c r="G1624"/>
      <c r="H1624"/>
    </row>
    <row r="1625" spans="7:8" x14ac:dyDescent="0.3">
      <c r="G1625"/>
      <c r="H1625"/>
    </row>
    <row r="1626" spans="7:8" x14ac:dyDescent="0.3">
      <c r="G1626"/>
      <c r="H1626"/>
    </row>
    <row r="1627" spans="7:8" x14ac:dyDescent="0.3">
      <c r="G1627"/>
      <c r="H1627"/>
    </row>
    <row r="1628" spans="7:8" x14ac:dyDescent="0.3">
      <c r="G1628"/>
      <c r="H1628"/>
    </row>
    <row r="1629" spans="7:8" x14ac:dyDescent="0.3">
      <c r="G1629"/>
      <c r="H1629"/>
    </row>
    <row r="1630" spans="7:8" x14ac:dyDescent="0.3">
      <c r="G1630"/>
      <c r="H1630"/>
    </row>
    <row r="1631" spans="7:8" x14ac:dyDescent="0.3">
      <c r="G1631"/>
      <c r="H1631"/>
    </row>
    <row r="1632" spans="7:8" x14ac:dyDescent="0.3">
      <c r="G1632"/>
      <c r="H1632"/>
    </row>
    <row r="1633" spans="7:8" x14ac:dyDescent="0.3">
      <c r="G1633"/>
      <c r="H1633"/>
    </row>
    <row r="1634" spans="7:8" x14ac:dyDescent="0.3">
      <c r="G1634"/>
      <c r="H1634"/>
    </row>
    <row r="1635" spans="7:8" x14ac:dyDescent="0.3">
      <c r="G1635"/>
      <c r="H1635"/>
    </row>
    <row r="1636" spans="7:8" x14ac:dyDescent="0.3">
      <c r="G1636"/>
      <c r="H1636"/>
    </row>
    <row r="1637" spans="7:8" x14ac:dyDescent="0.3">
      <c r="G1637"/>
      <c r="H1637"/>
    </row>
    <row r="1638" spans="7:8" x14ac:dyDescent="0.3">
      <c r="G1638"/>
      <c r="H1638"/>
    </row>
    <row r="1639" spans="7:8" x14ac:dyDescent="0.3">
      <c r="G1639"/>
      <c r="H1639"/>
    </row>
    <row r="1640" spans="7:8" x14ac:dyDescent="0.3">
      <c r="G1640"/>
      <c r="H1640"/>
    </row>
    <row r="1641" spans="7:8" x14ac:dyDescent="0.3">
      <c r="G1641"/>
      <c r="H1641"/>
    </row>
    <row r="1642" spans="7:8" x14ac:dyDescent="0.3">
      <c r="G1642"/>
      <c r="H1642"/>
    </row>
    <row r="1643" spans="7:8" x14ac:dyDescent="0.3">
      <c r="G1643"/>
      <c r="H1643"/>
    </row>
    <row r="1644" spans="7:8" x14ac:dyDescent="0.3">
      <c r="G1644"/>
      <c r="H1644"/>
    </row>
    <row r="1645" spans="7:8" x14ac:dyDescent="0.3">
      <c r="G1645"/>
      <c r="H1645"/>
    </row>
    <row r="1646" spans="7:8" x14ac:dyDescent="0.3">
      <c r="G1646"/>
      <c r="H1646"/>
    </row>
    <row r="1647" spans="7:8" x14ac:dyDescent="0.3">
      <c r="G1647"/>
      <c r="H1647"/>
    </row>
    <row r="1648" spans="7:8" x14ac:dyDescent="0.3">
      <c r="G1648"/>
      <c r="H1648"/>
    </row>
    <row r="1649" spans="7:8" x14ac:dyDescent="0.3">
      <c r="G1649"/>
      <c r="H1649"/>
    </row>
    <row r="1650" spans="7:8" x14ac:dyDescent="0.3">
      <c r="G1650"/>
      <c r="H1650"/>
    </row>
    <row r="1651" spans="7:8" x14ac:dyDescent="0.3">
      <c r="G1651"/>
      <c r="H1651"/>
    </row>
    <row r="1652" spans="7:8" x14ac:dyDescent="0.3">
      <c r="G1652"/>
      <c r="H1652"/>
    </row>
    <row r="1653" spans="7:8" x14ac:dyDescent="0.3">
      <c r="G1653"/>
      <c r="H1653"/>
    </row>
    <row r="1654" spans="7:8" x14ac:dyDescent="0.3">
      <c r="G1654"/>
      <c r="H1654"/>
    </row>
    <row r="1655" spans="7:8" x14ac:dyDescent="0.3">
      <c r="G1655"/>
      <c r="H1655"/>
    </row>
    <row r="1656" spans="7:8" x14ac:dyDescent="0.3">
      <c r="G1656"/>
      <c r="H1656"/>
    </row>
    <row r="1657" spans="7:8" x14ac:dyDescent="0.3">
      <c r="G1657"/>
      <c r="H1657"/>
    </row>
    <row r="1658" spans="7:8" x14ac:dyDescent="0.3">
      <c r="G1658"/>
      <c r="H1658"/>
    </row>
    <row r="1659" spans="7:8" x14ac:dyDescent="0.3">
      <c r="G1659"/>
      <c r="H1659"/>
    </row>
    <row r="1660" spans="7:8" x14ac:dyDescent="0.3">
      <c r="G1660"/>
      <c r="H1660"/>
    </row>
    <row r="1661" spans="7:8" x14ac:dyDescent="0.3">
      <c r="G1661"/>
      <c r="H1661"/>
    </row>
    <row r="1662" spans="7:8" x14ac:dyDescent="0.3">
      <c r="G1662"/>
      <c r="H1662"/>
    </row>
    <row r="1663" spans="7:8" x14ac:dyDescent="0.3">
      <c r="G1663"/>
      <c r="H1663"/>
    </row>
    <row r="1664" spans="7:8" x14ac:dyDescent="0.3">
      <c r="G1664"/>
      <c r="H1664"/>
    </row>
    <row r="1665" spans="7:8" x14ac:dyDescent="0.3">
      <c r="G1665"/>
      <c r="H1665"/>
    </row>
    <row r="1666" spans="7:8" x14ac:dyDescent="0.3">
      <c r="G1666"/>
      <c r="H1666"/>
    </row>
    <row r="1667" spans="7:8" x14ac:dyDescent="0.3">
      <c r="G1667"/>
      <c r="H1667"/>
    </row>
    <row r="1668" spans="7:8" x14ac:dyDescent="0.3">
      <c r="G1668"/>
      <c r="H1668"/>
    </row>
    <row r="1669" spans="7:8" x14ac:dyDescent="0.3">
      <c r="G1669"/>
      <c r="H1669"/>
    </row>
    <row r="1670" spans="7:8" x14ac:dyDescent="0.3">
      <c r="G1670"/>
      <c r="H1670"/>
    </row>
    <row r="1671" spans="7:8" x14ac:dyDescent="0.3">
      <c r="G1671"/>
      <c r="H1671"/>
    </row>
    <row r="1672" spans="7:8" x14ac:dyDescent="0.3">
      <c r="G1672"/>
      <c r="H1672"/>
    </row>
    <row r="1673" spans="7:8" x14ac:dyDescent="0.3">
      <c r="G1673"/>
      <c r="H1673"/>
    </row>
    <row r="1674" spans="7:8" x14ac:dyDescent="0.3">
      <c r="G1674"/>
      <c r="H1674"/>
    </row>
    <row r="1675" spans="7:8" x14ac:dyDescent="0.3">
      <c r="G1675"/>
      <c r="H1675"/>
    </row>
    <row r="1676" spans="7:8" x14ac:dyDescent="0.3">
      <c r="G1676"/>
      <c r="H1676"/>
    </row>
    <row r="1677" spans="7:8" x14ac:dyDescent="0.3">
      <c r="G1677"/>
      <c r="H1677"/>
    </row>
    <row r="1678" spans="7:8" x14ac:dyDescent="0.3">
      <c r="G1678"/>
      <c r="H1678"/>
    </row>
    <row r="1679" spans="7:8" x14ac:dyDescent="0.3">
      <c r="G1679"/>
      <c r="H1679"/>
    </row>
    <row r="1680" spans="7:8" x14ac:dyDescent="0.3">
      <c r="G1680"/>
      <c r="H1680"/>
    </row>
    <row r="1681" spans="7:8" x14ac:dyDescent="0.3">
      <c r="G1681"/>
      <c r="H1681"/>
    </row>
    <row r="1682" spans="7:8" x14ac:dyDescent="0.3">
      <c r="G1682"/>
      <c r="H1682"/>
    </row>
    <row r="1683" spans="7:8" x14ac:dyDescent="0.3">
      <c r="G1683"/>
      <c r="H1683"/>
    </row>
    <row r="1684" spans="7:8" x14ac:dyDescent="0.3">
      <c r="G1684"/>
      <c r="H1684"/>
    </row>
    <row r="1685" spans="7:8" x14ac:dyDescent="0.3">
      <c r="G1685"/>
      <c r="H1685"/>
    </row>
    <row r="1686" spans="7:8" x14ac:dyDescent="0.3">
      <c r="G1686"/>
      <c r="H1686"/>
    </row>
    <row r="1687" spans="7:8" x14ac:dyDescent="0.3">
      <c r="G1687"/>
      <c r="H1687"/>
    </row>
    <row r="1688" spans="7:8" x14ac:dyDescent="0.3">
      <c r="G1688"/>
      <c r="H1688"/>
    </row>
    <row r="1689" spans="7:8" x14ac:dyDescent="0.3">
      <c r="G1689"/>
      <c r="H1689"/>
    </row>
    <row r="1690" spans="7:8" x14ac:dyDescent="0.3">
      <c r="G1690"/>
      <c r="H1690"/>
    </row>
    <row r="1691" spans="7:8" x14ac:dyDescent="0.3">
      <c r="G1691"/>
      <c r="H1691"/>
    </row>
    <row r="1692" spans="7:8" x14ac:dyDescent="0.3">
      <c r="G1692"/>
      <c r="H1692"/>
    </row>
    <row r="1693" spans="7:8" x14ac:dyDescent="0.3">
      <c r="G1693"/>
      <c r="H1693"/>
    </row>
    <row r="1694" spans="7:8" x14ac:dyDescent="0.3">
      <c r="G1694"/>
      <c r="H1694"/>
    </row>
    <row r="1695" spans="7:8" x14ac:dyDescent="0.3">
      <c r="G1695"/>
      <c r="H1695"/>
    </row>
    <row r="1696" spans="7:8" x14ac:dyDescent="0.3">
      <c r="G1696"/>
      <c r="H1696"/>
    </row>
    <row r="1697" spans="7:8" x14ac:dyDescent="0.3">
      <c r="G1697"/>
      <c r="H1697"/>
    </row>
    <row r="1698" spans="7:8" x14ac:dyDescent="0.3">
      <c r="G1698"/>
      <c r="H1698"/>
    </row>
    <row r="1699" spans="7:8" x14ac:dyDescent="0.3">
      <c r="G1699"/>
      <c r="H1699"/>
    </row>
    <row r="1700" spans="7:8" x14ac:dyDescent="0.3">
      <c r="G1700"/>
      <c r="H1700"/>
    </row>
    <row r="1701" spans="7:8" x14ac:dyDescent="0.3">
      <c r="G1701"/>
      <c r="H1701"/>
    </row>
    <row r="1702" spans="7:8" x14ac:dyDescent="0.3">
      <c r="G1702"/>
      <c r="H1702"/>
    </row>
    <row r="1703" spans="7:8" x14ac:dyDescent="0.3">
      <c r="G1703"/>
      <c r="H1703"/>
    </row>
    <row r="1704" spans="7:8" x14ac:dyDescent="0.3">
      <c r="G1704"/>
      <c r="H1704"/>
    </row>
    <row r="1705" spans="7:8" x14ac:dyDescent="0.3">
      <c r="G1705"/>
      <c r="H1705"/>
    </row>
    <row r="1706" spans="7:8" x14ac:dyDescent="0.3">
      <c r="G1706"/>
      <c r="H1706"/>
    </row>
    <row r="1707" spans="7:8" x14ac:dyDescent="0.3">
      <c r="G1707"/>
      <c r="H1707"/>
    </row>
    <row r="1708" spans="7:8" x14ac:dyDescent="0.3">
      <c r="G1708"/>
      <c r="H1708"/>
    </row>
    <row r="1709" spans="7:8" x14ac:dyDescent="0.3">
      <c r="G1709"/>
      <c r="H1709"/>
    </row>
    <row r="1710" spans="7:8" x14ac:dyDescent="0.3">
      <c r="G1710"/>
      <c r="H1710"/>
    </row>
    <row r="1711" spans="7:8" x14ac:dyDescent="0.3">
      <c r="G1711"/>
      <c r="H1711"/>
    </row>
    <row r="1712" spans="7:8" x14ac:dyDescent="0.3">
      <c r="G1712"/>
      <c r="H1712"/>
    </row>
    <row r="1713" spans="7:8" x14ac:dyDescent="0.3">
      <c r="G1713"/>
      <c r="H1713"/>
    </row>
    <row r="1714" spans="7:8" x14ac:dyDescent="0.3">
      <c r="G1714"/>
      <c r="H1714"/>
    </row>
    <row r="1715" spans="7:8" x14ac:dyDescent="0.3">
      <c r="G1715"/>
      <c r="H1715"/>
    </row>
    <row r="1716" spans="7:8" x14ac:dyDescent="0.3">
      <c r="G1716"/>
      <c r="H1716"/>
    </row>
    <row r="1717" spans="7:8" x14ac:dyDescent="0.3">
      <c r="G1717"/>
      <c r="H1717"/>
    </row>
    <row r="1718" spans="7:8" x14ac:dyDescent="0.3">
      <c r="G1718"/>
      <c r="H1718"/>
    </row>
    <row r="1719" spans="7:8" x14ac:dyDescent="0.3">
      <c r="G1719"/>
      <c r="H1719"/>
    </row>
    <row r="1720" spans="7:8" x14ac:dyDescent="0.3">
      <c r="G1720"/>
      <c r="H1720"/>
    </row>
    <row r="1721" spans="7:8" x14ac:dyDescent="0.3">
      <c r="G1721"/>
      <c r="H1721"/>
    </row>
    <row r="1722" spans="7:8" x14ac:dyDescent="0.3">
      <c r="G1722"/>
      <c r="H1722"/>
    </row>
    <row r="1723" spans="7:8" x14ac:dyDescent="0.3">
      <c r="G1723"/>
      <c r="H1723"/>
    </row>
    <row r="1724" spans="7:8" x14ac:dyDescent="0.3">
      <c r="G1724"/>
      <c r="H1724"/>
    </row>
    <row r="1725" spans="7:8" x14ac:dyDescent="0.3">
      <c r="G1725"/>
      <c r="H1725"/>
    </row>
    <row r="1726" spans="7:8" x14ac:dyDescent="0.3">
      <c r="G1726"/>
      <c r="H1726"/>
    </row>
    <row r="1727" spans="7:8" x14ac:dyDescent="0.3">
      <c r="G1727"/>
      <c r="H1727"/>
    </row>
    <row r="1728" spans="7:8" x14ac:dyDescent="0.3">
      <c r="G1728"/>
      <c r="H1728"/>
    </row>
    <row r="1729" spans="7:8" x14ac:dyDescent="0.3">
      <c r="G1729"/>
      <c r="H1729"/>
    </row>
    <row r="1730" spans="7:8" x14ac:dyDescent="0.3">
      <c r="G1730"/>
      <c r="H1730"/>
    </row>
    <row r="1731" spans="7:8" x14ac:dyDescent="0.3">
      <c r="G1731"/>
      <c r="H1731"/>
    </row>
    <row r="1732" spans="7:8" x14ac:dyDescent="0.3">
      <c r="G1732"/>
      <c r="H1732"/>
    </row>
    <row r="1733" spans="7:8" x14ac:dyDescent="0.3">
      <c r="G1733"/>
      <c r="H1733"/>
    </row>
    <row r="1734" spans="7:8" x14ac:dyDescent="0.3">
      <c r="G1734"/>
      <c r="H1734"/>
    </row>
    <row r="1735" spans="7:8" x14ac:dyDescent="0.3">
      <c r="G1735"/>
      <c r="H1735"/>
    </row>
    <row r="1736" spans="7:8" x14ac:dyDescent="0.3">
      <c r="G1736"/>
      <c r="H1736"/>
    </row>
    <row r="1737" spans="7:8" x14ac:dyDescent="0.3">
      <c r="G1737"/>
      <c r="H1737"/>
    </row>
    <row r="1738" spans="7:8" x14ac:dyDescent="0.3">
      <c r="G1738"/>
      <c r="H1738"/>
    </row>
    <row r="1739" spans="7:8" x14ac:dyDescent="0.3">
      <c r="G1739"/>
      <c r="H1739"/>
    </row>
    <row r="1740" spans="7:8" x14ac:dyDescent="0.3">
      <c r="G1740"/>
      <c r="H1740"/>
    </row>
    <row r="1741" spans="7:8" x14ac:dyDescent="0.3">
      <c r="G1741"/>
      <c r="H1741"/>
    </row>
    <row r="1742" spans="7:8" x14ac:dyDescent="0.3">
      <c r="G1742"/>
      <c r="H1742"/>
    </row>
    <row r="1743" spans="7:8" x14ac:dyDescent="0.3">
      <c r="G1743"/>
      <c r="H1743"/>
    </row>
    <row r="1744" spans="7:8" x14ac:dyDescent="0.3">
      <c r="G1744"/>
      <c r="H1744"/>
    </row>
    <row r="1745" spans="7:8" x14ac:dyDescent="0.3">
      <c r="G1745"/>
      <c r="H1745"/>
    </row>
    <row r="1746" spans="7:8" x14ac:dyDescent="0.3">
      <c r="G1746"/>
      <c r="H1746"/>
    </row>
    <row r="1747" spans="7:8" x14ac:dyDescent="0.3">
      <c r="G1747"/>
      <c r="H1747"/>
    </row>
    <row r="1748" spans="7:8" x14ac:dyDescent="0.3">
      <c r="G1748"/>
      <c r="H1748"/>
    </row>
    <row r="1749" spans="7:8" x14ac:dyDescent="0.3">
      <c r="G1749"/>
      <c r="H1749"/>
    </row>
    <row r="1750" spans="7:8" x14ac:dyDescent="0.3">
      <c r="G1750"/>
      <c r="H1750"/>
    </row>
    <row r="1751" spans="7:8" x14ac:dyDescent="0.3">
      <c r="G1751"/>
      <c r="H1751"/>
    </row>
    <row r="1752" spans="7:8" x14ac:dyDescent="0.3">
      <c r="G1752"/>
      <c r="H1752"/>
    </row>
    <row r="1753" spans="7:8" x14ac:dyDescent="0.3">
      <c r="G1753"/>
      <c r="H1753"/>
    </row>
    <row r="1754" spans="7:8" x14ac:dyDescent="0.3">
      <c r="G1754"/>
      <c r="H1754"/>
    </row>
    <row r="1755" spans="7:8" x14ac:dyDescent="0.3">
      <c r="G1755"/>
      <c r="H1755"/>
    </row>
    <row r="1756" spans="7:8" x14ac:dyDescent="0.3">
      <c r="G1756"/>
      <c r="H1756"/>
    </row>
    <row r="1757" spans="7:8" x14ac:dyDescent="0.3">
      <c r="G1757"/>
      <c r="H1757"/>
    </row>
    <row r="1758" spans="7:8" x14ac:dyDescent="0.3">
      <c r="G1758"/>
      <c r="H1758"/>
    </row>
    <row r="1759" spans="7:8" x14ac:dyDescent="0.3">
      <c r="G1759"/>
      <c r="H1759"/>
    </row>
    <row r="1760" spans="7:8" x14ac:dyDescent="0.3">
      <c r="G1760"/>
      <c r="H1760"/>
    </row>
    <row r="1761" spans="7:8" x14ac:dyDescent="0.3">
      <c r="G1761"/>
      <c r="H1761"/>
    </row>
    <row r="1762" spans="7:8" x14ac:dyDescent="0.3">
      <c r="G1762"/>
      <c r="H1762"/>
    </row>
    <row r="1763" spans="7:8" x14ac:dyDescent="0.3">
      <c r="G1763"/>
      <c r="H1763"/>
    </row>
    <row r="1764" spans="7:8" x14ac:dyDescent="0.3">
      <c r="G1764"/>
      <c r="H1764"/>
    </row>
    <row r="1765" spans="7:8" x14ac:dyDescent="0.3">
      <c r="G1765"/>
      <c r="H1765"/>
    </row>
    <row r="1766" spans="7:8" x14ac:dyDescent="0.3">
      <c r="G1766"/>
      <c r="H1766"/>
    </row>
    <row r="1767" spans="7:8" x14ac:dyDescent="0.3">
      <c r="G1767"/>
      <c r="H1767"/>
    </row>
    <row r="1768" spans="7:8" x14ac:dyDescent="0.3">
      <c r="G1768"/>
      <c r="H1768"/>
    </row>
    <row r="1769" spans="7:8" x14ac:dyDescent="0.3">
      <c r="G1769"/>
      <c r="H1769"/>
    </row>
    <row r="1770" spans="7:8" x14ac:dyDescent="0.3">
      <c r="G1770"/>
      <c r="H1770"/>
    </row>
    <row r="1771" spans="7:8" x14ac:dyDescent="0.3">
      <c r="G1771"/>
      <c r="H1771"/>
    </row>
    <row r="1772" spans="7:8" x14ac:dyDescent="0.3">
      <c r="G1772"/>
      <c r="H1772"/>
    </row>
    <row r="1773" spans="7:8" x14ac:dyDescent="0.3">
      <c r="G1773"/>
      <c r="H1773"/>
    </row>
    <row r="1774" spans="7:8" x14ac:dyDescent="0.3">
      <c r="G1774"/>
      <c r="H1774"/>
    </row>
    <row r="1775" spans="7:8" x14ac:dyDescent="0.3">
      <c r="G1775"/>
      <c r="H1775"/>
    </row>
    <row r="1776" spans="7:8" x14ac:dyDescent="0.3">
      <c r="G1776"/>
      <c r="H1776"/>
    </row>
    <row r="1777" spans="7:8" x14ac:dyDescent="0.3">
      <c r="G1777"/>
      <c r="H1777"/>
    </row>
    <row r="1778" spans="7:8" x14ac:dyDescent="0.3">
      <c r="G1778"/>
      <c r="H1778"/>
    </row>
    <row r="1779" spans="7:8" x14ac:dyDescent="0.3">
      <c r="G1779"/>
      <c r="H1779"/>
    </row>
    <row r="1780" spans="7:8" x14ac:dyDescent="0.3">
      <c r="G1780"/>
      <c r="H1780"/>
    </row>
    <row r="1781" spans="7:8" x14ac:dyDescent="0.3">
      <c r="G1781"/>
      <c r="H1781"/>
    </row>
    <row r="1782" spans="7:8" x14ac:dyDescent="0.3">
      <c r="G1782"/>
      <c r="H1782"/>
    </row>
    <row r="1783" spans="7:8" x14ac:dyDescent="0.3">
      <c r="G1783"/>
      <c r="H1783"/>
    </row>
    <row r="1784" spans="7:8" x14ac:dyDescent="0.3">
      <c r="G1784"/>
      <c r="H1784"/>
    </row>
    <row r="1785" spans="7:8" x14ac:dyDescent="0.3">
      <c r="G1785"/>
      <c r="H1785"/>
    </row>
    <row r="1786" spans="7:8" x14ac:dyDescent="0.3">
      <c r="G1786"/>
      <c r="H1786"/>
    </row>
    <row r="1787" spans="7:8" x14ac:dyDescent="0.3">
      <c r="G1787"/>
      <c r="H1787"/>
    </row>
    <row r="1788" spans="7:8" x14ac:dyDescent="0.3">
      <c r="G1788"/>
      <c r="H1788"/>
    </row>
    <row r="1789" spans="7:8" x14ac:dyDescent="0.3">
      <c r="G1789"/>
      <c r="H1789"/>
    </row>
    <row r="1790" spans="7:8" x14ac:dyDescent="0.3">
      <c r="G1790"/>
      <c r="H1790"/>
    </row>
    <row r="1791" spans="7:8" x14ac:dyDescent="0.3">
      <c r="G1791"/>
      <c r="H1791"/>
    </row>
    <row r="1792" spans="7:8" x14ac:dyDescent="0.3">
      <c r="G1792"/>
      <c r="H1792"/>
    </row>
    <row r="1793" spans="7:8" x14ac:dyDescent="0.3">
      <c r="G1793"/>
      <c r="H1793"/>
    </row>
    <row r="1794" spans="7:8" x14ac:dyDescent="0.3">
      <c r="G1794"/>
      <c r="H1794"/>
    </row>
    <row r="1795" spans="7:8" x14ac:dyDescent="0.3">
      <c r="G1795"/>
      <c r="H1795"/>
    </row>
    <row r="1796" spans="7:8" x14ac:dyDescent="0.3">
      <c r="G1796"/>
      <c r="H1796"/>
    </row>
    <row r="1797" spans="7:8" x14ac:dyDescent="0.3">
      <c r="G1797"/>
      <c r="H1797"/>
    </row>
    <row r="1798" spans="7:8" x14ac:dyDescent="0.3">
      <c r="G1798"/>
      <c r="H1798"/>
    </row>
    <row r="1799" spans="7:8" x14ac:dyDescent="0.3">
      <c r="G1799"/>
      <c r="H1799"/>
    </row>
    <row r="1800" spans="7:8" x14ac:dyDescent="0.3">
      <c r="G1800"/>
      <c r="H1800"/>
    </row>
    <row r="1801" spans="7:8" x14ac:dyDescent="0.3">
      <c r="G1801"/>
      <c r="H1801"/>
    </row>
    <row r="1802" spans="7:8" x14ac:dyDescent="0.3">
      <c r="G1802"/>
      <c r="H1802"/>
    </row>
    <row r="1803" spans="7:8" x14ac:dyDescent="0.3">
      <c r="G1803"/>
      <c r="H1803"/>
    </row>
    <row r="1804" spans="7:8" x14ac:dyDescent="0.3">
      <c r="G1804"/>
      <c r="H1804"/>
    </row>
    <row r="1805" spans="7:8" x14ac:dyDescent="0.3">
      <c r="G1805"/>
      <c r="H1805"/>
    </row>
    <row r="1806" spans="7:8" x14ac:dyDescent="0.3">
      <c r="G1806"/>
      <c r="H1806"/>
    </row>
    <row r="1807" spans="7:8" x14ac:dyDescent="0.3">
      <c r="G1807"/>
      <c r="H1807"/>
    </row>
    <row r="1808" spans="7:8" x14ac:dyDescent="0.3">
      <c r="G1808"/>
      <c r="H1808"/>
    </row>
    <row r="1809" spans="7:8" x14ac:dyDescent="0.3">
      <c r="G1809"/>
      <c r="H1809"/>
    </row>
    <row r="1810" spans="7:8" x14ac:dyDescent="0.3">
      <c r="G1810"/>
      <c r="H1810"/>
    </row>
    <row r="1811" spans="7:8" x14ac:dyDescent="0.3">
      <c r="G1811"/>
      <c r="H1811"/>
    </row>
    <row r="1812" spans="7:8" x14ac:dyDescent="0.3">
      <c r="G1812"/>
      <c r="H1812"/>
    </row>
    <row r="1813" spans="7:8" x14ac:dyDescent="0.3">
      <c r="G1813"/>
      <c r="H1813"/>
    </row>
    <row r="1814" spans="7:8" x14ac:dyDescent="0.3">
      <c r="G1814"/>
      <c r="H1814"/>
    </row>
    <row r="1815" spans="7:8" x14ac:dyDescent="0.3">
      <c r="G1815"/>
      <c r="H1815"/>
    </row>
    <row r="1816" spans="7:8" x14ac:dyDescent="0.3">
      <c r="G1816"/>
      <c r="H1816"/>
    </row>
    <row r="1817" spans="7:8" x14ac:dyDescent="0.3">
      <c r="G1817"/>
      <c r="H1817"/>
    </row>
    <row r="1818" spans="7:8" x14ac:dyDescent="0.3">
      <c r="G1818"/>
      <c r="H1818"/>
    </row>
    <row r="1819" spans="7:8" x14ac:dyDescent="0.3">
      <c r="G1819"/>
      <c r="H1819"/>
    </row>
    <row r="1820" spans="7:8" x14ac:dyDescent="0.3">
      <c r="G1820"/>
      <c r="H1820"/>
    </row>
    <row r="1821" spans="7:8" x14ac:dyDescent="0.3">
      <c r="G1821"/>
      <c r="H1821"/>
    </row>
    <row r="1822" spans="7:8" x14ac:dyDescent="0.3">
      <c r="G1822"/>
      <c r="H1822"/>
    </row>
    <row r="1823" spans="7:8" x14ac:dyDescent="0.3">
      <c r="G1823"/>
      <c r="H1823"/>
    </row>
    <row r="1824" spans="7:8" x14ac:dyDescent="0.3">
      <c r="G1824"/>
      <c r="H1824"/>
    </row>
    <row r="1825" spans="7:8" x14ac:dyDescent="0.3">
      <c r="G1825"/>
      <c r="H1825"/>
    </row>
    <row r="1826" spans="7:8" x14ac:dyDescent="0.3">
      <c r="G1826"/>
    </row>
    <row r="1827" spans="7:8" x14ac:dyDescent="0.3">
      <c r="G1827"/>
    </row>
    <row r="1828" spans="7:8" x14ac:dyDescent="0.3">
      <c r="G1828"/>
    </row>
    <row r="1829" spans="7:8" x14ac:dyDescent="0.3">
      <c r="G1829"/>
    </row>
    <row r="1830" spans="7:8" x14ac:dyDescent="0.3">
      <c r="G1830"/>
    </row>
    <row r="1831" spans="7:8" x14ac:dyDescent="0.3">
      <c r="G1831"/>
    </row>
    <row r="1832" spans="7:8" x14ac:dyDescent="0.3">
      <c r="G1832"/>
    </row>
    <row r="1833" spans="7:8" x14ac:dyDescent="0.3">
      <c r="G1833"/>
    </row>
    <row r="1834" spans="7:8" x14ac:dyDescent="0.3">
      <c r="G1834"/>
    </row>
    <row r="1835" spans="7:8" x14ac:dyDescent="0.3">
      <c r="G1835"/>
    </row>
    <row r="1836" spans="7:8" x14ac:dyDescent="0.3">
      <c r="G1836"/>
    </row>
    <row r="1837" spans="7:8" x14ac:dyDescent="0.3">
      <c r="G1837"/>
    </row>
    <row r="1838" spans="7:8" x14ac:dyDescent="0.3">
      <c r="G1838"/>
    </row>
    <row r="1839" spans="7:8" x14ac:dyDescent="0.3">
      <c r="G1839"/>
    </row>
    <row r="1840" spans="7:8" x14ac:dyDescent="0.3">
      <c r="G1840"/>
    </row>
    <row r="1841" spans="7:7" x14ac:dyDescent="0.3">
      <c r="G1841"/>
    </row>
    <row r="1842" spans="7:7" x14ac:dyDescent="0.3">
      <c r="G1842"/>
    </row>
    <row r="1843" spans="7:7" x14ac:dyDescent="0.3">
      <c r="G1843"/>
    </row>
    <row r="1844" spans="7:7" x14ac:dyDescent="0.3">
      <c r="G1844"/>
    </row>
    <row r="1845" spans="7:7" x14ac:dyDescent="0.3">
      <c r="G1845"/>
    </row>
    <row r="1846" spans="7:7" x14ac:dyDescent="0.3">
      <c r="G1846"/>
    </row>
    <row r="1847" spans="7:7" x14ac:dyDescent="0.3">
      <c r="G1847"/>
    </row>
    <row r="1848" spans="7:7" x14ac:dyDescent="0.3">
      <c r="G1848"/>
    </row>
    <row r="1849" spans="7:7" x14ac:dyDescent="0.3">
      <c r="G1849"/>
    </row>
    <row r="1850" spans="7:7" x14ac:dyDescent="0.3">
      <c r="G1850"/>
    </row>
    <row r="1851" spans="7:7" x14ac:dyDescent="0.3">
      <c r="G1851"/>
    </row>
    <row r="1852" spans="7:7" x14ac:dyDescent="0.3">
      <c r="G1852"/>
    </row>
    <row r="1853" spans="7:7" x14ac:dyDescent="0.3">
      <c r="G1853"/>
    </row>
    <row r="1854" spans="7:7" x14ac:dyDescent="0.3">
      <c r="G1854"/>
    </row>
    <row r="1855" spans="7:7" x14ac:dyDescent="0.3">
      <c r="G1855"/>
    </row>
    <row r="1856" spans="7:7" x14ac:dyDescent="0.3">
      <c r="G1856"/>
    </row>
    <row r="1857" spans="7:7" x14ac:dyDescent="0.3">
      <c r="G1857"/>
    </row>
    <row r="1858" spans="7:7" x14ac:dyDescent="0.3">
      <c r="G1858"/>
    </row>
    <row r="1859" spans="7:7" x14ac:dyDescent="0.3">
      <c r="G1859"/>
    </row>
    <row r="1860" spans="7:7" x14ac:dyDescent="0.3">
      <c r="G1860"/>
    </row>
    <row r="1861" spans="7:7" x14ac:dyDescent="0.3">
      <c r="G1861"/>
    </row>
    <row r="1862" spans="7:7" x14ac:dyDescent="0.3">
      <c r="G1862"/>
    </row>
    <row r="1863" spans="7:7" x14ac:dyDescent="0.3">
      <c r="G1863"/>
    </row>
    <row r="1864" spans="7:7" x14ac:dyDescent="0.3">
      <c r="G1864"/>
    </row>
    <row r="1865" spans="7:7" x14ac:dyDescent="0.3">
      <c r="G1865"/>
    </row>
    <row r="1866" spans="7:7" x14ac:dyDescent="0.3">
      <c r="G1866"/>
    </row>
    <row r="1867" spans="7:7" x14ac:dyDescent="0.3">
      <c r="G1867"/>
    </row>
    <row r="1868" spans="7:7" x14ac:dyDescent="0.3">
      <c r="G1868"/>
    </row>
    <row r="1869" spans="7:7" x14ac:dyDescent="0.3">
      <c r="G1869"/>
    </row>
    <row r="1870" spans="7:7" x14ac:dyDescent="0.3">
      <c r="G1870"/>
    </row>
    <row r="1871" spans="7:7" x14ac:dyDescent="0.3">
      <c r="G1871"/>
    </row>
    <row r="1872" spans="7:7" x14ac:dyDescent="0.3">
      <c r="G1872"/>
    </row>
    <row r="1873" spans="7:7" x14ac:dyDescent="0.3">
      <c r="G1873"/>
    </row>
    <row r="1874" spans="7:7" x14ac:dyDescent="0.3">
      <c r="G1874"/>
    </row>
    <row r="1875" spans="7:7" x14ac:dyDescent="0.3">
      <c r="G1875"/>
    </row>
    <row r="1876" spans="7:7" x14ac:dyDescent="0.3">
      <c r="G1876"/>
    </row>
    <row r="1877" spans="7:7" x14ac:dyDescent="0.3">
      <c r="G1877"/>
    </row>
    <row r="1878" spans="7:7" x14ac:dyDescent="0.3">
      <c r="G1878"/>
    </row>
    <row r="1879" spans="7:7" x14ac:dyDescent="0.3">
      <c r="G1879"/>
    </row>
    <row r="1880" spans="7:7" x14ac:dyDescent="0.3">
      <c r="G1880"/>
    </row>
    <row r="1881" spans="7:7" x14ac:dyDescent="0.3">
      <c r="G1881"/>
    </row>
    <row r="1882" spans="7:7" x14ac:dyDescent="0.3">
      <c r="G1882"/>
    </row>
    <row r="1883" spans="7:7" x14ac:dyDescent="0.3">
      <c r="G1883"/>
    </row>
    <row r="1884" spans="7:7" x14ac:dyDescent="0.3">
      <c r="G1884"/>
    </row>
    <row r="1885" spans="7:7" x14ac:dyDescent="0.3">
      <c r="G1885"/>
    </row>
    <row r="1886" spans="7:7" x14ac:dyDescent="0.3">
      <c r="G1886"/>
    </row>
    <row r="1887" spans="7:7" x14ac:dyDescent="0.3">
      <c r="G1887"/>
    </row>
    <row r="1888" spans="7:7" x14ac:dyDescent="0.3">
      <c r="G1888"/>
    </row>
    <row r="1889" spans="7:7" x14ac:dyDescent="0.3">
      <c r="G1889"/>
    </row>
    <row r="1890" spans="7:7" x14ac:dyDescent="0.3">
      <c r="G1890"/>
    </row>
    <row r="1891" spans="7:7" x14ac:dyDescent="0.3">
      <c r="G1891"/>
    </row>
    <row r="1892" spans="7:7" x14ac:dyDescent="0.3">
      <c r="G1892"/>
    </row>
    <row r="1893" spans="7:7" x14ac:dyDescent="0.3">
      <c r="G1893"/>
    </row>
    <row r="1894" spans="7:7" x14ac:dyDescent="0.3">
      <c r="G1894"/>
    </row>
    <row r="1895" spans="7:7" x14ac:dyDescent="0.3">
      <c r="G1895"/>
    </row>
    <row r="1896" spans="7:7" x14ac:dyDescent="0.3">
      <c r="G1896"/>
    </row>
    <row r="1897" spans="7:7" x14ac:dyDescent="0.3">
      <c r="G1897"/>
    </row>
    <row r="1898" spans="7:7" x14ac:dyDescent="0.3">
      <c r="G1898"/>
    </row>
    <row r="1899" spans="7:7" x14ac:dyDescent="0.3">
      <c r="G1899"/>
    </row>
    <row r="1900" spans="7:7" x14ac:dyDescent="0.3">
      <c r="G1900"/>
    </row>
    <row r="1901" spans="7:7" x14ac:dyDescent="0.3">
      <c r="G1901"/>
    </row>
    <row r="1902" spans="7:7" x14ac:dyDescent="0.3">
      <c r="G1902"/>
    </row>
    <row r="1903" spans="7:7" x14ac:dyDescent="0.3">
      <c r="G1903"/>
    </row>
    <row r="1904" spans="7:7" x14ac:dyDescent="0.3">
      <c r="G1904"/>
    </row>
    <row r="1905" spans="7:7" x14ac:dyDescent="0.3">
      <c r="G1905"/>
    </row>
    <row r="1906" spans="7:7" x14ac:dyDescent="0.3">
      <c r="G1906"/>
    </row>
    <row r="1907" spans="7:7" x14ac:dyDescent="0.3">
      <c r="G1907"/>
    </row>
    <row r="1908" spans="7:7" x14ac:dyDescent="0.3">
      <c r="G1908"/>
    </row>
    <row r="1909" spans="7:7" x14ac:dyDescent="0.3">
      <c r="G1909"/>
    </row>
    <row r="1910" spans="7:7" x14ac:dyDescent="0.3">
      <c r="G1910"/>
    </row>
    <row r="1911" spans="7:7" x14ac:dyDescent="0.3">
      <c r="G1911"/>
    </row>
    <row r="1912" spans="7:7" x14ac:dyDescent="0.3">
      <c r="G1912"/>
    </row>
    <row r="1913" spans="7:7" x14ac:dyDescent="0.3">
      <c r="G1913"/>
    </row>
    <row r="1914" spans="7:7" x14ac:dyDescent="0.3">
      <c r="G1914"/>
    </row>
    <row r="1915" spans="7:7" x14ac:dyDescent="0.3">
      <c r="G1915"/>
    </row>
    <row r="1916" spans="7:7" x14ac:dyDescent="0.3">
      <c r="G1916"/>
    </row>
    <row r="1917" spans="7:7" x14ac:dyDescent="0.3">
      <c r="G1917"/>
    </row>
    <row r="1918" spans="7:7" x14ac:dyDescent="0.3">
      <c r="G1918"/>
    </row>
    <row r="1919" spans="7:7" x14ac:dyDescent="0.3">
      <c r="G1919"/>
    </row>
    <row r="1920" spans="7:7" x14ac:dyDescent="0.3">
      <c r="G1920"/>
    </row>
    <row r="1921" spans="7:7" x14ac:dyDescent="0.3">
      <c r="G1921"/>
    </row>
    <row r="1922" spans="7:7" x14ac:dyDescent="0.3">
      <c r="G1922"/>
    </row>
    <row r="1923" spans="7:7" x14ac:dyDescent="0.3">
      <c r="G1923"/>
    </row>
    <row r="1924" spans="7:7" x14ac:dyDescent="0.3">
      <c r="G1924"/>
    </row>
    <row r="1925" spans="7:7" x14ac:dyDescent="0.3">
      <c r="G1925"/>
    </row>
    <row r="1926" spans="7:7" x14ac:dyDescent="0.3">
      <c r="G1926"/>
    </row>
    <row r="1927" spans="7:7" x14ac:dyDescent="0.3">
      <c r="G1927"/>
    </row>
    <row r="1928" spans="7:7" x14ac:dyDescent="0.3">
      <c r="G1928"/>
    </row>
    <row r="1929" spans="7:7" x14ac:dyDescent="0.3">
      <c r="G1929"/>
    </row>
    <row r="1930" spans="7:7" x14ac:dyDescent="0.3">
      <c r="G1930"/>
    </row>
    <row r="1931" spans="7:7" x14ac:dyDescent="0.3">
      <c r="G1931"/>
    </row>
    <row r="1932" spans="7:7" x14ac:dyDescent="0.3">
      <c r="G1932"/>
    </row>
    <row r="1933" spans="7:7" x14ac:dyDescent="0.3">
      <c r="G1933"/>
    </row>
    <row r="1934" spans="7:7" x14ac:dyDescent="0.3">
      <c r="G1934"/>
    </row>
    <row r="1935" spans="7:7" x14ac:dyDescent="0.3">
      <c r="G1935"/>
    </row>
    <row r="1936" spans="7:7" x14ac:dyDescent="0.3">
      <c r="G1936"/>
    </row>
    <row r="1937" spans="7:7" x14ac:dyDescent="0.3">
      <c r="G1937"/>
    </row>
    <row r="1938" spans="7:7" x14ac:dyDescent="0.3">
      <c r="G1938"/>
    </row>
    <row r="1939" spans="7:7" x14ac:dyDescent="0.3">
      <c r="G1939"/>
    </row>
    <row r="1940" spans="7:7" x14ac:dyDescent="0.3">
      <c r="G1940"/>
    </row>
    <row r="1941" spans="7:7" x14ac:dyDescent="0.3">
      <c r="G1941"/>
    </row>
    <row r="1942" spans="7:7" x14ac:dyDescent="0.3">
      <c r="G1942"/>
    </row>
    <row r="1943" spans="7:7" x14ac:dyDescent="0.3">
      <c r="G1943"/>
    </row>
    <row r="1944" spans="7:7" x14ac:dyDescent="0.3">
      <c r="G1944"/>
    </row>
    <row r="1945" spans="7:7" x14ac:dyDescent="0.3">
      <c r="G1945"/>
    </row>
    <row r="1946" spans="7:7" x14ac:dyDescent="0.3">
      <c r="G1946"/>
    </row>
    <row r="1947" spans="7:7" x14ac:dyDescent="0.3">
      <c r="G1947"/>
    </row>
    <row r="1948" spans="7:7" x14ac:dyDescent="0.3">
      <c r="G1948"/>
    </row>
    <row r="1949" spans="7:7" x14ac:dyDescent="0.3">
      <c r="G1949"/>
    </row>
    <row r="1950" spans="7:7" x14ac:dyDescent="0.3">
      <c r="G1950"/>
    </row>
    <row r="1951" spans="7:7" x14ac:dyDescent="0.3">
      <c r="G1951"/>
    </row>
    <row r="1952" spans="7:7" x14ac:dyDescent="0.3">
      <c r="G1952"/>
    </row>
    <row r="1953" spans="7:7" x14ac:dyDescent="0.3">
      <c r="G1953"/>
    </row>
    <row r="1954" spans="7:7" x14ac:dyDescent="0.3">
      <c r="G1954"/>
    </row>
    <row r="1955" spans="7:7" x14ac:dyDescent="0.3">
      <c r="G1955"/>
    </row>
    <row r="1956" spans="7:7" x14ac:dyDescent="0.3">
      <c r="G1956"/>
    </row>
    <row r="1957" spans="7:7" x14ac:dyDescent="0.3">
      <c r="G1957"/>
    </row>
    <row r="1958" spans="7:7" x14ac:dyDescent="0.3">
      <c r="G1958"/>
    </row>
    <row r="1959" spans="7:7" x14ac:dyDescent="0.3">
      <c r="G1959"/>
    </row>
    <row r="1960" spans="7:7" x14ac:dyDescent="0.3">
      <c r="G1960"/>
    </row>
    <row r="1961" spans="7:7" x14ac:dyDescent="0.3">
      <c r="G1961"/>
    </row>
    <row r="1962" spans="7:7" x14ac:dyDescent="0.3">
      <c r="G1962"/>
    </row>
    <row r="1963" spans="7:7" x14ac:dyDescent="0.3">
      <c r="G1963"/>
    </row>
    <row r="1964" spans="7:7" x14ac:dyDescent="0.3">
      <c r="G1964"/>
    </row>
    <row r="1965" spans="7:7" x14ac:dyDescent="0.3">
      <c r="G1965"/>
    </row>
    <row r="1966" spans="7:7" x14ac:dyDescent="0.3">
      <c r="G1966"/>
    </row>
    <row r="1967" spans="7:7" x14ac:dyDescent="0.3">
      <c r="G1967"/>
    </row>
    <row r="1968" spans="7:7" x14ac:dyDescent="0.3">
      <c r="G1968"/>
    </row>
    <row r="1969" spans="7:7" x14ac:dyDescent="0.3">
      <c r="G1969"/>
    </row>
    <row r="1970" spans="7:7" x14ac:dyDescent="0.3">
      <c r="G1970"/>
    </row>
    <row r="1971" spans="7:7" x14ac:dyDescent="0.3">
      <c r="G1971"/>
    </row>
    <row r="1972" spans="7:7" x14ac:dyDescent="0.3">
      <c r="G1972"/>
    </row>
    <row r="1973" spans="7:7" x14ac:dyDescent="0.3">
      <c r="G1973"/>
    </row>
    <row r="1974" spans="7:7" x14ac:dyDescent="0.3">
      <c r="G1974"/>
    </row>
    <row r="1975" spans="7:7" x14ac:dyDescent="0.3">
      <c r="G1975"/>
    </row>
    <row r="1976" spans="7:7" x14ac:dyDescent="0.3">
      <c r="G1976"/>
    </row>
    <row r="1977" spans="7:7" x14ac:dyDescent="0.3">
      <c r="G1977"/>
    </row>
    <row r="1978" spans="7:7" x14ac:dyDescent="0.3">
      <c r="G1978"/>
    </row>
    <row r="1979" spans="7:7" x14ac:dyDescent="0.3">
      <c r="G1979"/>
    </row>
    <row r="1980" spans="7:7" x14ac:dyDescent="0.3">
      <c r="G1980"/>
    </row>
    <row r="1981" spans="7:7" x14ac:dyDescent="0.3">
      <c r="G1981"/>
    </row>
    <row r="1982" spans="7:7" x14ac:dyDescent="0.3">
      <c r="G1982"/>
    </row>
    <row r="1983" spans="7:7" x14ac:dyDescent="0.3">
      <c r="G1983"/>
    </row>
    <row r="1984" spans="7:7" x14ac:dyDescent="0.3">
      <c r="G1984"/>
    </row>
    <row r="1985" spans="7:7" x14ac:dyDescent="0.3">
      <c r="G1985"/>
    </row>
    <row r="1986" spans="7:7" x14ac:dyDescent="0.3">
      <c r="G1986"/>
    </row>
    <row r="1987" spans="7:7" x14ac:dyDescent="0.3">
      <c r="G1987"/>
    </row>
    <row r="1988" spans="7:7" x14ac:dyDescent="0.3">
      <c r="G1988"/>
    </row>
    <row r="1989" spans="7:7" x14ac:dyDescent="0.3">
      <c r="G1989"/>
    </row>
    <row r="1990" spans="7:7" x14ac:dyDescent="0.3">
      <c r="G1990"/>
    </row>
    <row r="1991" spans="7:7" x14ac:dyDescent="0.3">
      <c r="G1991"/>
    </row>
    <row r="1992" spans="7:7" x14ac:dyDescent="0.3">
      <c r="G1992"/>
    </row>
    <row r="1993" spans="7:7" x14ac:dyDescent="0.3">
      <c r="G1993"/>
    </row>
    <row r="1994" spans="7:7" x14ac:dyDescent="0.3">
      <c r="G1994"/>
    </row>
    <row r="1995" spans="7:7" x14ac:dyDescent="0.3">
      <c r="G1995"/>
    </row>
    <row r="1996" spans="7:7" x14ac:dyDescent="0.3">
      <c r="G1996"/>
    </row>
    <row r="1997" spans="7:7" x14ac:dyDescent="0.3">
      <c r="G1997"/>
    </row>
    <row r="1998" spans="7:7" x14ac:dyDescent="0.3">
      <c r="G1998"/>
    </row>
    <row r="1999" spans="7:7" x14ac:dyDescent="0.3">
      <c r="G1999"/>
    </row>
    <row r="2000" spans="7:7" x14ac:dyDescent="0.3">
      <c r="G2000"/>
    </row>
    <row r="2001" spans="7:7" x14ac:dyDescent="0.3">
      <c r="G2001"/>
    </row>
    <row r="2002" spans="7:7" x14ac:dyDescent="0.3">
      <c r="G2002"/>
    </row>
    <row r="2003" spans="7:7" x14ac:dyDescent="0.3">
      <c r="G2003"/>
    </row>
    <row r="2004" spans="7:7" x14ac:dyDescent="0.3">
      <c r="G2004"/>
    </row>
    <row r="2005" spans="7:7" x14ac:dyDescent="0.3">
      <c r="G2005"/>
    </row>
    <row r="2006" spans="7:7" x14ac:dyDescent="0.3">
      <c r="G2006"/>
    </row>
    <row r="2007" spans="7:7" x14ac:dyDescent="0.3">
      <c r="G2007"/>
    </row>
    <row r="2008" spans="7:7" x14ac:dyDescent="0.3">
      <c r="G2008"/>
    </row>
    <row r="2009" spans="7:7" x14ac:dyDescent="0.3">
      <c r="G2009"/>
    </row>
    <row r="2010" spans="7:7" x14ac:dyDescent="0.3">
      <c r="G2010"/>
    </row>
    <row r="2011" spans="7:7" x14ac:dyDescent="0.3">
      <c r="G2011"/>
    </row>
    <row r="2012" spans="7:7" x14ac:dyDescent="0.3">
      <c r="G2012"/>
    </row>
    <row r="2013" spans="7:7" x14ac:dyDescent="0.3">
      <c r="G2013"/>
    </row>
    <row r="2014" spans="7:7" x14ac:dyDescent="0.3">
      <c r="G2014"/>
    </row>
    <row r="2015" spans="7:7" x14ac:dyDescent="0.3">
      <c r="G2015"/>
    </row>
    <row r="2016" spans="7:7" x14ac:dyDescent="0.3">
      <c r="G2016"/>
    </row>
    <row r="2017" spans="7:7" x14ac:dyDescent="0.3">
      <c r="G2017"/>
    </row>
    <row r="2018" spans="7:7" x14ac:dyDescent="0.3">
      <c r="G2018"/>
    </row>
    <row r="2019" spans="7:7" x14ac:dyDescent="0.3">
      <c r="G2019"/>
    </row>
    <row r="2020" spans="7:7" x14ac:dyDescent="0.3">
      <c r="G2020"/>
    </row>
    <row r="2021" spans="7:7" x14ac:dyDescent="0.3">
      <c r="G2021"/>
    </row>
    <row r="2022" spans="7:7" x14ac:dyDescent="0.3">
      <c r="G2022"/>
    </row>
    <row r="2023" spans="7:7" x14ac:dyDescent="0.3">
      <c r="G2023"/>
    </row>
    <row r="2024" spans="7:7" x14ac:dyDescent="0.3">
      <c r="G2024"/>
    </row>
    <row r="2025" spans="7:7" x14ac:dyDescent="0.3">
      <c r="G2025"/>
    </row>
    <row r="2026" spans="7:7" x14ac:dyDescent="0.3">
      <c r="G2026"/>
    </row>
    <row r="2027" spans="7:7" x14ac:dyDescent="0.3">
      <c r="G2027"/>
    </row>
    <row r="2028" spans="7:7" x14ac:dyDescent="0.3">
      <c r="G2028"/>
    </row>
    <row r="2029" spans="7:7" x14ac:dyDescent="0.3">
      <c r="G2029"/>
    </row>
    <row r="2030" spans="7:7" x14ac:dyDescent="0.3">
      <c r="G2030"/>
    </row>
    <row r="2031" spans="7:7" x14ac:dyDescent="0.3">
      <c r="G2031"/>
    </row>
    <row r="2032" spans="7:7" x14ac:dyDescent="0.3">
      <c r="G2032"/>
    </row>
    <row r="2033" spans="7:7" x14ac:dyDescent="0.3">
      <c r="G2033"/>
    </row>
    <row r="2034" spans="7:7" x14ac:dyDescent="0.3">
      <c r="G2034"/>
    </row>
    <row r="2035" spans="7:7" x14ac:dyDescent="0.3">
      <c r="G2035"/>
    </row>
    <row r="2036" spans="7:7" x14ac:dyDescent="0.3">
      <c r="G2036"/>
    </row>
    <row r="2037" spans="7:7" x14ac:dyDescent="0.3">
      <c r="G2037"/>
    </row>
    <row r="2038" spans="7:7" x14ac:dyDescent="0.3">
      <c r="G2038"/>
    </row>
    <row r="2039" spans="7:7" x14ac:dyDescent="0.3">
      <c r="G2039"/>
    </row>
    <row r="2040" spans="7:7" x14ac:dyDescent="0.3">
      <c r="G2040"/>
    </row>
    <row r="2041" spans="7:7" x14ac:dyDescent="0.3">
      <c r="G2041"/>
    </row>
    <row r="2042" spans="7:7" x14ac:dyDescent="0.3">
      <c r="G2042"/>
    </row>
    <row r="2043" spans="7:7" x14ac:dyDescent="0.3">
      <c r="G2043"/>
    </row>
    <row r="2044" spans="7:7" x14ac:dyDescent="0.3">
      <c r="G2044"/>
    </row>
    <row r="2045" spans="7:7" x14ac:dyDescent="0.3">
      <c r="G2045"/>
    </row>
    <row r="2046" spans="7:7" x14ac:dyDescent="0.3">
      <c r="G2046"/>
    </row>
    <row r="2047" spans="7:7" x14ac:dyDescent="0.3">
      <c r="G2047"/>
    </row>
    <row r="2048" spans="7:7" x14ac:dyDescent="0.3">
      <c r="G2048"/>
    </row>
    <row r="2049" spans="7:7" x14ac:dyDescent="0.3">
      <c r="G2049"/>
    </row>
    <row r="2050" spans="7:7" x14ac:dyDescent="0.3">
      <c r="G2050"/>
    </row>
    <row r="2051" spans="7:7" x14ac:dyDescent="0.3">
      <c r="G2051"/>
    </row>
    <row r="2052" spans="7:7" x14ac:dyDescent="0.3">
      <c r="G2052"/>
    </row>
    <row r="2053" spans="7:7" x14ac:dyDescent="0.3">
      <c r="G2053"/>
    </row>
    <row r="2054" spans="7:7" x14ac:dyDescent="0.3">
      <c r="G2054"/>
    </row>
    <row r="2055" spans="7:7" x14ac:dyDescent="0.3">
      <c r="G2055"/>
    </row>
    <row r="2056" spans="7:7" x14ac:dyDescent="0.3">
      <c r="G2056"/>
    </row>
    <row r="2057" spans="7:7" x14ac:dyDescent="0.3">
      <c r="G2057"/>
    </row>
    <row r="2058" spans="7:7" x14ac:dyDescent="0.3">
      <c r="G2058"/>
    </row>
    <row r="2059" spans="7:7" x14ac:dyDescent="0.3">
      <c r="G2059"/>
    </row>
    <row r="2060" spans="7:7" x14ac:dyDescent="0.3">
      <c r="G2060"/>
    </row>
    <row r="2061" spans="7:7" x14ac:dyDescent="0.3">
      <c r="G2061"/>
    </row>
    <row r="2062" spans="7:7" x14ac:dyDescent="0.3">
      <c r="G2062"/>
    </row>
    <row r="2063" spans="7:7" x14ac:dyDescent="0.3">
      <c r="G2063"/>
    </row>
    <row r="2064" spans="7:7" x14ac:dyDescent="0.3">
      <c r="G2064"/>
    </row>
    <row r="2065" spans="7:7" x14ac:dyDescent="0.3">
      <c r="G2065"/>
    </row>
    <row r="2066" spans="7:7" x14ac:dyDescent="0.3">
      <c r="G2066"/>
    </row>
    <row r="2067" spans="7:7" x14ac:dyDescent="0.3">
      <c r="G2067"/>
    </row>
    <row r="2068" spans="7:7" x14ac:dyDescent="0.3">
      <c r="G2068"/>
    </row>
    <row r="2069" spans="7:7" x14ac:dyDescent="0.3">
      <c r="G2069"/>
    </row>
    <row r="2070" spans="7:7" x14ac:dyDescent="0.3">
      <c r="G2070"/>
    </row>
    <row r="2071" spans="7:7" x14ac:dyDescent="0.3">
      <c r="G2071"/>
    </row>
    <row r="2072" spans="7:7" x14ac:dyDescent="0.3">
      <c r="G2072"/>
    </row>
    <row r="2073" spans="7:7" x14ac:dyDescent="0.3">
      <c r="G2073"/>
    </row>
    <row r="2074" spans="7:7" x14ac:dyDescent="0.3">
      <c r="G2074"/>
    </row>
    <row r="2075" spans="7:7" x14ac:dyDescent="0.3">
      <c r="G2075"/>
    </row>
    <row r="2076" spans="7:7" x14ac:dyDescent="0.3">
      <c r="G2076"/>
    </row>
    <row r="2077" spans="7:7" x14ac:dyDescent="0.3">
      <c r="G2077"/>
    </row>
    <row r="2078" spans="7:7" x14ac:dyDescent="0.3">
      <c r="G2078"/>
    </row>
    <row r="2079" spans="7:7" x14ac:dyDescent="0.3">
      <c r="G2079"/>
    </row>
    <row r="2080" spans="7:7" x14ac:dyDescent="0.3">
      <c r="G2080"/>
    </row>
    <row r="2081" spans="7:7" x14ac:dyDescent="0.3">
      <c r="G2081"/>
    </row>
    <row r="2082" spans="7:7" x14ac:dyDescent="0.3">
      <c r="G2082"/>
    </row>
    <row r="2083" spans="7:7" x14ac:dyDescent="0.3">
      <c r="G2083"/>
    </row>
    <row r="2084" spans="7:7" x14ac:dyDescent="0.3">
      <c r="G2084"/>
    </row>
    <row r="2085" spans="7:7" x14ac:dyDescent="0.3">
      <c r="G2085"/>
    </row>
    <row r="2086" spans="7:7" x14ac:dyDescent="0.3">
      <c r="G2086"/>
    </row>
    <row r="2087" spans="7:7" x14ac:dyDescent="0.3">
      <c r="G2087"/>
    </row>
    <row r="2088" spans="7:7" x14ac:dyDescent="0.3">
      <c r="G2088"/>
    </row>
    <row r="2089" spans="7:7" x14ac:dyDescent="0.3">
      <c r="G2089"/>
    </row>
    <row r="2090" spans="7:7" x14ac:dyDescent="0.3">
      <c r="G2090"/>
    </row>
    <row r="2091" spans="7:7" x14ac:dyDescent="0.3">
      <c r="G2091"/>
    </row>
    <row r="2092" spans="7:7" x14ac:dyDescent="0.3">
      <c r="G2092"/>
    </row>
    <row r="2093" spans="7:7" x14ac:dyDescent="0.3">
      <c r="G2093"/>
    </row>
    <row r="2094" spans="7:7" x14ac:dyDescent="0.3">
      <c r="G2094"/>
    </row>
    <row r="2095" spans="7:7" x14ac:dyDescent="0.3">
      <c r="G2095"/>
    </row>
    <row r="2096" spans="7:7" x14ac:dyDescent="0.3">
      <c r="G2096"/>
    </row>
    <row r="2097" spans="7:7" x14ac:dyDescent="0.3">
      <c r="G2097"/>
    </row>
    <row r="2098" spans="7:7" x14ac:dyDescent="0.3">
      <c r="G2098"/>
    </row>
    <row r="2099" spans="7:7" x14ac:dyDescent="0.3">
      <c r="G2099"/>
    </row>
    <row r="2100" spans="7:7" x14ac:dyDescent="0.3">
      <c r="G2100"/>
    </row>
    <row r="2101" spans="7:7" x14ac:dyDescent="0.3">
      <c r="G2101"/>
    </row>
    <row r="2102" spans="7:7" x14ac:dyDescent="0.3">
      <c r="G2102"/>
    </row>
    <row r="2103" spans="7:7" x14ac:dyDescent="0.3">
      <c r="G2103"/>
    </row>
    <row r="2104" spans="7:7" x14ac:dyDescent="0.3">
      <c r="G2104"/>
    </row>
    <row r="2105" spans="7:7" x14ac:dyDescent="0.3">
      <c r="G2105"/>
    </row>
    <row r="2106" spans="7:7" x14ac:dyDescent="0.3">
      <c r="G2106"/>
    </row>
    <row r="2107" spans="7:7" x14ac:dyDescent="0.3">
      <c r="G2107"/>
    </row>
    <row r="2108" spans="7:7" x14ac:dyDescent="0.3">
      <c r="G2108"/>
    </row>
    <row r="2109" spans="7:7" x14ac:dyDescent="0.3">
      <c r="G2109"/>
    </row>
    <row r="2110" spans="7:7" x14ac:dyDescent="0.3">
      <c r="G2110"/>
    </row>
    <row r="2111" spans="7:7" x14ac:dyDescent="0.3">
      <c r="G2111"/>
    </row>
    <row r="2112" spans="7:7" x14ac:dyDescent="0.3">
      <c r="G2112"/>
    </row>
    <row r="2113" spans="7:7" x14ac:dyDescent="0.3">
      <c r="G2113"/>
    </row>
    <row r="2114" spans="7:7" x14ac:dyDescent="0.3">
      <c r="G2114"/>
    </row>
    <row r="2115" spans="7:7" x14ac:dyDescent="0.3">
      <c r="G2115"/>
    </row>
    <row r="2116" spans="7:7" x14ac:dyDescent="0.3">
      <c r="G2116"/>
    </row>
    <row r="2117" spans="7:7" x14ac:dyDescent="0.3">
      <c r="G2117"/>
    </row>
    <row r="2118" spans="7:7" x14ac:dyDescent="0.3">
      <c r="G2118"/>
    </row>
    <row r="2119" spans="7:7" x14ac:dyDescent="0.3">
      <c r="G2119"/>
    </row>
    <row r="2120" spans="7:7" x14ac:dyDescent="0.3">
      <c r="G2120"/>
    </row>
    <row r="2121" spans="7:7" x14ac:dyDescent="0.3">
      <c r="G2121"/>
    </row>
    <row r="2122" spans="7:7" x14ac:dyDescent="0.3">
      <c r="G2122"/>
    </row>
    <row r="2123" spans="7:7" x14ac:dyDescent="0.3">
      <c r="G2123"/>
    </row>
    <row r="2124" spans="7:7" x14ac:dyDescent="0.3">
      <c r="G2124"/>
    </row>
    <row r="2125" spans="7:7" x14ac:dyDescent="0.3">
      <c r="G2125"/>
    </row>
    <row r="2126" spans="7:7" x14ac:dyDescent="0.3">
      <c r="G2126"/>
    </row>
    <row r="2127" spans="7:7" x14ac:dyDescent="0.3">
      <c r="G2127"/>
    </row>
    <row r="2128" spans="7:7" x14ac:dyDescent="0.3">
      <c r="G2128"/>
    </row>
    <row r="2129" spans="7:7" x14ac:dyDescent="0.3">
      <c r="G2129"/>
    </row>
    <row r="2130" spans="7:7" x14ac:dyDescent="0.3">
      <c r="G2130"/>
    </row>
    <row r="2131" spans="7:7" x14ac:dyDescent="0.3">
      <c r="G2131"/>
    </row>
    <row r="2132" spans="7:7" x14ac:dyDescent="0.3">
      <c r="G2132"/>
    </row>
    <row r="2133" spans="7:7" x14ac:dyDescent="0.3">
      <c r="G2133"/>
    </row>
    <row r="2134" spans="7:7" x14ac:dyDescent="0.3">
      <c r="G2134"/>
    </row>
    <row r="2135" spans="7:7" x14ac:dyDescent="0.3">
      <c r="G2135"/>
    </row>
    <row r="2136" spans="7:7" x14ac:dyDescent="0.3">
      <c r="G2136"/>
    </row>
    <row r="2137" spans="7:7" x14ac:dyDescent="0.3">
      <c r="G2137"/>
    </row>
    <row r="2138" spans="7:7" x14ac:dyDescent="0.3">
      <c r="G2138"/>
    </row>
    <row r="2139" spans="7:7" x14ac:dyDescent="0.3">
      <c r="G2139"/>
    </row>
    <row r="2140" spans="7:7" x14ac:dyDescent="0.3">
      <c r="G2140"/>
    </row>
    <row r="2141" spans="7:7" x14ac:dyDescent="0.3">
      <c r="G2141"/>
    </row>
    <row r="2142" spans="7:7" x14ac:dyDescent="0.3">
      <c r="G2142"/>
    </row>
    <row r="2143" spans="7:7" x14ac:dyDescent="0.3">
      <c r="G2143"/>
    </row>
    <row r="2144" spans="7:7" x14ac:dyDescent="0.3">
      <c r="G2144"/>
    </row>
    <row r="2145" spans="7:7" x14ac:dyDescent="0.3">
      <c r="G2145"/>
    </row>
    <row r="2146" spans="7:7" x14ac:dyDescent="0.3">
      <c r="G2146"/>
    </row>
    <row r="2147" spans="7:7" x14ac:dyDescent="0.3">
      <c r="G2147"/>
    </row>
    <row r="2148" spans="7:7" x14ac:dyDescent="0.3">
      <c r="G2148"/>
    </row>
    <row r="2149" spans="7:7" x14ac:dyDescent="0.3">
      <c r="G2149"/>
    </row>
    <row r="2150" spans="7:7" x14ac:dyDescent="0.3">
      <c r="G2150"/>
    </row>
    <row r="2151" spans="7:7" x14ac:dyDescent="0.3">
      <c r="G2151"/>
    </row>
    <row r="2152" spans="7:7" x14ac:dyDescent="0.3">
      <c r="G2152"/>
    </row>
    <row r="2153" spans="7:7" x14ac:dyDescent="0.3">
      <c r="G2153"/>
    </row>
    <row r="2154" spans="7:7" x14ac:dyDescent="0.3">
      <c r="G2154"/>
    </row>
    <row r="2155" spans="7:7" x14ac:dyDescent="0.3">
      <c r="G2155"/>
    </row>
    <row r="2156" spans="7:7" x14ac:dyDescent="0.3">
      <c r="G2156"/>
    </row>
    <row r="2157" spans="7:7" x14ac:dyDescent="0.3">
      <c r="G2157"/>
    </row>
    <row r="2158" spans="7:7" x14ac:dyDescent="0.3">
      <c r="G2158"/>
    </row>
    <row r="2159" spans="7:7" x14ac:dyDescent="0.3">
      <c r="G2159"/>
    </row>
    <row r="2160" spans="7:7" x14ac:dyDescent="0.3">
      <c r="G2160"/>
    </row>
    <row r="2161" spans="7:7" x14ac:dyDescent="0.3">
      <c r="G2161"/>
    </row>
    <row r="2162" spans="7:7" x14ac:dyDescent="0.3">
      <c r="G2162"/>
    </row>
    <row r="2163" spans="7:7" x14ac:dyDescent="0.3">
      <c r="G2163"/>
    </row>
    <row r="2164" spans="7:7" x14ac:dyDescent="0.3">
      <c r="G2164"/>
    </row>
    <row r="2165" spans="7:7" x14ac:dyDescent="0.3">
      <c r="G2165"/>
    </row>
    <row r="2166" spans="7:7" x14ac:dyDescent="0.3">
      <c r="G2166"/>
    </row>
    <row r="2167" spans="7:7" x14ac:dyDescent="0.3">
      <c r="G2167"/>
    </row>
    <row r="2168" spans="7:7" x14ac:dyDescent="0.3">
      <c r="G2168"/>
    </row>
    <row r="2169" spans="7:7" x14ac:dyDescent="0.3">
      <c r="G2169"/>
    </row>
    <row r="2170" spans="7:7" x14ac:dyDescent="0.3">
      <c r="G2170"/>
    </row>
    <row r="2171" spans="7:7" x14ac:dyDescent="0.3">
      <c r="G2171"/>
    </row>
    <row r="2172" spans="7:7" x14ac:dyDescent="0.3">
      <c r="G2172"/>
    </row>
    <row r="2173" spans="7:7" x14ac:dyDescent="0.3">
      <c r="G2173"/>
    </row>
    <row r="2174" spans="7:7" x14ac:dyDescent="0.3">
      <c r="G2174"/>
    </row>
    <row r="2175" spans="7:7" x14ac:dyDescent="0.3">
      <c r="G2175"/>
    </row>
    <row r="2176" spans="7:7" x14ac:dyDescent="0.3">
      <c r="G2176"/>
    </row>
    <row r="2177" spans="7:7" x14ac:dyDescent="0.3">
      <c r="G2177"/>
    </row>
    <row r="2178" spans="7:7" x14ac:dyDescent="0.3">
      <c r="G2178"/>
    </row>
    <row r="2179" spans="7:7" x14ac:dyDescent="0.3">
      <c r="G2179"/>
    </row>
    <row r="2180" spans="7:7" x14ac:dyDescent="0.3">
      <c r="G2180"/>
    </row>
    <row r="2181" spans="7:7" x14ac:dyDescent="0.3">
      <c r="G2181"/>
    </row>
    <row r="2182" spans="7:7" x14ac:dyDescent="0.3">
      <c r="G2182"/>
    </row>
    <row r="2183" spans="7:7" x14ac:dyDescent="0.3">
      <c r="G2183"/>
    </row>
    <row r="2184" spans="7:7" x14ac:dyDescent="0.3">
      <c r="G2184"/>
    </row>
    <row r="2185" spans="7:7" x14ac:dyDescent="0.3">
      <c r="G2185"/>
    </row>
    <row r="2186" spans="7:7" x14ac:dyDescent="0.3">
      <c r="G2186"/>
    </row>
    <row r="2187" spans="7:7" x14ac:dyDescent="0.3">
      <c r="G2187"/>
    </row>
    <row r="2188" spans="7:7" x14ac:dyDescent="0.3">
      <c r="G2188"/>
    </row>
    <row r="2189" spans="7:7" x14ac:dyDescent="0.3">
      <c r="G2189"/>
    </row>
    <row r="2190" spans="7:7" x14ac:dyDescent="0.3">
      <c r="G2190"/>
    </row>
    <row r="2191" spans="7:7" x14ac:dyDescent="0.3">
      <c r="G2191"/>
    </row>
    <row r="2192" spans="7:7" x14ac:dyDescent="0.3">
      <c r="G2192"/>
    </row>
    <row r="2193" spans="7:7" x14ac:dyDescent="0.3">
      <c r="G2193"/>
    </row>
    <row r="2194" spans="7:7" x14ac:dyDescent="0.3">
      <c r="G2194"/>
    </row>
    <row r="2195" spans="7:7" x14ac:dyDescent="0.3">
      <c r="G2195"/>
    </row>
    <row r="2196" spans="7:7" x14ac:dyDescent="0.3">
      <c r="G2196"/>
    </row>
    <row r="2197" spans="7:7" x14ac:dyDescent="0.3">
      <c r="G2197"/>
    </row>
    <row r="2198" spans="7:7" x14ac:dyDescent="0.3">
      <c r="G2198"/>
    </row>
    <row r="2199" spans="7:7" x14ac:dyDescent="0.3">
      <c r="G2199"/>
    </row>
    <row r="2200" spans="7:7" x14ac:dyDescent="0.3">
      <c r="G2200"/>
    </row>
    <row r="2201" spans="7:7" x14ac:dyDescent="0.3">
      <c r="G2201"/>
    </row>
    <row r="2202" spans="7:7" x14ac:dyDescent="0.3">
      <c r="G2202"/>
    </row>
    <row r="2203" spans="7:7" x14ac:dyDescent="0.3">
      <c r="G2203"/>
    </row>
    <row r="2204" spans="7:7" x14ac:dyDescent="0.3">
      <c r="G2204"/>
    </row>
    <row r="2205" spans="7:7" x14ac:dyDescent="0.3">
      <c r="G2205"/>
    </row>
    <row r="2206" spans="7:7" x14ac:dyDescent="0.3">
      <c r="G2206"/>
    </row>
    <row r="2207" spans="7:7" x14ac:dyDescent="0.3">
      <c r="G2207"/>
    </row>
    <row r="2208" spans="7:7" x14ac:dyDescent="0.3">
      <c r="G2208"/>
    </row>
    <row r="2209" spans="7:7" x14ac:dyDescent="0.3">
      <c r="G2209"/>
    </row>
    <row r="2210" spans="7:7" x14ac:dyDescent="0.3">
      <c r="G2210"/>
    </row>
    <row r="2211" spans="7:7" x14ac:dyDescent="0.3">
      <c r="G2211"/>
    </row>
    <row r="2212" spans="7:7" x14ac:dyDescent="0.3">
      <c r="G2212"/>
    </row>
    <row r="2213" spans="7:7" x14ac:dyDescent="0.3">
      <c r="G2213"/>
    </row>
    <row r="2214" spans="7:7" x14ac:dyDescent="0.3">
      <c r="G2214"/>
    </row>
    <row r="2215" spans="7:7" x14ac:dyDescent="0.3">
      <c r="G2215"/>
    </row>
    <row r="2216" spans="7:7" x14ac:dyDescent="0.3">
      <c r="G2216"/>
    </row>
    <row r="2217" spans="7:7" x14ac:dyDescent="0.3">
      <c r="G2217"/>
    </row>
    <row r="2218" spans="7:7" x14ac:dyDescent="0.3">
      <c r="G2218"/>
    </row>
    <row r="2219" spans="7:7" x14ac:dyDescent="0.3">
      <c r="G2219"/>
    </row>
    <row r="2220" spans="7:7" x14ac:dyDescent="0.3">
      <c r="G2220"/>
    </row>
    <row r="2221" spans="7:7" x14ac:dyDescent="0.3">
      <c r="G2221"/>
    </row>
    <row r="2222" spans="7:7" x14ac:dyDescent="0.3">
      <c r="G2222"/>
    </row>
    <row r="2223" spans="7:7" x14ac:dyDescent="0.3">
      <c r="G2223"/>
    </row>
    <row r="2224" spans="7:7" x14ac:dyDescent="0.3">
      <c r="G2224"/>
    </row>
    <row r="2225" spans="7:7" x14ac:dyDescent="0.3">
      <c r="G2225"/>
    </row>
    <row r="2226" spans="7:7" x14ac:dyDescent="0.3">
      <c r="G2226"/>
    </row>
    <row r="2227" spans="7:7" x14ac:dyDescent="0.3">
      <c r="G2227"/>
    </row>
    <row r="2228" spans="7:7" x14ac:dyDescent="0.3">
      <c r="G2228"/>
    </row>
    <row r="2229" spans="7:7" x14ac:dyDescent="0.3">
      <c r="G2229"/>
    </row>
    <row r="2230" spans="7:7" x14ac:dyDescent="0.3">
      <c r="G2230"/>
    </row>
    <row r="2231" spans="7:7" x14ac:dyDescent="0.3">
      <c r="G2231"/>
    </row>
    <row r="2232" spans="7:7" x14ac:dyDescent="0.3">
      <c r="G2232"/>
    </row>
    <row r="2233" spans="7:7" x14ac:dyDescent="0.3">
      <c r="G2233"/>
    </row>
    <row r="2234" spans="7:7" x14ac:dyDescent="0.3">
      <c r="G2234"/>
    </row>
    <row r="2235" spans="7:7" x14ac:dyDescent="0.3">
      <c r="G2235"/>
    </row>
    <row r="2236" spans="7:7" x14ac:dyDescent="0.3">
      <c r="G2236"/>
    </row>
    <row r="2237" spans="7:7" x14ac:dyDescent="0.3">
      <c r="G2237"/>
    </row>
    <row r="2238" spans="7:7" x14ac:dyDescent="0.3">
      <c r="G2238"/>
    </row>
    <row r="2239" spans="7:7" x14ac:dyDescent="0.3">
      <c r="G2239"/>
    </row>
    <row r="2240" spans="7:7" x14ac:dyDescent="0.3">
      <c r="G2240"/>
    </row>
    <row r="2241" spans="7:7" x14ac:dyDescent="0.3">
      <c r="G2241"/>
    </row>
    <row r="2242" spans="7:7" x14ac:dyDescent="0.3">
      <c r="G2242"/>
    </row>
    <row r="2243" spans="7:7" x14ac:dyDescent="0.3">
      <c r="G2243"/>
    </row>
    <row r="2244" spans="7:7" x14ac:dyDescent="0.3">
      <c r="G2244"/>
    </row>
    <row r="2245" spans="7:7" x14ac:dyDescent="0.3">
      <c r="G2245"/>
    </row>
    <row r="2246" spans="7:7" x14ac:dyDescent="0.3">
      <c r="G2246"/>
    </row>
    <row r="2247" spans="7:7" x14ac:dyDescent="0.3">
      <c r="G2247"/>
    </row>
    <row r="2248" spans="7:7" x14ac:dyDescent="0.3">
      <c r="G2248"/>
    </row>
    <row r="2249" spans="7:7" x14ac:dyDescent="0.3">
      <c r="G2249"/>
    </row>
    <row r="2250" spans="7:7" x14ac:dyDescent="0.3">
      <c r="G2250"/>
    </row>
    <row r="2251" spans="7:7" x14ac:dyDescent="0.3">
      <c r="G2251"/>
    </row>
    <row r="2252" spans="7:7" x14ac:dyDescent="0.3">
      <c r="G2252"/>
    </row>
    <row r="2253" spans="7:7" x14ac:dyDescent="0.3">
      <c r="G2253"/>
    </row>
    <row r="2254" spans="7:7" x14ac:dyDescent="0.3">
      <c r="G2254"/>
    </row>
    <row r="2255" spans="7:7" x14ac:dyDescent="0.3">
      <c r="G2255"/>
    </row>
    <row r="2256" spans="7:7" x14ac:dyDescent="0.3">
      <c r="G2256"/>
    </row>
    <row r="2257" spans="7:7" x14ac:dyDescent="0.3">
      <c r="G2257"/>
    </row>
    <row r="2258" spans="7:7" x14ac:dyDescent="0.3">
      <c r="G2258"/>
    </row>
    <row r="2259" spans="7:7" x14ac:dyDescent="0.3">
      <c r="G2259"/>
    </row>
    <row r="2260" spans="7:7" x14ac:dyDescent="0.3">
      <c r="G2260"/>
    </row>
    <row r="2261" spans="7:7" x14ac:dyDescent="0.3">
      <c r="G2261"/>
    </row>
    <row r="2262" spans="7:7" x14ac:dyDescent="0.3">
      <c r="G2262"/>
    </row>
    <row r="2263" spans="7:7" x14ac:dyDescent="0.3">
      <c r="G2263"/>
    </row>
    <row r="2264" spans="7:7" x14ac:dyDescent="0.3">
      <c r="G2264"/>
    </row>
    <row r="2265" spans="7:7" x14ac:dyDescent="0.3">
      <c r="G2265"/>
    </row>
    <row r="2266" spans="7:7" x14ac:dyDescent="0.3">
      <c r="G2266"/>
    </row>
    <row r="2267" spans="7:7" x14ac:dyDescent="0.3">
      <c r="G2267"/>
    </row>
    <row r="2268" spans="7:7" x14ac:dyDescent="0.3">
      <c r="G2268"/>
    </row>
    <row r="2269" spans="7:7" x14ac:dyDescent="0.3">
      <c r="G2269"/>
    </row>
    <row r="2270" spans="7:7" x14ac:dyDescent="0.3">
      <c r="G2270"/>
    </row>
    <row r="2271" spans="7:7" x14ac:dyDescent="0.3">
      <c r="G2271"/>
    </row>
    <row r="2272" spans="7:7" x14ac:dyDescent="0.3">
      <c r="G2272"/>
    </row>
    <row r="2273" spans="7:7" x14ac:dyDescent="0.3">
      <c r="G2273"/>
    </row>
    <row r="2274" spans="7:7" x14ac:dyDescent="0.3">
      <c r="G2274"/>
    </row>
    <row r="2275" spans="7:7" x14ac:dyDescent="0.3">
      <c r="G2275"/>
    </row>
    <row r="2276" spans="7:7" x14ac:dyDescent="0.3">
      <c r="G2276"/>
    </row>
    <row r="2277" spans="7:7" x14ac:dyDescent="0.3">
      <c r="G2277"/>
    </row>
    <row r="2278" spans="7:7" x14ac:dyDescent="0.3">
      <c r="G2278"/>
    </row>
    <row r="2279" spans="7:7" x14ac:dyDescent="0.3">
      <c r="G2279"/>
    </row>
    <row r="2280" spans="7:7" x14ac:dyDescent="0.3">
      <c r="G2280"/>
    </row>
    <row r="2281" spans="7:7" x14ac:dyDescent="0.3">
      <c r="G2281"/>
    </row>
    <row r="2282" spans="7:7" x14ac:dyDescent="0.3">
      <c r="G2282"/>
    </row>
    <row r="2283" spans="7:7" x14ac:dyDescent="0.3">
      <c r="G2283"/>
    </row>
    <row r="2284" spans="7:7" x14ac:dyDescent="0.3">
      <c r="G2284"/>
    </row>
    <row r="2285" spans="7:7" x14ac:dyDescent="0.3">
      <c r="G2285"/>
    </row>
    <row r="2286" spans="7:7" x14ac:dyDescent="0.3">
      <c r="G2286"/>
    </row>
    <row r="2287" spans="7:7" x14ac:dyDescent="0.3">
      <c r="G2287"/>
    </row>
    <row r="2288" spans="7:7" x14ac:dyDescent="0.3">
      <c r="G2288"/>
    </row>
    <row r="2289" spans="7:7" x14ac:dyDescent="0.3">
      <c r="G2289"/>
    </row>
    <row r="2290" spans="7:7" x14ac:dyDescent="0.3">
      <c r="G2290"/>
    </row>
    <row r="2291" spans="7:7" x14ac:dyDescent="0.3">
      <c r="G2291"/>
    </row>
    <row r="2292" spans="7:7" x14ac:dyDescent="0.3">
      <c r="G2292"/>
    </row>
    <row r="2293" spans="7:7" x14ac:dyDescent="0.3">
      <c r="G2293"/>
    </row>
    <row r="2294" spans="7:7" x14ac:dyDescent="0.3">
      <c r="G2294"/>
    </row>
    <row r="2295" spans="7:7" x14ac:dyDescent="0.3">
      <c r="G2295"/>
    </row>
    <row r="2296" spans="7:7" x14ac:dyDescent="0.3">
      <c r="G2296"/>
    </row>
    <row r="2297" spans="7:7" x14ac:dyDescent="0.3">
      <c r="G2297"/>
    </row>
    <row r="2298" spans="7:7" x14ac:dyDescent="0.3">
      <c r="G2298"/>
    </row>
    <row r="2299" spans="7:7" x14ac:dyDescent="0.3">
      <c r="G2299"/>
    </row>
    <row r="2300" spans="7:7" x14ac:dyDescent="0.3">
      <c r="G2300"/>
    </row>
    <row r="2301" spans="7:7" x14ac:dyDescent="0.3">
      <c r="G2301"/>
    </row>
    <row r="2302" spans="7:7" x14ac:dyDescent="0.3">
      <c r="G2302"/>
    </row>
    <row r="2303" spans="7:7" x14ac:dyDescent="0.3">
      <c r="G2303"/>
    </row>
    <row r="2304" spans="7:7" x14ac:dyDescent="0.3">
      <c r="G2304"/>
    </row>
    <row r="2305" spans="7:7" x14ac:dyDescent="0.3">
      <c r="G2305"/>
    </row>
    <row r="2306" spans="7:7" x14ac:dyDescent="0.3">
      <c r="G2306"/>
    </row>
    <row r="2307" spans="7:7" x14ac:dyDescent="0.3">
      <c r="G2307"/>
    </row>
    <row r="2308" spans="7:7" x14ac:dyDescent="0.3">
      <c r="G2308"/>
    </row>
    <row r="2309" spans="7:7" x14ac:dyDescent="0.3">
      <c r="G2309"/>
    </row>
    <row r="2310" spans="7:7" x14ac:dyDescent="0.3">
      <c r="G2310"/>
    </row>
    <row r="2311" spans="7:7" x14ac:dyDescent="0.3">
      <c r="G2311"/>
    </row>
    <row r="2312" spans="7:7" x14ac:dyDescent="0.3">
      <c r="G2312"/>
    </row>
    <row r="2313" spans="7:7" x14ac:dyDescent="0.3">
      <c r="G2313"/>
    </row>
    <row r="2314" spans="7:7" x14ac:dyDescent="0.3">
      <c r="G2314"/>
    </row>
    <row r="2315" spans="7:7" x14ac:dyDescent="0.3">
      <c r="G2315"/>
    </row>
    <row r="2316" spans="7:7" x14ac:dyDescent="0.3">
      <c r="G2316"/>
    </row>
    <row r="2317" spans="7:7" x14ac:dyDescent="0.3">
      <c r="G2317"/>
    </row>
    <row r="2318" spans="7:7" x14ac:dyDescent="0.3">
      <c r="G2318"/>
    </row>
    <row r="2319" spans="7:7" x14ac:dyDescent="0.3">
      <c r="G2319"/>
    </row>
    <row r="2320" spans="7:7" x14ac:dyDescent="0.3">
      <c r="G2320"/>
    </row>
    <row r="2321" spans="7:7" x14ac:dyDescent="0.3">
      <c r="G2321"/>
    </row>
    <row r="2322" spans="7:7" x14ac:dyDescent="0.3">
      <c r="G2322"/>
    </row>
    <row r="2323" spans="7:7" x14ac:dyDescent="0.3">
      <c r="G2323"/>
    </row>
    <row r="2324" spans="7:7" x14ac:dyDescent="0.3">
      <c r="G2324"/>
    </row>
    <row r="2325" spans="7:7" x14ac:dyDescent="0.3">
      <c r="G2325"/>
    </row>
    <row r="2326" spans="7:7" x14ac:dyDescent="0.3">
      <c r="G2326"/>
    </row>
    <row r="2327" spans="7:7" x14ac:dyDescent="0.3">
      <c r="G2327"/>
    </row>
    <row r="2328" spans="7:7" x14ac:dyDescent="0.3">
      <c r="G2328"/>
    </row>
    <row r="2329" spans="7:7" x14ac:dyDescent="0.3">
      <c r="G2329"/>
    </row>
    <row r="2330" spans="7:7" x14ac:dyDescent="0.3">
      <c r="G2330"/>
    </row>
    <row r="2331" spans="7:7" x14ac:dyDescent="0.3">
      <c r="G2331"/>
    </row>
    <row r="2332" spans="7:7" x14ac:dyDescent="0.3">
      <c r="G2332"/>
    </row>
    <row r="2333" spans="7:7" x14ac:dyDescent="0.3">
      <c r="G2333"/>
    </row>
    <row r="2334" spans="7:7" x14ac:dyDescent="0.3">
      <c r="G2334"/>
    </row>
    <row r="2335" spans="7:7" x14ac:dyDescent="0.3">
      <c r="G2335"/>
    </row>
    <row r="2336" spans="7:7" x14ac:dyDescent="0.3">
      <c r="G2336"/>
    </row>
    <row r="2337" spans="7:7" x14ac:dyDescent="0.3">
      <c r="G2337"/>
    </row>
    <row r="2338" spans="7:7" x14ac:dyDescent="0.3">
      <c r="G2338"/>
    </row>
    <row r="2339" spans="7:7" x14ac:dyDescent="0.3">
      <c r="G2339"/>
    </row>
    <row r="2340" spans="7:7" x14ac:dyDescent="0.3">
      <c r="G2340"/>
    </row>
    <row r="2341" spans="7:7" x14ac:dyDescent="0.3">
      <c r="G2341"/>
    </row>
    <row r="2342" spans="7:7" x14ac:dyDescent="0.3">
      <c r="G2342"/>
    </row>
    <row r="2343" spans="7:7" x14ac:dyDescent="0.3">
      <c r="G2343"/>
    </row>
    <row r="2344" spans="7:7" x14ac:dyDescent="0.3">
      <c r="G2344"/>
    </row>
    <row r="2345" spans="7:7" x14ac:dyDescent="0.3">
      <c r="G2345"/>
    </row>
    <row r="2346" spans="7:7" x14ac:dyDescent="0.3">
      <c r="G2346"/>
    </row>
    <row r="2347" spans="7:7" x14ac:dyDescent="0.3">
      <c r="G2347"/>
    </row>
    <row r="2348" spans="7:7" x14ac:dyDescent="0.3">
      <c r="G2348"/>
    </row>
    <row r="2349" spans="7:7" x14ac:dyDescent="0.3">
      <c r="G2349"/>
    </row>
    <row r="2350" spans="7:7" x14ac:dyDescent="0.3">
      <c r="G2350"/>
    </row>
    <row r="2351" spans="7:7" x14ac:dyDescent="0.3">
      <c r="G2351"/>
    </row>
    <row r="2352" spans="7:7" x14ac:dyDescent="0.3">
      <c r="G2352"/>
    </row>
    <row r="2353" spans="7:7" x14ac:dyDescent="0.3">
      <c r="G2353"/>
    </row>
    <row r="2354" spans="7:7" x14ac:dyDescent="0.3">
      <c r="G2354"/>
    </row>
    <row r="2355" spans="7:7" x14ac:dyDescent="0.3">
      <c r="G2355"/>
    </row>
    <row r="2356" spans="7:7" x14ac:dyDescent="0.3">
      <c r="G2356"/>
    </row>
    <row r="2357" spans="7:7" x14ac:dyDescent="0.3">
      <c r="G2357"/>
    </row>
    <row r="2358" spans="7:7" x14ac:dyDescent="0.3">
      <c r="G2358"/>
    </row>
    <row r="2359" spans="7:7" x14ac:dyDescent="0.3">
      <c r="G2359"/>
    </row>
    <row r="2360" spans="7:7" x14ac:dyDescent="0.3">
      <c r="G2360"/>
    </row>
    <row r="2361" spans="7:7" x14ac:dyDescent="0.3">
      <c r="G2361"/>
    </row>
    <row r="2362" spans="7:7" x14ac:dyDescent="0.3">
      <c r="G2362"/>
    </row>
    <row r="2363" spans="7:7" x14ac:dyDescent="0.3">
      <c r="G2363"/>
    </row>
    <row r="2364" spans="7:7" x14ac:dyDescent="0.3">
      <c r="G2364"/>
    </row>
    <row r="2365" spans="7:7" x14ac:dyDescent="0.3">
      <c r="G2365"/>
    </row>
    <row r="2366" spans="7:7" x14ac:dyDescent="0.3">
      <c r="G2366"/>
    </row>
    <row r="2367" spans="7:7" x14ac:dyDescent="0.3">
      <c r="G2367"/>
    </row>
    <row r="2368" spans="7:7" x14ac:dyDescent="0.3">
      <c r="G2368"/>
    </row>
    <row r="2369" spans="7:7" x14ac:dyDescent="0.3">
      <c r="G2369"/>
    </row>
    <row r="2370" spans="7:7" x14ac:dyDescent="0.3">
      <c r="G2370"/>
    </row>
    <row r="2371" spans="7:7" x14ac:dyDescent="0.3">
      <c r="G2371"/>
    </row>
    <row r="2372" spans="7:7" x14ac:dyDescent="0.3">
      <c r="G2372"/>
    </row>
    <row r="2373" spans="7:7" x14ac:dyDescent="0.3">
      <c r="G2373"/>
    </row>
    <row r="2374" spans="7:7" x14ac:dyDescent="0.3">
      <c r="G2374"/>
    </row>
    <row r="2375" spans="7:7" x14ac:dyDescent="0.3">
      <c r="G2375"/>
    </row>
    <row r="2376" spans="7:7" x14ac:dyDescent="0.3">
      <c r="G2376"/>
    </row>
    <row r="2377" spans="7:7" x14ac:dyDescent="0.3">
      <c r="G2377"/>
    </row>
    <row r="2378" spans="7:7" x14ac:dyDescent="0.3">
      <c r="G2378"/>
    </row>
    <row r="2379" spans="7:7" x14ac:dyDescent="0.3">
      <c r="G2379"/>
    </row>
    <row r="2380" spans="7:7" x14ac:dyDescent="0.3">
      <c r="G2380"/>
    </row>
    <row r="2381" spans="7:7" x14ac:dyDescent="0.3">
      <c r="G2381"/>
    </row>
    <row r="2382" spans="7:7" x14ac:dyDescent="0.3">
      <c r="G2382"/>
    </row>
    <row r="2383" spans="7:7" x14ac:dyDescent="0.3">
      <c r="G2383"/>
    </row>
    <row r="2384" spans="7:7" x14ac:dyDescent="0.3">
      <c r="G2384"/>
    </row>
    <row r="2385" spans="7:7" x14ac:dyDescent="0.3">
      <c r="G2385"/>
    </row>
    <row r="2386" spans="7:7" x14ac:dyDescent="0.3">
      <c r="G2386"/>
    </row>
    <row r="2387" spans="7:7" x14ac:dyDescent="0.3">
      <c r="G2387"/>
    </row>
    <row r="2388" spans="7:7" x14ac:dyDescent="0.3">
      <c r="G2388"/>
    </row>
    <row r="2389" spans="7:7" x14ac:dyDescent="0.3">
      <c r="G2389"/>
    </row>
    <row r="2390" spans="7:7" x14ac:dyDescent="0.3">
      <c r="G2390"/>
    </row>
    <row r="2391" spans="7:7" x14ac:dyDescent="0.3">
      <c r="G2391"/>
    </row>
    <row r="2392" spans="7:7" x14ac:dyDescent="0.3">
      <c r="G2392"/>
    </row>
    <row r="2393" spans="7:7" x14ac:dyDescent="0.3">
      <c r="G2393"/>
    </row>
    <row r="2394" spans="7:7" x14ac:dyDescent="0.3">
      <c r="G2394"/>
    </row>
    <row r="2395" spans="7:7" x14ac:dyDescent="0.3">
      <c r="G2395"/>
    </row>
    <row r="2396" spans="7:7" x14ac:dyDescent="0.3">
      <c r="G2396"/>
    </row>
    <row r="2397" spans="7:7" x14ac:dyDescent="0.3">
      <c r="G2397"/>
    </row>
    <row r="2398" spans="7:7" x14ac:dyDescent="0.3">
      <c r="G2398"/>
    </row>
    <row r="2399" spans="7:7" x14ac:dyDescent="0.3">
      <c r="G2399"/>
    </row>
    <row r="2400" spans="7:7" x14ac:dyDescent="0.3">
      <c r="G2400"/>
    </row>
    <row r="2401" spans="7:7" x14ac:dyDescent="0.3">
      <c r="G2401"/>
    </row>
    <row r="2402" spans="7:7" x14ac:dyDescent="0.3">
      <c r="G2402"/>
    </row>
    <row r="2403" spans="7:7" x14ac:dyDescent="0.3">
      <c r="G2403"/>
    </row>
    <row r="2404" spans="7:7" x14ac:dyDescent="0.3">
      <c r="G2404"/>
    </row>
    <row r="2405" spans="7:7" x14ac:dyDescent="0.3">
      <c r="G2405"/>
    </row>
    <row r="2406" spans="7:7" x14ac:dyDescent="0.3">
      <c r="G2406"/>
    </row>
    <row r="2407" spans="7:7" x14ac:dyDescent="0.3">
      <c r="G2407"/>
    </row>
    <row r="2408" spans="7:7" x14ac:dyDescent="0.3">
      <c r="G2408"/>
    </row>
    <row r="2409" spans="7:7" x14ac:dyDescent="0.3">
      <c r="G2409"/>
    </row>
    <row r="2410" spans="7:7" x14ac:dyDescent="0.3">
      <c r="G2410"/>
    </row>
    <row r="2411" spans="7:7" x14ac:dyDescent="0.3">
      <c r="G2411"/>
    </row>
    <row r="2412" spans="7:7" x14ac:dyDescent="0.3">
      <c r="G2412"/>
    </row>
    <row r="2413" spans="7:7" x14ac:dyDescent="0.3">
      <c r="G2413"/>
    </row>
    <row r="2414" spans="7:7" x14ac:dyDescent="0.3">
      <c r="G2414"/>
    </row>
    <row r="2415" spans="7:7" x14ac:dyDescent="0.3">
      <c r="G2415"/>
    </row>
    <row r="2416" spans="7:7" x14ac:dyDescent="0.3">
      <c r="G2416"/>
    </row>
    <row r="2417" spans="7:7" x14ac:dyDescent="0.3">
      <c r="G2417"/>
    </row>
    <row r="2418" spans="7:7" x14ac:dyDescent="0.3">
      <c r="G2418"/>
    </row>
    <row r="2419" spans="7:7" x14ac:dyDescent="0.3">
      <c r="G2419"/>
    </row>
    <row r="2420" spans="7:7" x14ac:dyDescent="0.3">
      <c r="G2420"/>
    </row>
    <row r="2421" spans="7:7" x14ac:dyDescent="0.3">
      <c r="G2421"/>
    </row>
    <row r="2422" spans="7:7" x14ac:dyDescent="0.3">
      <c r="G2422"/>
    </row>
    <row r="2423" spans="7:7" x14ac:dyDescent="0.3">
      <c r="G2423"/>
    </row>
    <row r="2424" spans="7:7" x14ac:dyDescent="0.3">
      <c r="G2424"/>
    </row>
    <row r="2425" spans="7:7" x14ac:dyDescent="0.3">
      <c r="G2425"/>
    </row>
    <row r="2426" spans="7:7" x14ac:dyDescent="0.3">
      <c r="G2426"/>
    </row>
    <row r="2427" spans="7:7" x14ac:dyDescent="0.3">
      <c r="G2427"/>
    </row>
    <row r="2428" spans="7:7" x14ac:dyDescent="0.3">
      <c r="G2428"/>
    </row>
    <row r="2429" spans="7:7" x14ac:dyDescent="0.3">
      <c r="G2429"/>
    </row>
    <row r="2430" spans="7:7" x14ac:dyDescent="0.3">
      <c r="G2430"/>
    </row>
    <row r="2431" spans="7:7" x14ac:dyDescent="0.3">
      <c r="G2431"/>
    </row>
    <row r="2432" spans="7:7" x14ac:dyDescent="0.3">
      <c r="G2432"/>
    </row>
    <row r="2433" spans="7:7" x14ac:dyDescent="0.3">
      <c r="G2433"/>
    </row>
    <row r="2434" spans="7:7" x14ac:dyDescent="0.3">
      <c r="G2434"/>
    </row>
    <row r="2435" spans="7:7" x14ac:dyDescent="0.3">
      <c r="G2435"/>
    </row>
    <row r="2436" spans="7:7" x14ac:dyDescent="0.3">
      <c r="G2436"/>
    </row>
    <row r="2437" spans="7:7" x14ac:dyDescent="0.3">
      <c r="G2437"/>
    </row>
    <row r="2438" spans="7:7" x14ac:dyDescent="0.3">
      <c r="G2438"/>
    </row>
    <row r="2439" spans="7:7" x14ac:dyDescent="0.3">
      <c r="G2439"/>
    </row>
    <row r="2440" spans="7:7" x14ac:dyDescent="0.3">
      <c r="G2440"/>
    </row>
    <row r="2441" spans="7:7" x14ac:dyDescent="0.3">
      <c r="G2441"/>
    </row>
    <row r="2442" spans="7:7" x14ac:dyDescent="0.3">
      <c r="G2442"/>
    </row>
    <row r="2443" spans="7:7" x14ac:dyDescent="0.3">
      <c r="G2443"/>
    </row>
    <row r="2444" spans="7:7" x14ac:dyDescent="0.3">
      <c r="G2444"/>
    </row>
    <row r="2445" spans="7:7" x14ac:dyDescent="0.3">
      <c r="G2445"/>
    </row>
    <row r="2446" spans="7:7" x14ac:dyDescent="0.3">
      <c r="G2446"/>
    </row>
    <row r="2447" spans="7:7" x14ac:dyDescent="0.3">
      <c r="G2447"/>
    </row>
    <row r="2448" spans="7:7" x14ac:dyDescent="0.3">
      <c r="G2448"/>
    </row>
    <row r="2449" spans="7:7" x14ac:dyDescent="0.3">
      <c r="G2449"/>
    </row>
    <row r="2450" spans="7:7" x14ac:dyDescent="0.3">
      <c r="G2450"/>
    </row>
    <row r="2451" spans="7:7" x14ac:dyDescent="0.3">
      <c r="G2451"/>
    </row>
    <row r="2452" spans="7:7" x14ac:dyDescent="0.3">
      <c r="G2452"/>
    </row>
    <row r="2453" spans="7:7" x14ac:dyDescent="0.3">
      <c r="G2453"/>
    </row>
    <row r="2454" spans="7:7" x14ac:dyDescent="0.3">
      <c r="G2454"/>
    </row>
    <row r="2455" spans="7:7" x14ac:dyDescent="0.3">
      <c r="G2455"/>
    </row>
    <row r="2456" spans="7:7" x14ac:dyDescent="0.3">
      <c r="G2456"/>
    </row>
    <row r="2457" spans="7:7" x14ac:dyDescent="0.3">
      <c r="G2457"/>
    </row>
    <row r="2458" spans="7:7" x14ac:dyDescent="0.3">
      <c r="G2458"/>
    </row>
    <row r="2459" spans="7:7" x14ac:dyDescent="0.3">
      <c r="G2459"/>
    </row>
    <row r="2460" spans="7:7" x14ac:dyDescent="0.3">
      <c r="G2460"/>
    </row>
    <row r="2461" spans="7:7" x14ac:dyDescent="0.3">
      <c r="G2461"/>
    </row>
    <row r="2462" spans="7:7" x14ac:dyDescent="0.3">
      <c r="G2462"/>
    </row>
    <row r="2463" spans="7:7" x14ac:dyDescent="0.3">
      <c r="G2463"/>
    </row>
    <row r="2464" spans="7:7" x14ac:dyDescent="0.3">
      <c r="G2464"/>
    </row>
    <row r="2465" spans="7:7" x14ac:dyDescent="0.3">
      <c r="G2465"/>
    </row>
    <row r="2466" spans="7:7" x14ac:dyDescent="0.3">
      <c r="G2466"/>
    </row>
    <row r="2467" spans="7:7" x14ac:dyDescent="0.3">
      <c r="G2467"/>
    </row>
    <row r="2468" spans="7:7" x14ac:dyDescent="0.3">
      <c r="G2468"/>
    </row>
    <row r="2469" spans="7:7" x14ac:dyDescent="0.3">
      <c r="G2469"/>
    </row>
    <row r="2470" spans="7:7" x14ac:dyDescent="0.3">
      <c r="G2470"/>
    </row>
    <row r="2471" spans="7:7" x14ac:dyDescent="0.3">
      <c r="G2471"/>
    </row>
    <row r="2472" spans="7:7" x14ac:dyDescent="0.3">
      <c r="G2472"/>
    </row>
    <row r="2473" spans="7:7" x14ac:dyDescent="0.3">
      <c r="G2473"/>
    </row>
    <row r="2474" spans="7:7" x14ac:dyDescent="0.3">
      <c r="G2474"/>
    </row>
    <row r="2475" spans="7:7" x14ac:dyDescent="0.3">
      <c r="G2475"/>
    </row>
    <row r="2476" spans="7:7" x14ac:dyDescent="0.3">
      <c r="G2476"/>
    </row>
    <row r="2477" spans="7:7" x14ac:dyDescent="0.3">
      <c r="G2477"/>
    </row>
    <row r="2478" spans="7:7" x14ac:dyDescent="0.3">
      <c r="G2478"/>
    </row>
    <row r="2479" spans="7:7" x14ac:dyDescent="0.3">
      <c r="G2479"/>
    </row>
    <row r="2480" spans="7:7" x14ac:dyDescent="0.3">
      <c r="G2480"/>
    </row>
    <row r="2481" spans="7:7" x14ac:dyDescent="0.3">
      <c r="G2481"/>
    </row>
    <row r="2482" spans="7:7" x14ac:dyDescent="0.3">
      <c r="G2482"/>
    </row>
    <row r="2483" spans="7:7" x14ac:dyDescent="0.3">
      <c r="G2483"/>
    </row>
    <row r="2484" spans="7:7" x14ac:dyDescent="0.3">
      <c r="G2484"/>
    </row>
    <row r="2485" spans="7:7" x14ac:dyDescent="0.3">
      <c r="G2485"/>
    </row>
    <row r="2486" spans="7:7" x14ac:dyDescent="0.3">
      <c r="G2486"/>
    </row>
    <row r="2487" spans="7:7" x14ac:dyDescent="0.3">
      <c r="G2487"/>
    </row>
    <row r="2488" spans="7:7" x14ac:dyDescent="0.3">
      <c r="G2488"/>
    </row>
    <row r="2489" spans="7:7" x14ac:dyDescent="0.3">
      <c r="G2489"/>
    </row>
    <row r="2490" spans="7:7" x14ac:dyDescent="0.3">
      <c r="G2490"/>
    </row>
    <row r="2491" spans="7:7" x14ac:dyDescent="0.3">
      <c r="G2491"/>
    </row>
    <row r="2492" spans="7:7" x14ac:dyDescent="0.3">
      <c r="G2492"/>
    </row>
    <row r="2493" spans="7:7" x14ac:dyDescent="0.3">
      <c r="G2493"/>
    </row>
    <row r="2494" spans="7:7" x14ac:dyDescent="0.3">
      <c r="G2494"/>
    </row>
    <row r="2495" spans="7:7" x14ac:dyDescent="0.3">
      <c r="G2495"/>
    </row>
    <row r="2496" spans="7:7" x14ac:dyDescent="0.3">
      <c r="G2496"/>
    </row>
    <row r="2497" spans="7:7" x14ac:dyDescent="0.3">
      <c r="G2497"/>
    </row>
    <row r="2498" spans="7:7" x14ac:dyDescent="0.3">
      <c r="G2498"/>
    </row>
    <row r="2499" spans="7:7" x14ac:dyDescent="0.3">
      <c r="G2499"/>
    </row>
    <row r="2500" spans="7:7" x14ac:dyDescent="0.3">
      <c r="G2500"/>
    </row>
    <row r="2501" spans="7:7" x14ac:dyDescent="0.3">
      <c r="G2501"/>
    </row>
    <row r="2502" spans="7:7" x14ac:dyDescent="0.3">
      <c r="G2502"/>
    </row>
    <row r="2503" spans="7:7" x14ac:dyDescent="0.3">
      <c r="G2503"/>
    </row>
    <row r="2504" spans="7:7" x14ac:dyDescent="0.3">
      <c r="G2504"/>
    </row>
    <row r="2505" spans="7:7" x14ac:dyDescent="0.3">
      <c r="G2505"/>
    </row>
    <row r="2506" spans="7:7" x14ac:dyDescent="0.3">
      <c r="G2506"/>
    </row>
    <row r="2507" spans="7:7" x14ac:dyDescent="0.3">
      <c r="G2507"/>
    </row>
    <row r="2508" spans="7:7" x14ac:dyDescent="0.3">
      <c r="G2508"/>
    </row>
    <row r="2509" spans="7:7" x14ac:dyDescent="0.3">
      <c r="G2509"/>
    </row>
    <row r="2510" spans="7:7" x14ac:dyDescent="0.3">
      <c r="G2510"/>
    </row>
    <row r="2511" spans="7:7" x14ac:dyDescent="0.3">
      <c r="G2511"/>
    </row>
    <row r="2512" spans="7:7" x14ac:dyDescent="0.3">
      <c r="G2512"/>
    </row>
    <row r="2513" spans="7:7" x14ac:dyDescent="0.3">
      <c r="G2513"/>
    </row>
    <row r="2514" spans="7:7" x14ac:dyDescent="0.3">
      <c r="G2514"/>
    </row>
    <row r="2515" spans="7:7" x14ac:dyDescent="0.3">
      <c r="G2515"/>
    </row>
    <row r="2516" spans="7:7" x14ac:dyDescent="0.3">
      <c r="G2516"/>
    </row>
    <row r="2517" spans="7:7" x14ac:dyDescent="0.3">
      <c r="G2517"/>
    </row>
    <row r="2518" spans="7:7" x14ac:dyDescent="0.3">
      <c r="G2518"/>
    </row>
    <row r="2519" spans="7:7" x14ac:dyDescent="0.3">
      <c r="G2519"/>
    </row>
    <row r="2520" spans="7:7" x14ac:dyDescent="0.3">
      <c r="G2520"/>
    </row>
    <row r="2521" spans="7:7" x14ac:dyDescent="0.3">
      <c r="G2521"/>
    </row>
    <row r="2522" spans="7:7" x14ac:dyDescent="0.3">
      <c r="G2522"/>
    </row>
    <row r="2523" spans="7:7" x14ac:dyDescent="0.3">
      <c r="G2523"/>
    </row>
    <row r="2524" spans="7:7" x14ac:dyDescent="0.3">
      <c r="G2524"/>
    </row>
    <row r="2525" spans="7:7" x14ac:dyDescent="0.3">
      <c r="G2525"/>
    </row>
    <row r="2526" spans="7:7" x14ac:dyDescent="0.3">
      <c r="G2526"/>
    </row>
    <row r="2527" spans="7:7" x14ac:dyDescent="0.3">
      <c r="G2527"/>
    </row>
    <row r="2528" spans="7:7" x14ac:dyDescent="0.3">
      <c r="G2528"/>
    </row>
    <row r="2529" spans="7:7" x14ac:dyDescent="0.3">
      <c r="G2529"/>
    </row>
    <row r="2530" spans="7:7" x14ac:dyDescent="0.3">
      <c r="G2530"/>
    </row>
    <row r="2531" spans="7:7" x14ac:dyDescent="0.3">
      <c r="G2531"/>
    </row>
    <row r="2532" spans="7:7" x14ac:dyDescent="0.3">
      <c r="G2532"/>
    </row>
    <row r="2533" spans="7:7" x14ac:dyDescent="0.3">
      <c r="G2533"/>
    </row>
    <row r="2534" spans="7:7" x14ac:dyDescent="0.3">
      <c r="G2534"/>
    </row>
    <row r="2535" spans="7:7" x14ac:dyDescent="0.3">
      <c r="G2535"/>
    </row>
    <row r="2536" spans="7:7" x14ac:dyDescent="0.3">
      <c r="G2536"/>
    </row>
    <row r="2537" spans="7:7" x14ac:dyDescent="0.3">
      <c r="G2537"/>
    </row>
    <row r="2538" spans="7:7" x14ac:dyDescent="0.3">
      <c r="G2538"/>
    </row>
    <row r="2539" spans="7:7" x14ac:dyDescent="0.3">
      <c r="G2539"/>
    </row>
    <row r="2540" spans="7:7" x14ac:dyDescent="0.3">
      <c r="G2540"/>
    </row>
    <row r="2541" spans="7:7" x14ac:dyDescent="0.3">
      <c r="G2541"/>
    </row>
    <row r="2542" spans="7:7" x14ac:dyDescent="0.3">
      <c r="G2542"/>
    </row>
    <row r="2543" spans="7:7" x14ac:dyDescent="0.3">
      <c r="G2543"/>
    </row>
    <row r="2544" spans="7:7" x14ac:dyDescent="0.3">
      <c r="G2544"/>
    </row>
    <row r="2545" spans="7:7" x14ac:dyDescent="0.3">
      <c r="G2545"/>
    </row>
    <row r="2546" spans="7:7" x14ac:dyDescent="0.3">
      <c r="G2546"/>
    </row>
    <row r="2547" spans="7:7" x14ac:dyDescent="0.3">
      <c r="G2547"/>
    </row>
    <row r="2548" spans="7:7" x14ac:dyDescent="0.3">
      <c r="G2548"/>
    </row>
    <row r="2549" spans="7:7" x14ac:dyDescent="0.3">
      <c r="G2549"/>
    </row>
    <row r="2550" spans="7:7" x14ac:dyDescent="0.3">
      <c r="G2550"/>
    </row>
    <row r="2551" spans="7:7" x14ac:dyDescent="0.3">
      <c r="G2551"/>
    </row>
    <row r="2552" spans="7:7" x14ac:dyDescent="0.3">
      <c r="G2552"/>
    </row>
    <row r="2553" spans="7:7" x14ac:dyDescent="0.3">
      <c r="G2553"/>
    </row>
    <row r="2554" spans="7:7" x14ac:dyDescent="0.3">
      <c r="G2554"/>
    </row>
    <row r="2555" spans="7:7" x14ac:dyDescent="0.3">
      <c r="G2555"/>
    </row>
    <row r="2556" spans="7:7" x14ac:dyDescent="0.3">
      <c r="G2556"/>
    </row>
    <row r="2557" spans="7:7" x14ac:dyDescent="0.3">
      <c r="G2557"/>
    </row>
    <row r="2558" spans="7:7" x14ac:dyDescent="0.3">
      <c r="G2558"/>
    </row>
    <row r="2559" spans="7:7" x14ac:dyDescent="0.3">
      <c r="G2559"/>
    </row>
    <row r="2560" spans="7:7" x14ac:dyDescent="0.3">
      <c r="G2560"/>
    </row>
    <row r="2561" spans="7:7" x14ac:dyDescent="0.3">
      <c r="G2561"/>
    </row>
    <row r="2562" spans="7:7" x14ac:dyDescent="0.3">
      <c r="G2562"/>
    </row>
    <row r="2563" spans="7:7" x14ac:dyDescent="0.3">
      <c r="G2563"/>
    </row>
    <row r="2564" spans="7:7" x14ac:dyDescent="0.3">
      <c r="G2564"/>
    </row>
    <row r="2565" spans="7:7" x14ac:dyDescent="0.3">
      <c r="G2565"/>
    </row>
    <row r="2566" spans="7:7" x14ac:dyDescent="0.3">
      <c r="G2566"/>
    </row>
    <row r="2567" spans="7:7" x14ac:dyDescent="0.3">
      <c r="G2567"/>
    </row>
    <row r="2568" spans="7:7" x14ac:dyDescent="0.3">
      <c r="G2568"/>
    </row>
    <row r="2569" spans="7:7" x14ac:dyDescent="0.3">
      <c r="G2569"/>
    </row>
    <row r="2570" spans="7:7" x14ac:dyDescent="0.3">
      <c r="G2570"/>
    </row>
    <row r="2571" spans="7:7" x14ac:dyDescent="0.3">
      <c r="G2571"/>
    </row>
    <row r="2572" spans="7:7" x14ac:dyDescent="0.3">
      <c r="G2572"/>
    </row>
    <row r="2573" spans="7:7" x14ac:dyDescent="0.3">
      <c r="G2573"/>
    </row>
    <row r="2574" spans="7:7" x14ac:dyDescent="0.3">
      <c r="G2574"/>
    </row>
    <row r="2575" spans="7:7" x14ac:dyDescent="0.3">
      <c r="G2575"/>
    </row>
    <row r="2576" spans="7:7" x14ac:dyDescent="0.3">
      <c r="G2576"/>
    </row>
    <row r="2577" spans="7:7" x14ac:dyDescent="0.3">
      <c r="G2577"/>
    </row>
    <row r="2578" spans="7:7" x14ac:dyDescent="0.3">
      <c r="G2578"/>
    </row>
    <row r="2579" spans="7:7" x14ac:dyDescent="0.3">
      <c r="G2579"/>
    </row>
    <row r="2580" spans="7:7" x14ac:dyDescent="0.3">
      <c r="G2580"/>
    </row>
    <row r="2581" spans="7:7" x14ac:dyDescent="0.3">
      <c r="G2581"/>
    </row>
    <row r="2582" spans="7:7" x14ac:dyDescent="0.3">
      <c r="G2582"/>
    </row>
    <row r="2583" spans="7:7" x14ac:dyDescent="0.3">
      <c r="G2583"/>
    </row>
    <row r="2584" spans="7:7" x14ac:dyDescent="0.3">
      <c r="G2584"/>
    </row>
    <row r="2585" spans="7:7" x14ac:dyDescent="0.3">
      <c r="G2585"/>
    </row>
    <row r="2586" spans="7:7" x14ac:dyDescent="0.3">
      <c r="G2586"/>
    </row>
    <row r="2587" spans="7:7" x14ac:dyDescent="0.3">
      <c r="G2587"/>
    </row>
    <row r="2588" spans="7:7" x14ac:dyDescent="0.3">
      <c r="G2588"/>
    </row>
    <row r="2589" spans="7:7" x14ac:dyDescent="0.3">
      <c r="G2589"/>
    </row>
    <row r="2590" spans="7:7" x14ac:dyDescent="0.3">
      <c r="G2590"/>
    </row>
    <row r="2591" spans="7:7" x14ac:dyDescent="0.3">
      <c r="G2591"/>
    </row>
    <row r="2592" spans="7:7" x14ac:dyDescent="0.3">
      <c r="G2592"/>
    </row>
    <row r="2593" spans="7:7" x14ac:dyDescent="0.3">
      <c r="G2593"/>
    </row>
    <row r="2594" spans="7:7" x14ac:dyDescent="0.3">
      <c r="G2594"/>
    </row>
    <row r="2595" spans="7:7" x14ac:dyDescent="0.3">
      <c r="G2595"/>
    </row>
    <row r="2596" spans="7:7" x14ac:dyDescent="0.3">
      <c r="G2596"/>
    </row>
    <row r="2597" spans="7:7" x14ac:dyDescent="0.3">
      <c r="G2597"/>
    </row>
    <row r="2598" spans="7:7" x14ac:dyDescent="0.3">
      <c r="G2598"/>
    </row>
    <row r="2599" spans="7:7" x14ac:dyDescent="0.3">
      <c r="G2599"/>
    </row>
    <row r="2600" spans="7:7" x14ac:dyDescent="0.3">
      <c r="G2600"/>
    </row>
    <row r="2601" spans="7:7" x14ac:dyDescent="0.3">
      <c r="G2601"/>
    </row>
    <row r="2602" spans="7:7" x14ac:dyDescent="0.3">
      <c r="G2602"/>
    </row>
    <row r="2603" spans="7:7" x14ac:dyDescent="0.3">
      <c r="G2603"/>
    </row>
    <row r="2604" spans="7:7" x14ac:dyDescent="0.3">
      <c r="G2604"/>
    </row>
    <row r="2605" spans="7:7" x14ac:dyDescent="0.3">
      <c r="G2605"/>
    </row>
    <row r="2606" spans="7:7" x14ac:dyDescent="0.3">
      <c r="G2606"/>
    </row>
    <row r="2607" spans="7:7" x14ac:dyDescent="0.3">
      <c r="G2607"/>
    </row>
    <row r="2608" spans="7:7" x14ac:dyDescent="0.3">
      <c r="G2608"/>
    </row>
    <row r="2609" spans="7:7" x14ac:dyDescent="0.3">
      <c r="G2609"/>
    </row>
    <row r="2610" spans="7:7" x14ac:dyDescent="0.3">
      <c r="G2610"/>
    </row>
    <row r="2611" spans="7:7" x14ac:dyDescent="0.3">
      <c r="G2611"/>
    </row>
    <row r="2612" spans="7:7" x14ac:dyDescent="0.3">
      <c r="G2612"/>
    </row>
    <row r="2613" spans="7:7" x14ac:dyDescent="0.3">
      <c r="G2613"/>
    </row>
    <row r="2614" spans="7:7" x14ac:dyDescent="0.3">
      <c r="G2614"/>
    </row>
    <row r="2615" spans="7:7" x14ac:dyDescent="0.3">
      <c r="G2615"/>
    </row>
    <row r="2616" spans="7:7" x14ac:dyDescent="0.3">
      <c r="G2616"/>
    </row>
    <row r="2617" spans="7:7" x14ac:dyDescent="0.3">
      <c r="G2617"/>
    </row>
    <row r="2618" spans="7:7" x14ac:dyDescent="0.3">
      <c r="G2618"/>
    </row>
    <row r="2619" spans="7:7" x14ac:dyDescent="0.3">
      <c r="G2619"/>
    </row>
    <row r="2620" spans="7:7" x14ac:dyDescent="0.3">
      <c r="G2620"/>
    </row>
    <row r="2621" spans="7:7" x14ac:dyDescent="0.3">
      <c r="G2621"/>
    </row>
    <row r="2622" spans="7:7" x14ac:dyDescent="0.3">
      <c r="G2622"/>
    </row>
    <row r="2623" spans="7:7" x14ac:dyDescent="0.3">
      <c r="G2623"/>
    </row>
    <row r="2624" spans="7:7" x14ac:dyDescent="0.3">
      <c r="G2624"/>
    </row>
    <row r="2625" spans="7:7" x14ac:dyDescent="0.3">
      <c r="G2625"/>
    </row>
    <row r="2626" spans="7:7" x14ac:dyDescent="0.3">
      <c r="G2626"/>
    </row>
    <row r="2627" spans="7:7" x14ac:dyDescent="0.3">
      <c r="G2627"/>
    </row>
    <row r="2628" spans="7:7" x14ac:dyDescent="0.3">
      <c r="G2628"/>
    </row>
    <row r="2629" spans="7:7" x14ac:dyDescent="0.3">
      <c r="G2629"/>
    </row>
    <row r="2630" spans="7:7" x14ac:dyDescent="0.3">
      <c r="G2630"/>
    </row>
    <row r="2631" spans="7:7" x14ac:dyDescent="0.3">
      <c r="G2631"/>
    </row>
    <row r="2632" spans="7:7" x14ac:dyDescent="0.3">
      <c r="G2632"/>
    </row>
    <row r="2633" spans="7:7" x14ac:dyDescent="0.3">
      <c r="G2633"/>
    </row>
    <row r="2634" spans="7:7" x14ac:dyDescent="0.3">
      <c r="G2634"/>
    </row>
    <row r="2635" spans="7:7" x14ac:dyDescent="0.3">
      <c r="G2635"/>
    </row>
    <row r="2636" spans="7:7" x14ac:dyDescent="0.3">
      <c r="G2636"/>
    </row>
    <row r="2637" spans="7:7" x14ac:dyDescent="0.3">
      <c r="G2637"/>
    </row>
    <row r="2638" spans="7:7" x14ac:dyDescent="0.3">
      <c r="G2638"/>
    </row>
    <row r="2639" spans="7:7" x14ac:dyDescent="0.3">
      <c r="G2639"/>
    </row>
    <row r="2640" spans="7:7" x14ac:dyDescent="0.3">
      <c r="G2640"/>
    </row>
    <row r="2641" spans="7:7" x14ac:dyDescent="0.3">
      <c r="G2641"/>
    </row>
    <row r="2642" spans="7:7" x14ac:dyDescent="0.3">
      <c r="G2642"/>
    </row>
    <row r="2643" spans="7:7" x14ac:dyDescent="0.3">
      <c r="G2643"/>
    </row>
    <row r="2644" spans="7:7" x14ac:dyDescent="0.3">
      <c r="G2644"/>
    </row>
    <row r="2645" spans="7:7" x14ac:dyDescent="0.3">
      <c r="G2645"/>
    </row>
    <row r="2646" spans="7:7" x14ac:dyDescent="0.3">
      <c r="G2646"/>
    </row>
    <row r="2647" spans="7:7" x14ac:dyDescent="0.3">
      <c r="G2647"/>
    </row>
    <row r="2648" spans="7:7" x14ac:dyDescent="0.3">
      <c r="G2648"/>
    </row>
    <row r="2649" spans="7:7" x14ac:dyDescent="0.3">
      <c r="G2649"/>
    </row>
    <row r="2650" spans="7:7" x14ac:dyDescent="0.3">
      <c r="G2650"/>
    </row>
    <row r="2651" spans="7:7" x14ac:dyDescent="0.3">
      <c r="G2651"/>
    </row>
    <row r="2652" spans="7:7" x14ac:dyDescent="0.3">
      <c r="G2652"/>
    </row>
    <row r="2653" spans="7:7" x14ac:dyDescent="0.3">
      <c r="G2653"/>
    </row>
    <row r="2654" spans="7:7" x14ac:dyDescent="0.3">
      <c r="G2654"/>
    </row>
    <row r="2655" spans="7:7" x14ac:dyDescent="0.3">
      <c r="G2655"/>
    </row>
    <row r="2656" spans="7:7" x14ac:dyDescent="0.3">
      <c r="G2656"/>
    </row>
    <row r="2657" spans="7:7" x14ac:dyDescent="0.3">
      <c r="G2657"/>
    </row>
    <row r="2658" spans="7:7" x14ac:dyDescent="0.3">
      <c r="G2658"/>
    </row>
    <row r="2659" spans="7:7" x14ac:dyDescent="0.3">
      <c r="G2659"/>
    </row>
    <row r="2660" spans="7:7" x14ac:dyDescent="0.3">
      <c r="G2660"/>
    </row>
    <row r="2661" spans="7:7" x14ac:dyDescent="0.3">
      <c r="G2661"/>
    </row>
    <row r="2662" spans="7:7" x14ac:dyDescent="0.3">
      <c r="G2662"/>
    </row>
    <row r="2663" spans="7:7" x14ac:dyDescent="0.3">
      <c r="G2663"/>
    </row>
    <row r="2664" spans="7:7" x14ac:dyDescent="0.3">
      <c r="G2664"/>
    </row>
    <row r="2665" spans="7:7" x14ac:dyDescent="0.3">
      <c r="G2665"/>
    </row>
    <row r="2666" spans="7:7" x14ac:dyDescent="0.3">
      <c r="G2666"/>
    </row>
    <row r="2667" spans="7:7" x14ac:dyDescent="0.3">
      <c r="G2667"/>
    </row>
    <row r="2668" spans="7:7" x14ac:dyDescent="0.3">
      <c r="G2668"/>
    </row>
    <row r="2669" spans="7:7" x14ac:dyDescent="0.3">
      <c r="G2669"/>
    </row>
    <row r="2670" spans="7:7" x14ac:dyDescent="0.3">
      <c r="G2670"/>
    </row>
    <row r="2671" spans="7:7" x14ac:dyDescent="0.3">
      <c r="G2671"/>
    </row>
    <row r="2672" spans="7:7" x14ac:dyDescent="0.3">
      <c r="G2672"/>
    </row>
    <row r="2673" spans="7:7" x14ac:dyDescent="0.3">
      <c r="G2673"/>
    </row>
    <row r="2674" spans="7:7" x14ac:dyDescent="0.3">
      <c r="G2674"/>
    </row>
    <row r="2675" spans="7:7" x14ac:dyDescent="0.3">
      <c r="G2675"/>
    </row>
    <row r="2676" spans="7:7" x14ac:dyDescent="0.3">
      <c r="G2676"/>
    </row>
    <row r="2677" spans="7:7" x14ac:dyDescent="0.3">
      <c r="G2677"/>
    </row>
    <row r="2678" spans="7:7" x14ac:dyDescent="0.3">
      <c r="G2678"/>
    </row>
    <row r="2679" spans="7:7" x14ac:dyDescent="0.3">
      <c r="G2679"/>
    </row>
    <row r="2680" spans="7:7" x14ac:dyDescent="0.3">
      <c r="G2680"/>
    </row>
    <row r="2681" spans="7:7" x14ac:dyDescent="0.3">
      <c r="G2681"/>
    </row>
    <row r="2682" spans="7:7" x14ac:dyDescent="0.3">
      <c r="G2682"/>
    </row>
    <row r="2683" spans="7:7" x14ac:dyDescent="0.3">
      <c r="G2683"/>
    </row>
    <row r="2684" spans="7:7" x14ac:dyDescent="0.3">
      <c r="G2684"/>
    </row>
    <row r="2685" spans="7:7" x14ac:dyDescent="0.3">
      <c r="G2685"/>
    </row>
    <row r="2686" spans="7:7" x14ac:dyDescent="0.3">
      <c r="G2686"/>
    </row>
    <row r="2687" spans="7:7" x14ac:dyDescent="0.3">
      <c r="G2687"/>
    </row>
    <row r="2688" spans="7:7" x14ac:dyDescent="0.3">
      <c r="G2688"/>
    </row>
    <row r="2689" spans="7:7" x14ac:dyDescent="0.3">
      <c r="G2689"/>
    </row>
    <row r="2690" spans="7:7" x14ac:dyDescent="0.3">
      <c r="G2690"/>
    </row>
    <row r="2691" spans="7:7" x14ac:dyDescent="0.3">
      <c r="G2691"/>
    </row>
    <row r="2692" spans="7:7" x14ac:dyDescent="0.3">
      <c r="G2692"/>
    </row>
    <row r="2693" spans="7:7" x14ac:dyDescent="0.3">
      <c r="G2693"/>
    </row>
    <row r="2694" spans="7:7" x14ac:dyDescent="0.3">
      <c r="G2694"/>
    </row>
    <row r="2695" spans="7:7" x14ac:dyDescent="0.3">
      <c r="G2695"/>
    </row>
    <row r="2696" spans="7:7" x14ac:dyDescent="0.3">
      <c r="G2696"/>
    </row>
    <row r="2697" spans="7:7" x14ac:dyDescent="0.3">
      <c r="G2697"/>
    </row>
    <row r="2698" spans="7:7" x14ac:dyDescent="0.3">
      <c r="G2698"/>
    </row>
    <row r="2699" spans="7:7" x14ac:dyDescent="0.3">
      <c r="G2699"/>
    </row>
    <row r="2700" spans="7:7" x14ac:dyDescent="0.3">
      <c r="G2700"/>
    </row>
    <row r="2701" spans="7:7" x14ac:dyDescent="0.3">
      <c r="G2701"/>
    </row>
    <row r="2702" spans="7:7" x14ac:dyDescent="0.3">
      <c r="G2702"/>
    </row>
    <row r="2703" spans="7:7" x14ac:dyDescent="0.3">
      <c r="G2703"/>
    </row>
    <row r="2704" spans="7:7" x14ac:dyDescent="0.3">
      <c r="G2704"/>
    </row>
    <row r="2705" spans="7:7" x14ac:dyDescent="0.3">
      <c r="G2705"/>
    </row>
    <row r="2706" spans="7:7" x14ac:dyDescent="0.3">
      <c r="G2706"/>
    </row>
    <row r="2707" spans="7:7" x14ac:dyDescent="0.3">
      <c r="G2707"/>
    </row>
    <row r="2708" spans="7:7" x14ac:dyDescent="0.3">
      <c r="G2708"/>
    </row>
    <row r="2709" spans="7:7" x14ac:dyDescent="0.3">
      <c r="G2709"/>
    </row>
    <row r="2710" spans="7:7" x14ac:dyDescent="0.3">
      <c r="G2710"/>
    </row>
    <row r="2711" spans="7:7" x14ac:dyDescent="0.3">
      <c r="G2711"/>
    </row>
    <row r="2712" spans="7:7" x14ac:dyDescent="0.3">
      <c r="G2712"/>
    </row>
    <row r="2713" spans="7:7" x14ac:dyDescent="0.3">
      <c r="G2713"/>
    </row>
    <row r="2714" spans="7:7" x14ac:dyDescent="0.3">
      <c r="G2714"/>
    </row>
    <row r="2715" spans="7:7" x14ac:dyDescent="0.3">
      <c r="G2715"/>
    </row>
    <row r="2716" spans="7:7" x14ac:dyDescent="0.3">
      <c r="G2716"/>
    </row>
    <row r="2717" spans="7:7" x14ac:dyDescent="0.3">
      <c r="G2717"/>
    </row>
    <row r="2718" spans="7:7" x14ac:dyDescent="0.3">
      <c r="G2718"/>
    </row>
    <row r="2719" spans="7:7" x14ac:dyDescent="0.3">
      <c r="G2719"/>
    </row>
    <row r="2720" spans="7:7" x14ac:dyDescent="0.3">
      <c r="G2720"/>
    </row>
    <row r="2721" spans="7:7" x14ac:dyDescent="0.3">
      <c r="G2721"/>
    </row>
    <row r="2722" spans="7:7" x14ac:dyDescent="0.3">
      <c r="G2722"/>
    </row>
    <row r="2723" spans="7:7" x14ac:dyDescent="0.3">
      <c r="G2723"/>
    </row>
    <row r="2724" spans="7:7" x14ac:dyDescent="0.3">
      <c r="G2724"/>
    </row>
    <row r="2725" spans="7:7" x14ac:dyDescent="0.3">
      <c r="G2725"/>
    </row>
    <row r="2726" spans="7:7" x14ac:dyDescent="0.3">
      <c r="G2726"/>
    </row>
    <row r="2727" spans="7:7" x14ac:dyDescent="0.3">
      <c r="G2727"/>
    </row>
    <row r="2728" spans="7:7" x14ac:dyDescent="0.3">
      <c r="G2728"/>
    </row>
    <row r="2729" spans="7:7" x14ac:dyDescent="0.3">
      <c r="G2729"/>
    </row>
    <row r="2730" spans="7:7" x14ac:dyDescent="0.3">
      <c r="G2730"/>
    </row>
    <row r="2731" spans="7:7" x14ac:dyDescent="0.3">
      <c r="G2731"/>
    </row>
    <row r="2732" spans="7:7" x14ac:dyDescent="0.3">
      <c r="G2732"/>
    </row>
    <row r="2733" spans="7:7" x14ac:dyDescent="0.3">
      <c r="G2733"/>
    </row>
    <row r="2734" spans="7:7" x14ac:dyDescent="0.3">
      <c r="G2734"/>
    </row>
    <row r="2735" spans="7:7" x14ac:dyDescent="0.3">
      <c r="G2735"/>
    </row>
    <row r="2736" spans="7:7" x14ac:dyDescent="0.3">
      <c r="G2736"/>
    </row>
    <row r="2737" spans="7:7" x14ac:dyDescent="0.3">
      <c r="G2737"/>
    </row>
    <row r="2738" spans="7:7" x14ac:dyDescent="0.3">
      <c r="G2738"/>
    </row>
    <row r="2739" spans="7:7" x14ac:dyDescent="0.3">
      <c r="G2739"/>
    </row>
    <row r="2740" spans="7:7" x14ac:dyDescent="0.3">
      <c r="G2740"/>
    </row>
    <row r="2741" spans="7:7" x14ac:dyDescent="0.3">
      <c r="G2741"/>
    </row>
    <row r="2742" spans="7:7" x14ac:dyDescent="0.3">
      <c r="G2742"/>
    </row>
    <row r="2743" spans="7:7" x14ac:dyDescent="0.3">
      <c r="G2743"/>
    </row>
    <row r="2744" spans="7:7" x14ac:dyDescent="0.3">
      <c r="G2744"/>
    </row>
    <row r="2745" spans="7:7" x14ac:dyDescent="0.3">
      <c r="G2745"/>
    </row>
    <row r="2746" spans="7:7" x14ac:dyDescent="0.3">
      <c r="G2746"/>
    </row>
    <row r="2747" spans="7:7" x14ac:dyDescent="0.3">
      <c r="G2747"/>
    </row>
    <row r="2748" spans="7:7" x14ac:dyDescent="0.3">
      <c r="G2748"/>
    </row>
    <row r="2749" spans="7:7" x14ac:dyDescent="0.3">
      <c r="G2749"/>
    </row>
    <row r="2750" spans="7:7" x14ac:dyDescent="0.3">
      <c r="G2750"/>
    </row>
    <row r="2751" spans="7:7" x14ac:dyDescent="0.3">
      <c r="G2751"/>
    </row>
    <row r="2752" spans="7:7" x14ac:dyDescent="0.3">
      <c r="G2752"/>
    </row>
    <row r="2753" spans="7:7" x14ac:dyDescent="0.3">
      <c r="G2753"/>
    </row>
    <row r="2754" spans="7:7" x14ac:dyDescent="0.3">
      <c r="G2754"/>
    </row>
    <row r="2755" spans="7:7" x14ac:dyDescent="0.3">
      <c r="G2755"/>
    </row>
    <row r="2756" spans="7:7" x14ac:dyDescent="0.3">
      <c r="G2756"/>
    </row>
    <row r="2757" spans="7:7" x14ac:dyDescent="0.3">
      <c r="G2757"/>
    </row>
    <row r="2758" spans="7:7" x14ac:dyDescent="0.3">
      <c r="G2758"/>
    </row>
    <row r="2759" spans="7:7" x14ac:dyDescent="0.3">
      <c r="G2759"/>
    </row>
    <row r="2760" spans="7:7" x14ac:dyDescent="0.3">
      <c r="G2760"/>
    </row>
    <row r="2761" spans="7:7" x14ac:dyDescent="0.3">
      <c r="G2761"/>
    </row>
    <row r="2762" spans="7:7" x14ac:dyDescent="0.3">
      <c r="G2762"/>
    </row>
    <row r="2763" spans="7:7" x14ac:dyDescent="0.3">
      <c r="G2763"/>
    </row>
    <row r="2764" spans="7:7" x14ac:dyDescent="0.3">
      <c r="G2764"/>
    </row>
    <row r="2765" spans="7:7" x14ac:dyDescent="0.3">
      <c r="G2765"/>
    </row>
    <row r="2766" spans="7:7" x14ac:dyDescent="0.3">
      <c r="G2766"/>
    </row>
    <row r="2767" spans="7:7" x14ac:dyDescent="0.3">
      <c r="G2767"/>
    </row>
    <row r="2768" spans="7:7" x14ac:dyDescent="0.3">
      <c r="G2768"/>
    </row>
    <row r="2769" spans="7:7" x14ac:dyDescent="0.3">
      <c r="G2769"/>
    </row>
    <row r="2770" spans="7:7" x14ac:dyDescent="0.3">
      <c r="G2770"/>
    </row>
    <row r="2771" spans="7:7" x14ac:dyDescent="0.3">
      <c r="G2771"/>
    </row>
    <row r="2772" spans="7:7" x14ac:dyDescent="0.3">
      <c r="G2772"/>
    </row>
    <row r="2773" spans="7:7" x14ac:dyDescent="0.3">
      <c r="G2773"/>
    </row>
    <row r="2774" spans="7:7" x14ac:dyDescent="0.3">
      <c r="G2774"/>
    </row>
    <row r="2775" spans="7:7" x14ac:dyDescent="0.3">
      <c r="G2775"/>
    </row>
    <row r="2776" spans="7:7" x14ac:dyDescent="0.3">
      <c r="G2776"/>
    </row>
    <row r="2777" spans="7:7" x14ac:dyDescent="0.3">
      <c r="G2777"/>
    </row>
    <row r="2778" spans="7:7" x14ac:dyDescent="0.3">
      <c r="G2778"/>
    </row>
    <row r="2779" spans="7:7" x14ac:dyDescent="0.3">
      <c r="G2779"/>
    </row>
    <row r="2780" spans="7:7" x14ac:dyDescent="0.3">
      <c r="G2780"/>
    </row>
    <row r="2781" spans="7:7" x14ac:dyDescent="0.3">
      <c r="G2781"/>
    </row>
    <row r="2782" spans="7:7" x14ac:dyDescent="0.3">
      <c r="G2782"/>
    </row>
    <row r="2783" spans="7:7" x14ac:dyDescent="0.3">
      <c r="G2783"/>
    </row>
    <row r="2784" spans="7:7" x14ac:dyDescent="0.3">
      <c r="G2784"/>
    </row>
    <row r="2785" spans="7:7" x14ac:dyDescent="0.3">
      <c r="G2785"/>
    </row>
    <row r="2786" spans="7:7" x14ac:dyDescent="0.3">
      <c r="G2786"/>
    </row>
    <row r="2787" spans="7:7" x14ac:dyDescent="0.3">
      <c r="G2787"/>
    </row>
    <row r="2788" spans="7:7" x14ac:dyDescent="0.3">
      <c r="G2788"/>
    </row>
    <row r="2789" spans="7:7" x14ac:dyDescent="0.3">
      <c r="G2789"/>
    </row>
    <row r="2790" spans="7:7" x14ac:dyDescent="0.3">
      <c r="G2790"/>
    </row>
    <row r="2791" spans="7:7" x14ac:dyDescent="0.3">
      <c r="G2791"/>
    </row>
    <row r="2792" spans="7:7" x14ac:dyDescent="0.3">
      <c r="G2792"/>
    </row>
    <row r="2793" spans="7:7" x14ac:dyDescent="0.3">
      <c r="G2793"/>
    </row>
    <row r="2794" spans="7:7" x14ac:dyDescent="0.3">
      <c r="G2794"/>
    </row>
    <row r="2795" spans="7:7" x14ac:dyDescent="0.3">
      <c r="G2795"/>
    </row>
    <row r="2796" spans="7:7" x14ac:dyDescent="0.3">
      <c r="G2796"/>
    </row>
    <row r="2797" spans="7:7" x14ac:dyDescent="0.3">
      <c r="G2797"/>
    </row>
    <row r="2798" spans="7:7" x14ac:dyDescent="0.3">
      <c r="G2798"/>
    </row>
    <row r="2799" spans="7:7" x14ac:dyDescent="0.3">
      <c r="G2799"/>
    </row>
    <row r="2800" spans="7:7" x14ac:dyDescent="0.3">
      <c r="G2800"/>
    </row>
    <row r="2801" spans="7:7" x14ac:dyDescent="0.3">
      <c r="G2801"/>
    </row>
    <row r="2802" spans="7:7" x14ac:dyDescent="0.3">
      <c r="G2802"/>
    </row>
    <row r="2803" spans="7:7" x14ac:dyDescent="0.3">
      <c r="G2803"/>
    </row>
    <row r="2804" spans="7:7" x14ac:dyDescent="0.3">
      <c r="G2804"/>
    </row>
    <row r="2805" spans="7:7" x14ac:dyDescent="0.3">
      <c r="G2805"/>
    </row>
    <row r="2806" spans="7:7" x14ac:dyDescent="0.3">
      <c r="G2806"/>
    </row>
    <row r="2807" spans="7:7" x14ac:dyDescent="0.3">
      <c r="G2807"/>
    </row>
    <row r="2808" spans="7:7" x14ac:dyDescent="0.3">
      <c r="G2808"/>
    </row>
  </sheetData>
  <mergeCells count="9">
    <mergeCell ref="C3:H3"/>
    <mergeCell ref="L11:L12"/>
    <mergeCell ref="M11:M12"/>
    <mergeCell ref="N11:N12"/>
    <mergeCell ref="S11:S12"/>
    <mergeCell ref="R11:R12"/>
    <mergeCell ref="Q11:Q12"/>
    <mergeCell ref="P11:P12"/>
    <mergeCell ref="O11:O12"/>
  </mergeCells>
  <printOptions horizontalCentered="1" verticalCentered="1"/>
  <pageMargins left="0.196850393700787" right="0.196850393700787" top="0.28999999999999998" bottom="0.196850393700787" header="0" footer="0"/>
  <pageSetup paperSize="9" scale="68" orientation="portrait" r:id="rId6"/>
  <drawing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1"/>
  <sheetViews>
    <sheetView showFormulas="1" workbookViewId="0">
      <pane ySplit="2" topLeftCell="A3" activePane="bottomLeft" state="frozen"/>
      <selection pane="bottomLeft" activeCell="A6" sqref="A6"/>
    </sheetView>
  </sheetViews>
  <sheetFormatPr defaultColWidth="8.88671875" defaultRowHeight="14.4" x14ac:dyDescent="0.3"/>
  <cols>
    <col min="1" max="1" width="19" style="301" customWidth="1"/>
    <col min="2" max="2" width="12.44140625" style="301" customWidth="1"/>
    <col min="3" max="5" width="8.88671875" style="301"/>
    <col min="6" max="6" width="14.33203125" style="301" customWidth="1"/>
    <col min="7" max="7" width="22.5546875" style="301" customWidth="1"/>
    <col min="8" max="8" width="20" style="301" customWidth="1"/>
    <col min="9" max="9" width="23.5546875" style="301" customWidth="1"/>
    <col min="10" max="16384" width="8.88671875" style="301"/>
  </cols>
  <sheetData>
    <row r="1" spans="1:10" x14ac:dyDescent="0.3">
      <c r="A1" s="443" t="s">
        <v>1542</v>
      </c>
      <c r="B1" s="443" t="s">
        <v>392</v>
      </c>
      <c r="C1" s="443" t="s">
        <v>392</v>
      </c>
      <c r="D1" s="443" t="s">
        <v>0</v>
      </c>
      <c r="E1" s="443" t="s">
        <v>392</v>
      </c>
      <c r="F1" s="443" t="s">
        <v>0</v>
      </c>
      <c r="G1" s="443" t="s">
        <v>1445</v>
      </c>
      <c r="H1" s="443" t="s">
        <v>1446</v>
      </c>
      <c r="I1" s="443" t="s">
        <v>1447</v>
      </c>
    </row>
    <row r="2" spans="1:10" x14ac:dyDescent="0.3">
      <c r="A2" s="301" t="s">
        <v>1448</v>
      </c>
      <c r="B2" s="301" t="s">
        <v>378</v>
      </c>
      <c r="C2" s="301" t="s">
        <v>378</v>
      </c>
      <c r="D2" s="301" t="s">
        <v>5</v>
      </c>
      <c r="E2" s="301" t="s">
        <v>378</v>
      </c>
      <c r="F2" s="301" t="s">
        <v>5</v>
      </c>
      <c r="G2" s="301" t="s">
        <v>1449</v>
      </c>
      <c r="H2" s="301" t="s">
        <v>4</v>
      </c>
      <c r="I2" s="301" t="s">
        <v>1450</v>
      </c>
      <c r="J2" s="301" t="s">
        <v>1451</v>
      </c>
    </row>
    <row r="3" spans="1:10" x14ac:dyDescent="0.3">
      <c r="A3" s="301" t="s">
        <v>1452</v>
      </c>
      <c r="B3" s="301" t="s">
        <v>506</v>
      </c>
      <c r="C3" s="301" t="s">
        <v>378</v>
      </c>
      <c r="D3" s="301" t="s">
        <v>27</v>
      </c>
      <c r="E3" s="301" t="s">
        <v>378</v>
      </c>
      <c r="F3" s="301" t="s">
        <v>5</v>
      </c>
      <c r="G3" s="301" t="s">
        <v>12</v>
      </c>
      <c r="H3" s="301" t="s">
        <v>11</v>
      </c>
      <c r="I3" s="301" t="s">
        <v>1453</v>
      </c>
      <c r="J3" s="301" t="s">
        <v>1454</v>
      </c>
    </row>
    <row r="4" spans="1:10" x14ac:dyDescent="0.3">
      <c r="A4" s="301" t="s">
        <v>1836</v>
      </c>
      <c r="C4" s="301" t="s">
        <v>378</v>
      </c>
      <c r="D4" s="301" t="s">
        <v>480</v>
      </c>
      <c r="E4" s="301" t="s">
        <v>378</v>
      </c>
      <c r="F4" s="301" t="s">
        <v>5</v>
      </c>
      <c r="G4" s="301" t="s">
        <v>22</v>
      </c>
      <c r="H4" s="301" t="s">
        <v>21</v>
      </c>
      <c r="I4" s="301" t="s">
        <v>1455</v>
      </c>
    </row>
    <row r="5" spans="1:10" x14ac:dyDescent="0.3">
      <c r="A5" s="301" t="s">
        <v>1815</v>
      </c>
      <c r="C5" s="301" t="s">
        <v>378</v>
      </c>
      <c r="D5" s="301" t="s">
        <v>151</v>
      </c>
      <c r="E5" s="301" t="s">
        <v>378</v>
      </c>
      <c r="F5" s="301" t="s">
        <v>5</v>
      </c>
      <c r="G5" s="301" t="s">
        <v>14</v>
      </c>
      <c r="H5" s="301" t="s">
        <v>13</v>
      </c>
      <c r="I5" s="301" t="s">
        <v>1456</v>
      </c>
    </row>
    <row r="6" spans="1:10" x14ac:dyDescent="0.3">
      <c r="A6" s="301" t="s">
        <v>1837</v>
      </c>
      <c r="C6" s="301" t="s">
        <v>378</v>
      </c>
      <c r="D6" s="301" t="s">
        <v>173</v>
      </c>
      <c r="E6" s="301" t="s">
        <v>378</v>
      </c>
      <c r="F6" s="301" t="s">
        <v>5</v>
      </c>
      <c r="G6" s="301" t="s">
        <v>1457</v>
      </c>
      <c r="H6" s="301" t="s">
        <v>19</v>
      </c>
    </row>
    <row r="7" spans="1:10" x14ac:dyDescent="0.3">
      <c r="A7" s="301" t="s">
        <v>1298</v>
      </c>
      <c r="C7" s="301" t="s">
        <v>378</v>
      </c>
      <c r="D7" s="301" t="s">
        <v>180</v>
      </c>
      <c r="E7" s="301" t="s">
        <v>378</v>
      </c>
      <c r="F7" s="301" t="s">
        <v>5</v>
      </c>
      <c r="G7" s="301" t="s">
        <v>18</v>
      </c>
      <c r="H7" s="301" t="s">
        <v>17</v>
      </c>
    </row>
    <row r="8" spans="1:10" x14ac:dyDescent="0.3">
      <c r="A8" s="301" t="s">
        <v>1458</v>
      </c>
      <c r="C8" s="301" t="s">
        <v>378</v>
      </c>
      <c r="D8" s="301" t="s">
        <v>185</v>
      </c>
      <c r="E8" s="301" t="s">
        <v>378</v>
      </c>
      <c r="F8" s="301" t="s">
        <v>5</v>
      </c>
      <c r="G8" s="301" t="s">
        <v>364</v>
      </c>
      <c r="H8" s="301" t="s">
        <v>374</v>
      </c>
    </row>
    <row r="9" spans="1:10" x14ac:dyDescent="0.3">
      <c r="A9" s="301" t="s">
        <v>1459</v>
      </c>
      <c r="C9" s="301" t="s">
        <v>378</v>
      </c>
      <c r="D9" s="301" t="s">
        <v>237</v>
      </c>
      <c r="E9" s="301" t="s">
        <v>378</v>
      </c>
      <c r="F9" s="301" t="s">
        <v>5</v>
      </c>
      <c r="G9" s="301" t="s">
        <v>1460</v>
      </c>
      <c r="H9" s="301" t="s">
        <v>375</v>
      </c>
    </row>
    <row r="10" spans="1:10" x14ac:dyDescent="0.3">
      <c r="A10" s="301" t="s">
        <v>778</v>
      </c>
      <c r="C10" s="301" t="s">
        <v>378</v>
      </c>
      <c r="D10" s="301" t="s">
        <v>299</v>
      </c>
      <c r="E10" s="301" t="s">
        <v>378</v>
      </c>
      <c r="F10" s="301" t="s">
        <v>5</v>
      </c>
      <c r="G10" s="301" t="s">
        <v>8</v>
      </c>
      <c r="H10" s="301" t="s">
        <v>7</v>
      </c>
    </row>
    <row r="11" spans="1:10" x14ac:dyDescent="0.3">
      <c r="A11" s="301" t="s">
        <v>1461</v>
      </c>
      <c r="C11" s="301" t="s">
        <v>378</v>
      </c>
      <c r="D11" s="301" t="s">
        <v>301</v>
      </c>
      <c r="E11" s="301" t="s">
        <v>378</v>
      </c>
      <c r="F11" s="301" t="s">
        <v>5</v>
      </c>
      <c r="G11" s="301" t="s">
        <v>26</v>
      </c>
      <c r="H11" s="301" t="s">
        <v>25</v>
      </c>
    </row>
    <row r="12" spans="1:10" x14ac:dyDescent="0.3">
      <c r="A12" s="301" t="s">
        <v>1256</v>
      </c>
      <c r="C12" s="301" t="s">
        <v>378</v>
      </c>
      <c r="D12" s="301" t="s">
        <v>746</v>
      </c>
      <c r="E12" s="301" t="s">
        <v>378</v>
      </c>
      <c r="F12" s="301" t="s">
        <v>5</v>
      </c>
      <c r="G12" s="301" t="s">
        <v>24</v>
      </c>
      <c r="H12" s="301" t="s">
        <v>23</v>
      </c>
    </row>
    <row r="13" spans="1:10" x14ac:dyDescent="0.3">
      <c r="A13" s="301" t="s">
        <v>462</v>
      </c>
      <c r="C13" s="301" t="s">
        <v>378</v>
      </c>
      <c r="D13" s="301" t="s">
        <v>1134</v>
      </c>
      <c r="E13" s="301" t="s">
        <v>378</v>
      </c>
      <c r="F13" s="301" t="s">
        <v>27</v>
      </c>
      <c r="G13" s="301" t="s">
        <v>1463</v>
      </c>
      <c r="H13" s="301" t="s">
        <v>29</v>
      </c>
    </row>
    <row r="14" spans="1:10" x14ac:dyDescent="0.3">
      <c r="A14" s="301" t="s">
        <v>1462</v>
      </c>
      <c r="C14" s="301" t="s">
        <v>378</v>
      </c>
      <c r="D14" s="301" t="s">
        <v>309</v>
      </c>
      <c r="E14" s="301" t="s">
        <v>378</v>
      </c>
      <c r="F14" s="301" t="s">
        <v>27</v>
      </c>
      <c r="G14" s="301" t="s">
        <v>28</v>
      </c>
      <c r="H14" s="301" t="s">
        <v>30</v>
      </c>
    </row>
    <row r="15" spans="1:10" x14ac:dyDescent="0.3">
      <c r="A15" s="301" t="s">
        <v>1370</v>
      </c>
      <c r="C15" s="301" t="s">
        <v>506</v>
      </c>
      <c r="D15" s="301" t="s">
        <v>719</v>
      </c>
      <c r="E15" s="301" t="s">
        <v>378</v>
      </c>
      <c r="F15" s="301" t="s">
        <v>27</v>
      </c>
      <c r="G15" s="301" t="s">
        <v>790</v>
      </c>
      <c r="H15" s="301" t="s">
        <v>789</v>
      </c>
    </row>
    <row r="16" spans="1:10" x14ac:dyDescent="0.3">
      <c r="A16" s="301" t="s">
        <v>420</v>
      </c>
      <c r="C16" s="301" t="s">
        <v>506</v>
      </c>
      <c r="D16" s="301" t="s">
        <v>146</v>
      </c>
      <c r="E16" s="301" t="s">
        <v>378</v>
      </c>
      <c r="F16" s="301" t="s">
        <v>27</v>
      </c>
      <c r="G16" s="301" t="s">
        <v>873</v>
      </c>
      <c r="H16" s="301" t="s">
        <v>874</v>
      </c>
    </row>
    <row r="17" spans="1:8" x14ac:dyDescent="0.3">
      <c r="A17" s="301" t="s">
        <v>773</v>
      </c>
      <c r="C17" s="301" t="s">
        <v>506</v>
      </c>
      <c r="D17" s="301" t="s">
        <v>166</v>
      </c>
      <c r="E17" s="301" t="s">
        <v>378</v>
      </c>
      <c r="F17" s="301" t="s">
        <v>27</v>
      </c>
      <c r="G17" s="301" t="s">
        <v>363</v>
      </c>
      <c r="H17" s="301" t="s">
        <v>376</v>
      </c>
    </row>
    <row r="18" spans="1:8" x14ac:dyDescent="0.3">
      <c r="A18" s="301" t="s">
        <v>825</v>
      </c>
      <c r="C18" s="301" t="s">
        <v>506</v>
      </c>
      <c r="D18" s="301" t="s">
        <v>230</v>
      </c>
      <c r="E18" s="301" t="s">
        <v>378</v>
      </c>
      <c r="F18" s="301" t="s">
        <v>480</v>
      </c>
      <c r="G18" s="301" t="s">
        <v>1464</v>
      </c>
      <c r="H18" s="301" t="s">
        <v>119</v>
      </c>
    </row>
    <row r="19" spans="1:8" x14ac:dyDescent="0.3">
      <c r="A19" s="301" t="s">
        <v>1541</v>
      </c>
      <c r="C19" s="301" t="s">
        <v>506</v>
      </c>
      <c r="D19" s="301" t="s">
        <v>288</v>
      </c>
      <c r="E19" s="301" t="s">
        <v>378</v>
      </c>
      <c r="F19" s="301" t="s">
        <v>480</v>
      </c>
      <c r="G19" s="301" t="s">
        <v>140</v>
      </c>
      <c r="H19" s="301" t="s">
        <v>139</v>
      </c>
    </row>
    <row r="20" spans="1:8" x14ac:dyDescent="0.3">
      <c r="A20" s="301" t="s">
        <v>1543</v>
      </c>
      <c r="C20" s="301" t="s">
        <v>506</v>
      </c>
      <c r="D20" s="301" t="s">
        <v>297</v>
      </c>
      <c r="E20" s="301" t="s">
        <v>378</v>
      </c>
      <c r="F20" s="301" t="s">
        <v>480</v>
      </c>
      <c r="G20" s="301" t="s">
        <v>1465</v>
      </c>
      <c r="H20" s="301" t="s">
        <v>87</v>
      </c>
    </row>
    <row r="21" spans="1:8" x14ac:dyDescent="0.3">
      <c r="A21" s="301" t="s">
        <v>1916</v>
      </c>
      <c r="C21" s="301" t="s">
        <v>506</v>
      </c>
      <c r="D21" s="301" t="s">
        <v>1198</v>
      </c>
      <c r="E21" s="301" t="s">
        <v>378</v>
      </c>
      <c r="F21" s="301" t="s">
        <v>480</v>
      </c>
      <c r="G21" s="301" t="s">
        <v>1466</v>
      </c>
      <c r="H21" s="301" t="s">
        <v>51</v>
      </c>
    </row>
    <row r="22" spans="1:8" x14ac:dyDescent="0.3">
      <c r="A22" s="514" t="s">
        <v>1548</v>
      </c>
      <c r="D22" s="301" t="s">
        <v>717</v>
      </c>
      <c r="E22" s="301" t="s">
        <v>378</v>
      </c>
      <c r="F22" s="301" t="s">
        <v>480</v>
      </c>
      <c r="G22" s="301" t="s">
        <v>1467</v>
      </c>
      <c r="H22" s="301" t="s">
        <v>1265</v>
      </c>
    </row>
    <row r="23" spans="1:8" x14ac:dyDescent="0.3">
      <c r="A23" s="301" t="s">
        <v>1560</v>
      </c>
      <c r="E23" s="301" t="s">
        <v>378</v>
      </c>
      <c r="F23" s="301" t="s">
        <v>480</v>
      </c>
      <c r="G23" s="301" t="s">
        <v>1468</v>
      </c>
      <c r="H23" s="301" t="s">
        <v>123</v>
      </c>
    </row>
    <row r="24" spans="1:8" x14ac:dyDescent="0.3">
      <c r="E24" s="301" t="s">
        <v>378</v>
      </c>
      <c r="F24" s="301" t="s">
        <v>480</v>
      </c>
      <c r="G24" s="301" t="s">
        <v>1469</v>
      </c>
      <c r="H24" s="301" t="s">
        <v>125</v>
      </c>
    </row>
    <row r="25" spans="1:8" x14ac:dyDescent="0.3">
      <c r="E25" s="301" t="s">
        <v>378</v>
      </c>
      <c r="F25" s="301" t="s">
        <v>480</v>
      </c>
      <c r="G25" s="301" t="s">
        <v>1470</v>
      </c>
      <c r="H25" s="301" t="s">
        <v>1162</v>
      </c>
    </row>
    <row r="26" spans="1:8" x14ac:dyDescent="0.3">
      <c r="E26" s="301" t="s">
        <v>378</v>
      </c>
      <c r="F26" s="301" t="s">
        <v>480</v>
      </c>
      <c r="G26" s="301" t="s">
        <v>1471</v>
      </c>
      <c r="H26" s="301" t="s">
        <v>914</v>
      </c>
    </row>
    <row r="27" spans="1:8" x14ac:dyDescent="0.3">
      <c r="E27" s="301" t="s">
        <v>378</v>
      </c>
      <c r="F27" s="301" t="s">
        <v>480</v>
      </c>
      <c r="G27" s="301" t="s">
        <v>1472</v>
      </c>
      <c r="H27" s="301" t="s">
        <v>1159</v>
      </c>
    </row>
    <row r="28" spans="1:8" x14ac:dyDescent="0.3">
      <c r="E28" s="301" t="s">
        <v>378</v>
      </c>
      <c r="F28" s="301" t="s">
        <v>480</v>
      </c>
      <c r="G28" s="301" t="s">
        <v>100</v>
      </c>
      <c r="H28" s="301" t="s">
        <v>99</v>
      </c>
    </row>
    <row r="29" spans="1:8" x14ac:dyDescent="0.3">
      <c r="E29" s="301" t="s">
        <v>378</v>
      </c>
      <c r="F29" s="301" t="s">
        <v>480</v>
      </c>
      <c r="G29" s="301" t="s">
        <v>72</v>
      </c>
      <c r="H29" s="301" t="s">
        <v>71</v>
      </c>
    </row>
    <row r="30" spans="1:8" x14ac:dyDescent="0.3">
      <c r="E30" s="301" t="s">
        <v>378</v>
      </c>
      <c r="F30" s="301" t="s">
        <v>480</v>
      </c>
      <c r="G30" s="301" t="s">
        <v>92</v>
      </c>
      <c r="H30" s="301" t="s">
        <v>91</v>
      </c>
    </row>
    <row r="31" spans="1:8" x14ac:dyDescent="0.3">
      <c r="E31" s="301" t="s">
        <v>378</v>
      </c>
      <c r="F31" s="301" t="s">
        <v>480</v>
      </c>
      <c r="G31" s="301" t="s">
        <v>108</v>
      </c>
      <c r="H31" s="301" t="s">
        <v>107</v>
      </c>
    </row>
    <row r="32" spans="1:8" x14ac:dyDescent="0.3">
      <c r="E32" s="301" t="s">
        <v>378</v>
      </c>
      <c r="F32" s="301" t="s">
        <v>480</v>
      </c>
      <c r="G32" s="301" t="s">
        <v>1155</v>
      </c>
      <c r="H32" s="301" t="s">
        <v>1161</v>
      </c>
    </row>
    <row r="33" spans="5:8" x14ac:dyDescent="0.3">
      <c r="E33" s="301" t="s">
        <v>378</v>
      </c>
      <c r="F33" s="301" t="s">
        <v>480</v>
      </c>
      <c r="G33" s="301" t="s">
        <v>1473</v>
      </c>
      <c r="H33" s="301" t="s">
        <v>75</v>
      </c>
    </row>
    <row r="34" spans="5:8" x14ac:dyDescent="0.3">
      <c r="E34" s="301" t="s">
        <v>378</v>
      </c>
      <c r="F34" s="301" t="s">
        <v>480</v>
      </c>
      <c r="G34" s="301" t="s">
        <v>41</v>
      </c>
      <c r="H34" s="301" t="s">
        <v>40</v>
      </c>
    </row>
    <row r="35" spans="5:8" x14ac:dyDescent="0.3">
      <c r="E35" s="301" t="s">
        <v>378</v>
      </c>
      <c r="F35" s="301" t="s">
        <v>480</v>
      </c>
      <c r="G35" s="301" t="s">
        <v>90</v>
      </c>
      <c r="H35" s="301" t="s">
        <v>89</v>
      </c>
    </row>
    <row r="36" spans="5:8" x14ac:dyDescent="0.3">
      <c r="E36" s="301" t="s">
        <v>378</v>
      </c>
      <c r="F36" s="301" t="s">
        <v>480</v>
      </c>
      <c r="G36" s="301" t="s">
        <v>118</v>
      </c>
      <c r="H36" s="301" t="s">
        <v>117</v>
      </c>
    </row>
    <row r="37" spans="5:8" x14ac:dyDescent="0.3">
      <c r="E37" s="301" t="s">
        <v>378</v>
      </c>
      <c r="F37" s="301" t="s">
        <v>480</v>
      </c>
      <c r="G37" s="301" t="s">
        <v>43</v>
      </c>
      <c r="H37" s="301" t="s">
        <v>42</v>
      </c>
    </row>
    <row r="38" spans="5:8" x14ac:dyDescent="0.3">
      <c r="E38" s="301" t="s">
        <v>378</v>
      </c>
      <c r="F38" s="301" t="s">
        <v>480</v>
      </c>
      <c r="G38" s="301" t="s">
        <v>44</v>
      </c>
      <c r="H38" s="301" t="s">
        <v>45</v>
      </c>
    </row>
    <row r="39" spans="5:8" x14ac:dyDescent="0.3">
      <c r="E39" s="301" t="s">
        <v>378</v>
      </c>
      <c r="F39" s="301" t="s">
        <v>480</v>
      </c>
      <c r="G39" s="301" t="s">
        <v>551</v>
      </c>
      <c r="H39" s="301" t="s">
        <v>46</v>
      </c>
    </row>
    <row r="40" spans="5:8" x14ac:dyDescent="0.3">
      <c r="E40" s="301" t="s">
        <v>378</v>
      </c>
      <c r="F40" s="301" t="s">
        <v>151</v>
      </c>
      <c r="G40" s="301" t="s">
        <v>188</v>
      </c>
      <c r="H40" s="301" t="s">
        <v>187</v>
      </c>
    </row>
    <row r="41" spans="5:8" x14ac:dyDescent="0.3">
      <c r="E41" s="301" t="s">
        <v>378</v>
      </c>
      <c r="F41" s="301" t="s">
        <v>151</v>
      </c>
      <c r="G41" s="301" t="s">
        <v>12</v>
      </c>
      <c r="H41" s="301" t="s">
        <v>388</v>
      </c>
    </row>
    <row r="42" spans="5:8" x14ac:dyDescent="0.3">
      <c r="E42" s="301" t="s">
        <v>378</v>
      </c>
      <c r="F42" s="301" t="s">
        <v>151</v>
      </c>
      <c r="G42" s="301" t="s">
        <v>198</v>
      </c>
      <c r="H42" s="301" t="s">
        <v>197</v>
      </c>
    </row>
    <row r="43" spans="5:8" x14ac:dyDescent="0.3">
      <c r="E43" s="301" t="s">
        <v>378</v>
      </c>
      <c r="F43" s="301" t="s">
        <v>151</v>
      </c>
      <c r="G43" s="301" t="s">
        <v>1474</v>
      </c>
      <c r="H43" s="301" t="s">
        <v>844</v>
      </c>
    </row>
    <row r="44" spans="5:8" x14ac:dyDescent="0.3">
      <c r="E44" s="301" t="s">
        <v>378</v>
      </c>
      <c r="F44" s="301" t="s">
        <v>151</v>
      </c>
      <c r="G44" s="301" t="s">
        <v>152</v>
      </c>
      <c r="H44" s="301" t="s">
        <v>150</v>
      </c>
    </row>
    <row r="45" spans="5:8" x14ac:dyDescent="0.3">
      <c r="E45" s="301" t="s">
        <v>378</v>
      </c>
      <c r="F45" s="301" t="s">
        <v>151</v>
      </c>
      <c r="G45" s="301" t="s">
        <v>1475</v>
      </c>
      <c r="H45" s="301" t="s">
        <v>153</v>
      </c>
    </row>
    <row r="46" spans="5:8" x14ac:dyDescent="0.3">
      <c r="E46" s="301" t="s">
        <v>378</v>
      </c>
      <c r="F46" s="301" t="s">
        <v>151</v>
      </c>
      <c r="G46" s="301" t="s">
        <v>1476</v>
      </c>
      <c r="H46" s="301" t="s">
        <v>910</v>
      </c>
    </row>
    <row r="47" spans="5:8" x14ac:dyDescent="0.3">
      <c r="E47" s="301" t="s">
        <v>378</v>
      </c>
      <c r="F47" s="301" t="s">
        <v>151</v>
      </c>
      <c r="G47" s="301" t="s">
        <v>156</v>
      </c>
      <c r="H47" s="301" t="s">
        <v>155</v>
      </c>
    </row>
    <row r="48" spans="5:8" x14ac:dyDescent="0.3">
      <c r="E48" s="301" t="s">
        <v>378</v>
      </c>
      <c r="F48" s="301" t="s">
        <v>151</v>
      </c>
      <c r="G48" s="301" t="s">
        <v>1477</v>
      </c>
      <c r="H48" s="301" t="s">
        <v>159</v>
      </c>
    </row>
    <row r="49" spans="5:8" x14ac:dyDescent="0.3">
      <c r="E49" s="301" t="s">
        <v>378</v>
      </c>
      <c r="F49" s="301" t="s">
        <v>151</v>
      </c>
      <c r="G49" s="301" t="s">
        <v>1478</v>
      </c>
      <c r="H49" s="301" t="s">
        <v>812</v>
      </c>
    </row>
    <row r="50" spans="5:8" x14ac:dyDescent="0.3">
      <c r="E50" s="301" t="s">
        <v>378</v>
      </c>
      <c r="F50" s="301" t="s">
        <v>151</v>
      </c>
      <c r="G50" s="301" t="s">
        <v>1479</v>
      </c>
      <c r="H50" s="301" t="s">
        <v>937</v>
      </c>
    </row>
    <row r="51" spans="5:8" x14ac:dyDescent="0.3">
      <c r="E51" s="301" t="s">
        <v>378</v>
      </c>
      <c r="F51" s="301" t="s">
        <v>173</v>
      </c>
      <c r="G51" s="301" t="s">
        <v>1480</v>
      </c>
      <c r="H51" s="301" t="s">
        <v>175</v>
      </c>
    </row>
    <row r="52" spans="5:8" x14ac:dyDescent="0.3">
      <c r="E52" s="301" t="s">
        <v>378</v>
      </c>
      <c r="F52" s="301" t="s">
        <v>173</v>
      </c>
      <c r="G52" s="301" t="s">
        <v>174</v>
      </c>
      <c r="H52" s="301" t="s">
        <v>172</v>
      </c>
    </row>
    <row r="53" spans="5:8" x14ac:dyDescent="0.3">
      <c r="E53" s="301" t="s">
        <v>378</v>
      </c>
      <c r="F53" s="301" t="s">
        <v>173</v>
      </c>
      <c r="G53" s="301" t="s">
        <v>1052</v>
      </c>
      <c r="H53" s="301" t="s">
        <v>1055</v>
      </c>
    </row>
    <row r="54" spans="5:8" x14ac:dyDescent="0.3">
      <c r="E54" s="301" t="s">
        <v>378</v>
      </c>
      <c r="F54" s="301" t="s">
        <v>173</v>
      </c>
      <c r="G54" s="301" t="s">
        <v>178</v>
      </c>
      <c r="H54" s="301" t="s">
        <v>177</v>
      </c>
    </row>
    <row r="55" spans="5:8" x14ac:dyDescent="0.3">
      <c r="E55" s="301" t="s">
        <v>378</v>
      </c>
      <c r="F55" s="301" t="s">
        <v>173</v>
      </c>
      <c r="G55" s="301" t="s">
        <v>1060</v>
      </c>
      <c r="H55" s="301" t="s">
        <v>1054</v>
      </c>
    </row>
    <row r="56" spans="5:8" x14ac:dyDescent="0.3">
      <c r="E56" s="301" t="s">
        <v>378</v>
      </c>
      <c r="F56" s="301" t="s">
        <v>180</v>
      </c>
      <c r="G56" s="301" t="s">
        <v>982</v>
      </c>
      <c r="H56" s="301" t="s">
        <v>984</v>
      </c>
    </row>
    <row r="57" spans="5:8" x14ac:dyDescent="0.3">
      <c r="E57" s="301" t="s">
        <v>378</v>
      </c>
      <c r="F57" s="301" t="s">
        <v>180</v>
      </c>
      <c r="G57" s="301" t="s">
        <v>983</v>
      </c>
      <c r="H57" s="301" t="s">
        <v>985</v>
      </c>
    </row>
    <row r="58" spans="5:8" x14ac:dyDescent="0.3">
      <c r="E58" s="301" t="s">
        <v>378</v>
      </c>
      <c r="F58" s="301" t="s">
        <v>180</v>
      </c>
      <c r="G58" s="301" t="s">
        <v>286</v>
      </c>
      <c r="H58" s="301" t="s">
        <v>285</v>
      </c>
    </row>
    <row r="59" spans="5:8" x14ac:dyDescent="0.3">
      <c r="E59" s="301" t="s">
        <v>378</v>
      </c>
      <c r="F59" s="301" t="s">
        <v>180</v>
      </c>
      <c r="G59" s="301" t="s">
        <v>181</v>
      </c>
      <c r="H59" s="301" t="s">
        <v>179</v>
      </c>
    </row>
    <row r="60" spans="5:8" x14ac:dyDescent="0.3">
      <c r="E60" s="301" t="s">
        <v>378</v>
      </c>
      <c r="F60" s="301" t="s">
        <v>185</v>
      </c>
      <c r="G60" s="301" t="s">
        <v>192</v>
      </c>
      <c r="H60" s="301" t="s">
        <v>191</v>
      </c>
    </row>
    <row r="61" spans="5:8" x14ac:dyDescent="0.3">
      <c r="E61" s="301" t="s">
        <v>378</v>
      </c>
      <c r="F61" s="301" t="s">
        <v>185</v>
      </c>
      <c r="G61" s="301" t="s">
        <v>12</v>
      </c>
      <c r="H61" s="301" t="s">
        <v>389</v>
      </c>
    </row>
    <row r="62" spans="5:8" x14ac:dyDescent="0.3">
      <c r="E62" s="301" t="s">
        <v>378</v>
      </c>
      <c r="F62" s="301" t="s">
        <v>185</v>
      </c>
      <c r="G62" s="301" t="s">
        <v>194</v>
      </c>
      <c r="H62" s="301" t="s">
        <v>193</v>
      </c>
    </row>
    <row r="63" spans="5:8" x14ac:dyDescent="0.3">
      <c r="E63" s="301" t="s">
        <v>378</v>
      </c>
      <c r="F63" s="301" t="s">
        <v>185</v>
      </c>
      <c r="G63" s="301" t="s">
        <v>1481</v>
      </c>
      <c r="H63" s="301" t="s">
        <v>222</v>
      </c>
    </row>
    <row r="64" spans="5:8" x14ac:dyDescent="0.3">
      <c r="E64" s="301" t="s">
        <v>378</v>
      </c>
      <c r="F64" s="301" t="s">
        <v>185</v>
      </c>
      <c r="G64" s="301" t="s">
        <v>209</v>
      </c>
      <c r="H64" s="301" t="s">
        <v>208</v>
      </c>
    </row>
    <row r="65" spans="5:8" x14ac:dyDescent="0.3">
      <c r="E65" s="301" t="s">
        <v>378</v>
      </c>
      <c r="F65" s="301" t="s">
        <v>185</v>
      </c>
      <c r="G65" s="301" t="s">
        <v>202</v>
      </c>
      <c r="H65" s="301" t="s">
        <v>201</v>
      </c>
    </row>
    <row r="66" spans="5:8" x14ac:dyDescent="0.3">
      <c r="E66" s="301" t="s">
        <v>378</v>
      </c>
      <c r="F66" s="301" t="s">
        <v>185</v>
      </c>
      <c r="G66" s="301" t="s">
        <v>190</v>
      </c>
      <c r="H66" s="301" t="s">
        <v>189</v>
      </c>
    </row>
    <row r="67" spans="5:8" x14ac:dyDescent="0.3">
      <c r="E67" s="301" t="s">
        <v>378</v>
      </c>
      <c r="F67" s="301" t="s">
        <v>185</v>
      </c>
      <c r="G67" s="301" t="s">
        <v>186</v>
      </c>
      <c r="H67" s="301" t="s">
        <v>184</v>
      </c>
    </row>
    <row r="68" spans="5:8" x14ac:dyDescent="0.3">
      <c r="E68" s="301" t="s">
        <v>378</v>
      </c>
      <c r="F68" s="301" t="s">
        <v>185</v>
      </c>
      <c r="G68" s="301" t="s">
        <v>196</v>
      </c>
      <c r="H68" s="301" t="s">
        <v>195</v>
      </c>
    </row>
    <row r="69" spans="5:8" x14ac:dyDescent="0.3">
      <c r="E69" s="301" t="s">
        <v>378</v>
      </c>
      <c r="F69" s="301" t="s">
        <v>185</v>
      </c>
      <c r="G69" s="301" t="s">
        <v>1332</v>
      </c>
      <c r="H69" s="301" t="s">
        <v>228</v>
      </c>
    </row>
    <row r="70" spans="5:8" x14ac:dyDescent="0.3">
      <c r="E70" s="301" t="s">
        <v>378</v>
      </c>
      <c r="F70" s="301" t="s">
        <v>185</v>
      </c>
      <c r="G70" s="301" t="s">
        <v>1482</v>
      </c>
      <c r="H70" s="301" t="s">
        <v>224</v>
      </c>
    </row>
    <row r="71" spans="5:8" x14ac:dyDescent="0.3">
      <c r="E71" s="301" t="s">
        <v>378</v>
      </c>
      <c r="F71" s="301" t="s">
        <v>185</v>
      </c>
      <c r="G71" s="301" t="s">
        <v>474</v>
      </c>
      <c r="H71" s="301" t="s">
        <v>475</v>
      </c>
    </row>
    <row r="72" spans="5:8" x14ac:dyDescent="0.3">
      <c r="E72" s="301" t="s">
        <v>378</v>
      </c>
      <c r="F72" s="301" t="s">
        <v>185</v>
      </c>
      <c r="G72" s="301" t="s">
        <v>1483</v>
      </c>
      <c r="H72" s="301" t="s">
        <v>214</v>
      </c>
    </row>
    <row r="73" spans="5:8" x14ac:dyDescent="0.3">
      <c r="E73" s="301" t="s">
        <v>378</v>
      </c>
      <c r="F73" s="301" t="s">
        <v>185</v>
      </c>
      <c r="G73" s="301" t="s">
        <v>219</v>
      </c>
      <c r="H73" s="301" t="s">
        <v>218</v>
      </c>
    </row>
    <row r="74" spans="5:8" x14ac:dyDescent="0.3">
      <c r="E74" s="301" t="s">
        <v>378</v>
      </c>
      <c r="F74" s="301" t="s">
        <v>185</v>
      </c>
      <c r="G74" s="301" t="s">
        <v>213</v>
      </c>
      <c r="H74" s="301" t="s">
        <v>212</v>
      </c>
    </row>
    <row r="75" spans="5:8" x14ac:dyDescent="0.3">
      <c r="E75" s="301" t="s">
        <v>378</v>
      </c>
      <c r="F75" s="301" t="s">
        <v>237</v>
      </c>
      <c r="G75" s="301" t="s">
        <v>238</v>
      </c>
      <c r="H75" s="301" t="s">
        <v>236</v>
      </c>
    </row>
    <row r="76" spans="5:8" x14ac:dyDescent="0.3">
      <c r="E76" s="301" t="s">
        <v>378</v>
      </c>
      <c r="F76" s="301" t="s">
        <v>237</v>
      </c>
      <c r="G76" s="301" t="s">
        <v>268</v>
      </c>
      <c r="H76" s="301" t="s">
        <v>267</v>
      </c>
    </row>
    <row r="77" spans="5:8" x14ac:dyDescent="0.3">
      <c r="E77" s="301" t="s">
        <v>378</v>
      </c>
      <c r="F77" s="301" t="s">
        <v>237</v>
      </c>
      <c r="G77" s="301" t="s">
        <v>248</v>
      </c>
      <c r="H77" s="301" t="s">
        <v>247</v>
      </c>
    </row>
    <row r="78" spans="5:8" x14ac:dyDescent="0.3">
      <c r="E78" s="301" t="s">
        <v>378</v>
      </c>
      <c r="F78" s="301" t="s">
        <v>237</v>
      </c>
      <c r="G78" s="301" t="s">
        <v>278</v>
      </c>
      <c r="H78" s="301" t="s">
        <v>277</v>
      </c>
    </row>
    <row r="79" spans="5:8" x14ac:dyDescent="0.3">
      <c r="E79" s="301" t="s">
        <v>378</v>
      </c>
      <c r="F79" s="301" t="s">
        <v>237</v>
      </c>
      <c r="G79" s="301" t="s">
        <v>250</v>
      </c>
      <c r="H79" s="301" t="s">
        <v>249</v>
      </c>
    </row>
    <row r="80" spans="5:8" x14ac:dyDescent="0.3">
      <c r="E80" s="301" t="s">
        <v>378</v>
      </c>
      <c r="F80" s="301" t="s">
        <v>237</v>
      </c>
      <c r="G80" s="301" t="s">
        <v>1484</v>
      </c>
      <c r="H80" s="301" t="s">
        <v>273</v>
      </c>
    </row>
    <row r="81" spans="5:8" x14ac:dyDescent="0.3">
      <c r="E81" s="301" t="s">
        <v>378</v>
      </c>
      <c r="F81" s="301" t="s">
        <v>237</v>
      </c>
      <c r="G81" s="301" t="s">
        <v>262</v>
      </c>
      <c r="H81" s="301" t="s">
        <v>261</v>
      </c>
    </row>
    <row r="82" spans="5:8" x14ac:dyDescent="0.3">
      <c r="E82" s="301" t="s">
        <v>378</v>
      </c>
      <c r="F82" s="301" t="s">
        <v>237</v>
      </c>
      <c r="G82" s="301" t="s">
        <v>264</v>
      </c>
      <c r="H82" s="301" t="s">
        <v>263</v>
      </c>
    </row>
    <row r="83" spans="5:8" x14ac:dyDescent="0.3">
      <c r="E83" s="301" t="s">
        <v>378</v>
      </c>
      <c r="F83" s="301" t="s">
        <v>237</v>
      </c>
      <c r="G83" s="301" t="s">
        <v>1485</v>
      </c>
      <c r="H83" s="301" t="s">
        <v>275</v>
      </c>
    </row>
    <row r="84" spans="5:8" x14ac:dyDescent="0.3">
      <c r="E84" s="301" t="s">
        <v>378</v>
      </c>
      <c r="F84" s="301" t="s">
        <v>237</v>
      </c>
      <c r="G84" s="301" t="s">
        <v>1029</v>
      </c>
      <c r="H84" s="301" t="s">
        <v>241</v>
      </c>
    </row>
    <row r="85" spans="5:8" x14ac:dyDescent="0.3">
      <c r="E85" s="301" t="s">
        <v>378</v>
      </c>
      <c r="F85" s="301" t="s">
        <v>237</v>
      </c>
      <c r="G85" s="301" t="s">
        <v>260</v>
      </c>
      <c r="H85" s="301" t="s">
        <v>259</v>
      </c>
    </row>
    <row r="86" spans="5:8" x14ac:dyDescent="0.3">
      <c r="E86" s="301" t="s">
        <v>378</v>
      </c>
      <c r="F86" s="301" t="s">
        <v>237</v>
      </c>
      <c r="G86" s="301" t="s">
        <v>280</v>
      </c>
      <c r="H86" s="301" t="s">
        <v>279</v>
      </c>
    </row>
    <row r="87" spans="5:8" x14ac:dyDescent="0.3">
      <c r="E87" s="301" t="s">
        <v>378</v>
      </c>
      <c r="F87" s="301" t="s">
        <v>237</v>
      </c>
      <c r="G87" s="301" t="s">
        <v>1486</v>
      </c>
      <c r="H87" s="301" t="s">
        <v>245</v>
      </c>
    </row>
    <row r="88" spans="5:8" x14ac:dyDescent="0.3">
      <c r="E88" s="301" t="s">
        <v>378</v>
      </c>
      <c r="F88" s="301" t="s">
        <v>237</v>
      </c>
      <c r="G88" s="301" t="s">
        <v>256</v>
      </c>
      <c r="H88" s="301" t="s">
        <v>255</v>
      </c>
    </row>
    <row r="89" spans="5:8" x14ac:dyDescent="0.3">
      <c r="E89" s="301" t="s">
        <v>378</v>
      </c>
      <c r="F89" s="301" t="s">
        <v>237</v>
      </c>
      <c r="G89" s="301" t="s">
        <v>284</v>
      </c>
      <c r="H89" s="301" t="s">
        <v>283</v>
      </c>
    </row>
    <row r="90" spans="5:8" x14ac:dyDescent="0.3">
      <c r="E90" s="301" t="s">
        <v>378</v>
      </c>
      <c r="F90" s="301" t="s">
        <v>237</v>
      </c>
      <c r="G90" s="301" t="s">
        <v>1487</v>
      </c>
      <c r="H90" s="301" t="s">
        <v>239</v>
      </c>
    </row>
    <row r="91" spans="5:8" x14ac:dyDescent="0.3">
      <c r="E91" s="301" t="s">
        <v>378</v>
      </c>
      <c r="F91" s="301" t="s">
        <v>237</v>
      </c>
      <c r="G91" s="301" t="s">
        <v>258</v>
      </c>
      <c r="H91" s="301" t="s">
        <v>257</v>
      </c>
    </row>
    <row r="92" spans="5:8" x14ac:dyDescent="0.3">
      <c r="E92" s="301" t="s">
        <v>378</v>
      </c>
      <c r="F92" s="301" t="s">
        <v>237</v>
      </c>
      <c r="G92" s="301" t="s">
        <v>252</v>
      </c>
      <c r="H92" s="301" t="s">
        <v>251</v>
      </c>
    </row>
    <row r="93" spans="5:8" x14ac:dyDescent="0.3">
      <c r="E93" s="301" t="s">
        <v>378</v>
      </c>
      <c r="F93" s="301" t="s">
        <v>237</v>
      </c>
      <c r="G93" s="301" t="s">
        <v>254</v>
      </c>
      <c r="H93" s="301" t="s">
        <v>253</v>
      </c>
    </row>
    <row r="94" spans="5:8" x14ac:dyDescent="0.3">
      <c r="E94" s="301" t="s">
        <v>378</v>
      </c>
      <c r="F94" s="301" t="s">
        <v>237</v>
      </c>
      <c r="G94" s="301" t="s">
        <v>270</v>
      </c>
      <c r="H94" s="301" t="s">
        <v>269</v>
      </c>
    </row>
    <row r="95" spans="5:8" x14ac:dyDescent="0.3">
      <c r="E95" s="301" t="s">
        <v>378</v>
      </c>
      <c r="F95" s="301" t="s">
        <v>237</v>
      </c>
      <c r="G95" s="301" t="s">
        <v>272</v>
      </c>
      <c r="H95" s="301" t="s">
        <v>271</v>
      </c>
    </row>
    <row r="96" spans="5:8" x14ac:dyDescent="0.3">
      <c r="E96" s="301" t="s">
        <v>378</v>
      </c>
      <c r="F96" s="301" t="s">
        <v>299</v>
      </c>
      <c r="G96" s="301" t="s">
        <v>890</v>
      </c>
      <c r="H96" s="301" t="s">
        <v>891</v>
      </c>
    </row>
    <row r="97" spans="5:8" x14ac:dyDescent="0.3">
      <c r="E97" s="301" t="s">
        <v>378</v>
      </c>
      <c r="F97" s="301" t="s">
        <v>299</v>
      </c>
      <c r="G97" s="301" t="s">
        <v>1044</v>
      </c>
      <c r="H97" s="301" t="s">
        <v>1043</v>
      </c>
    </row>
    <row r="98" spans="5:8" x14ac:dyDescent="0.3">
      <c r="E98" s="301" t="s">
        <v>378</v>
      </c>
      <c r="F98" s="301" t="s">
        <v>299</v>
      </c>
      <c r="G98" s="301" t="s">
        <v>300</v>
      </c>
      <c r="H98" s="301" t="s">
        <v>298</v>
      </c>
    </row>
    <row r="99" spans="5:8" x14ac:dyDescent="0.3">
      <c r="E99" s="301" t="s">
        <v>378</v>
      </c>
      <c r="F99" s="301" t="s">
        <v>301</v>
      </c>
      <c r="G99" s="301" t="s">
        <v>305</v>
      </c>
      <c r="H99" s="301" t="s">
        <v>304</v>
      </c>
    </row>
    <row r="100" spans="5:8" x14ac:dyDescent="0.3">
      <c r="E100" s="301" t="s">
        <v>378</v>
      </c>
      <c r="F100" s="301" t="s">
        <v>301</v>
      </c>
      <c r="G100" s="301" t="s">
        <v>303</v>
      </c>
      <c r="H100" s="301" t="s">
        <v>302</v>
      </c>
    </row>
    <row r="101" spans="5:8" x14ac:dyDescent="0.3">
      <c r="E101" s="301" t="s">
        <v>378</v>
      </c>
      <c r="F101" s="301" t="s">
        <v>301</v>
      </c>
      <c r="G101" s="301" t="s">
        <v>307</v>
      </c>
      <c r="H101" s="301" t="s">
        <v>306</v>
      </c>
    </row>
    <row r="102" spans="5:8" x14ac:dyDescent="0.3">
      <c r="E102" s="301" t="s">
        <v>378</v>
      </c>
      <c r="F102" s="301" t="s">
        <v>746</v>
      </c>
      <c r="G102" s="301" t="s">
        <v>1064</v>
      </c>
      <c r="H102" s="301" t="s">
        <v>1065</v>
      </c>
    </row>
    <row r="103" spans="5:8" x14ac:dyDescent="0.3">
      <c r="E103" s="301" t="s">
        <v>378</v>
      </c>
      <c r="F103" s="301" t="s">
        <v>746</v>
      </c>
      <c r="G103" s="301" t="s">
        <v>1066</v>
      </c>
      <c r="H103" s="301" t="s">
        <v>1067</v>
      </c>
    </row>
    <row r="104" spans="5:8" x14ac:dyDescent="0.3">
      <c r="E104" s="301" t="s">
        <v>378</v>
      </c>
      <c r="F104" s="301" t="s">
        <v>746</v>
      </c>
      <c r="G104" s="301" t="s">
        <v>746</v>
      </c>
      <c r="H104" s="301" t="s">
        <v>750</v>
      </c>
    </row>
    <row r="105" spans="5:8" x14ac:dyDescent="0.3">
      <c r="E105" s="301" t="s">
        <v>378</v>
      </c>
      <c r="F105" s="301" t="s">
        <v>1134</v>
      </c>
      <c r="G105" s="694" t="s">
        <v>1713</v>
      </c>
      <c r="H105" s="301" t="s">
        <v>1397</v>
      </c>
    </row>
    <row r="106" spans="5:8" x14ac:dyDescent="0.3">
      <c r="E106" s="301" t="s">
        <v>378</v>
      </c>
      <c r="F106" s="301" t="s">
        <v>1134</v>
      </c>
      <c r="G106" s="301" t="s">
        <v>1386</v>
      </c>
      <c r="H106" s="301" t="s">
        <v>1398</v>
      </c>
    </row>
    <row r="107" spans="5:8" x14ac:dyDescent="0.3">
      <c r="E107" s="301" t="s">
        <v>378</v>
      </c>
      <c r="F107" s="301" t="s">
        <v>1134</v>
      </c>
      <c r="G107" s="696" t="s">
        <v>1686</v>
      </c>
      <c r="H107" s="301" t="s">
        <v>1399</v>
      </c>
    </row>
    <row r="108" spans="5:8" x14ac:dyDescent="0.3">
      <c r="E108" s="301" t="s">
        <v>378</v>
      </c>
      <c r="F108" s="301" t="s">
        <v>1134</v>
      </c>
      <c r="G108" s="301" t="s">
        <v>1387</v>
      </c>
      <c r="H108" s="301" t="s">
        <v>1400</v>
      </c>
    </row>
    <row r="109" spans="5:8" x14ac:dyDescent="0.3">
      <c r="E109" s="301" t="s">
        <v>378</v>
      </c>
      <c r="F109" s="301" t="s">
        <v>309</v>
      </c>
      <c r="G109" s="301" t="s">
        <v>333</v>
      </c>
      <c r="H109" s="301" t="s">
        <v>332</v>
      </c>
    </row>
    <row r="110" spans="5:8" x14ac:dyDescent="0.3">
      <c r="E110" s="301" t="s">
        <v>378</v>
      </c>
      <c r="F110" s="301" t="s">
        <v>309</v>
      </c>
      <c r="G110" s="301" t="s">
        <v>349</v>
      </c>
      <c r="H110" s="301" t="s">
        <v>348</v>
      </c>
    </row>
    <row r="111" spans="5:8" x14ac:dyDescent="0.3">
      <c r="E111" s="301" t="s">
        <v>378</v>
      </c>
      <c r="F111" s="301" t="s">
        <v>309</v>
      </c>
      <c r="G111" s="301" t="s">
        <v>312</v>
      </c>
      <c r="H111" s="301" t="s">
        <v>311</v>
      </c>
    </row>
    <row r="112" spans="5:8" x14ac:dyDescent="0.3">
      <c r="E112" s="301" t="s">
        <v>378</v>
      </c>
      <c r="F112" s="301" t="s">
        <v>309</v>
      </c>
      <c r="G112" s="301" t="s">
        <v>337</v>
      </c>
      <c r="H112" s="301" t="s">
        <v>336</v>
      </c>
    </row>
    <row r="113" spans="5:8" x14ac:dyDescent="0.3">
      <c r="E113" s="301" t="s">
        <v>378</v>
      </c>
      <c r="F113" s="301" t="s">
        <v>309</v>
      </c>
      <c r="G113" s="301" t="s">
        <v>327</v>
      </c>
      <c r="H113" s="301" t="s">
        <v>326</v>
      </c>
    </row>
    <row r="114" spans="5:8" x14ac:dyDescent="0.3">
      <c r="E114" s="301" t="s">
        <v>378</v>
      </c>
      <c r="F114" s="301" t="s">
        <v>309</v>
      </c>
      <c r="G114" s="301" t="s">
        <v>340</v>
      </c>
      <c r="H114" s="301" t="s">
        <v>339</v>
      </c>
    </row>
    <row r="115" spans="5:8" x14ac:dyDescent="0.3">
      <c r="E115" s="301" t="s">
        <v>378</v>
      </c>
      <c r="F115" s="301" t="s">
        <v>309</v>
      </c>
      <c r="G115" s="301" t="s">
        <v>319</v>
      </c>
      <c r="H115" s="301" t="s">
        <v>318</v>
      </c>
    </row>
    <row r="116" spans="5:8" x14ac:dyDescent="0.3">
      <c r="E116" s="301" t="s">
        <v>378</v>
      </c>
      <c r="F116" s="301" t="s">
        <v>309</v>
      </c>
      <c r="G116" s="301" t="s">
        <v>325</v>
      </c>
      <c r="H116" s="301" t="s">
        <v>324</v>
      </c>
    </row>
    <row r="117" spans="5:8" x14ac:dyDescent="0.3">
      <c r="E117" s="301" t="s">
        <v>378</v>
      </c>
      <c r="F117" s="301" t="s">
        <v>309</v>
      </c>
      <c r="G117" s="301" t="s">
        <v>323</v>
      </c>
      <c r="H117" s="301" t="s">
        <v>322</v>
      </c>
    </row>
    <row r="118" spans="5:8" x14ac:dyDescent="0.3">
      <c r="E118" s="301" t="s">
        <v>378</v>
      </c>
      <c r="F118" s="301" t="s">
        <v>309</v>
      </c>
      <c r="G118" s="301" t="s">
        <v>345</v>
      </c>
      <c r="H118" s="301" t="s">
        <v>344</v>
      </c>
    </row>
    <row r="119" spans="5:8" x14ac:dyDescent="0.3">
      <c r="E119" s="301" t="s">
        <v>378</v>
      </c>
      <c r="F119" s="301" t="s">
        <v>309</v>
      </c>
      <c r="G119" s="301" t="s">
        <v>751</v>
      </c>
      <c r="H119" s="301" t="s">
        <v>752</v>
      </c>
    </row>
    <row r="120" spans="5:8" x14ac:dyDescent="0.3">
      <c r="E120" s="301" t="s">
        <v>378</v>
      </c>
      <c r="F120" s="301" t="s">
        <v>309</v>
      </c>
      <c r="G120" s="301" t="s">
        <v>317</v>
      </c>
      <c r="H120" s="301" t="s">
        <v>316</v>
      </c>
    </row>
    <row r="121" spans="5:8" x14ac:dyDescent="0.3">
      <c r="E121" s="301" t="s">
        <v>378</v>
      </c>
      <c r="F121" s="301" t="s">
        <v>309</v>
      </c>
      <c r="G121" s="301" t="s">
        <v>342</v>
      </c>
      <c r="H121" s="301" t="s">
        <v>341</v>
      </c>
    </row>
    <row r="122" spans="5:8" x14ac:dyDescent="0.3">
      <c r="E122" s="301" t="s">
        <v>378</v>
      </c>
      <c r="F122" s="301" t="s">
        <v>309</v>
      </c>
      <c r="G122" s="301" t="s">
        <v>347</v>
      </c>
      <c r="H122" s="301" t="s">
        <v>346</v>
      </c>
    </row>
    <row r="123" spans="5:8" x14ac:dyDescent="0.3">
      <c r="E123" s="301" t="s">
        <v>378</v>
      </c>
      <c r="F123" s="301" t="s">
        <v>309</v>
      </c>
      <c r="G123" s="301" t="s">
        <v>1488</v>
      </c>
      <c r="H123" s="301" t="s">
        <v>314</v>
      </c>
    </row>
    <row r="124" spans="5:8" x14ac:dyDescent="0.3">
      <c r="E124" s="301" t="s">
        <v>378</v>
      </c>
      <c r="F124" s="301" t="s">
        <v>309</v>
      </c>
      <c r="G124" s="301" t="s">
        <v>321</v>
      </c>
      <c r="H124" s="301" t="s">
        <v>320</v>
      </c>
    </row>
    <row r="125" spans="5:8" x14ac:dyDescent="0.3">
      <c r="E125" s="301" t="s">
        <v>378</v>
      </c>
      <c r="F125" s="301" t="s">
        <v>309</v>
      </c>
      <c r="G125" s="301" t="s">
        <v>329</v>
      </c>
      <c r="H125" s="301" t="s">
        <v>328</v>
      </c>
    </row>
    <row r="126" spans="5:8" x14ac:dyDescent="0.3">
      <c r="E126" s="301" t="s">
        <v>378</v>
      </c>
      <c r="F126" s="301" t="s">
        <v>309</v>
      </c>
      <c r="G126" s="301" t="s">
        <v>1489</v>
      </c>
      <c r="H126" s="301" t="s">
        <v>334</v>
      </c>
    </row>
    <row r="127" spans="5:8" x14ac:dyDescent="0.3">
      <c r="E127" s="301" t="s">
        <v>378</v>
      </c>
      <c r="F127" s="301" t="s">
        <v>309</v>
      </c>
      <c r="G127" s="301" t="s">
        <v>1028</v>
      </c>
      <c r="H127" s="301" t="s">
        <v>343</v>
      </c>
    </row>
    <row r="128" spans="5:8" x14ac:dyDescent="0.3">
      <c r="E128" s="301" t="s">
        <v>378</v>
      </c>
      <c r="F128" s="301" t="s">
        <v>309</v>
      </c>
      <c r="G128" s="301" t="s">
        <v>353</v>
      </c>
      <c r="H128" s="301" t="s">
        <v>352</v>
      </c>
    </row>
    <row r="129" spans="5:8" x14ac:dyDescent="0.3">
      <c r="E129" s="301" t="s">
        <v>378</v>
      </c>
      <c r="F129" s="301" t="s">
        <v>309</v>
      </c>
      <c r="G129" s="301" t="s">
        <v>1490</v>
      </c>
      <c r="H129" s="301" t="s">
        <v>338</v>
      </c>
    </row>
    <row r="130" spans="5:8" x14ac:dyDescent="0.3">
      <c r="E130" s="301" t="s">
        <v>378</v>
      </c>
      <c r="F130" s="301" t="s">
        <v>309</v>
      </c>
      <c r="G130" s="301" t="s">
        <v>351</v>
      </c>
      <c r="H130" s="301" t="s">
        <v>350</v>
      </c>
    </row>
    <row r="131" spans="5:8" x14ac:dyDescent="0.3">
      <c r="E131" s="301" t="s">
        <v>378</v>
      </c>
      <c r="F131" s="301" t="s">
        <v>309</v>
      </c>
      <c r="G131" s="301" t="s">
        <v>1491</v>
      </c>
      <c r="H131" s="301" t="s">
        <v>1259</v>
      </c>
    </row>
    <row r="132" spans="5:8" x14ac:dyDescent="0.3">
      <c r="E132" s="301" t="s">
        <v>378</v>
      </c>
      <c r="F132" s="301" t="s">
        <v>309</v>
      </c>
      <c r="G132" s="301" t="s">
        <v>1250</v>
      </c>
      <c r="H132" s="301" t="s">
        <v>1247</v>
      </c>
    </row>
    <row r="133" spans="5:8" x14ac:dyDescent="0.3">
      <c r="E133" s="301" t="s">
        <v>506</v>
      </c>
      <c r="F133" s="301" t="s">
        <v>719</v>
      </c>
      <c r="G133" s="301" t="s">
        <v>535</v>
      </c>
      <c r="H133" s="301" t="s">
        <v>772</v>
      </c>
    </row>
    <row r="134" spans="5:8" x14ac:dyDescent="0.3">
      <c r="E134" s="301" t="s">
        <v>506</v>
      </c>
      <c r="F134" s="301" t="s">
        <v>719</v>
      </c>
      <c r="G134" s="301" t="s">
        <v>1492</v>
      </c>
      <c r="H134" s="301" t="s">
        <v>1042</v>
      </c>
    </row>
    <row r="135" spans="5:8" x14ac:dyDescent="0.3">
      <c r="E135" s="301" t="s">
        <v>506</v>
      </c>
      <c r="F135" s="301" t="s">
        <v>146</v>
      </c>
      <c r="G135" s="301" t="s">
        <v>369</v>
      </c>
      <c r="H135" s="301" t="s">
        <v>147</v>
      </c>
    </row>
    <row r="136" spans="5:8" x14ac:dyDescent="0.3">
      <c r="E136" s="301" t="s">
        <v>506</v>
      </c>
      <c r="F136" s="301" t="s">
        <v>146</v>
      </c>
      <c r="G136" s="301" t="s">
        <v>149</v>
      </c>
      <c r="H136" s="301" t="s">
        <v>148</v>
      </c>
    </row>
    <row r="137" spans="5:8" x14ac:dyDescent="0.3">
      <c r="E137" s="301" t="s">
        <v>506</v>
      </c>
      <c r="F137" s="301" t="s">
        <v>146</v>
      </c>
      <c r="G137" s="301" t="s">
        <v>367</v>
      </c>
      <c r="H137" s="301" t="s">
        <v>381</v>
      </c>
    </row>
    <row r="138" spans="5:8" x14ac:dyDescent="0.3">
      <c r="E138" s="301" t="s">
        <v>506</v>
      </c>
      <c r="F138" s="301" t="s">
        <v>146</v>
      </c>
      <c r="G138" s="301" t="s">
        <v>368</v>
      </c>
      <c r="H138" s="301" t="s">
        <v>382</v>
      </c>
    </row>
    <row r="139" spans="5:8" x14ac:dyDescent="0.3">
      <c r="E139" s="301" t="s">
        <v>506</v>
      </c>
      <c r="F139" s="301" t="s">
        <v>146</v>
      </c>
      <c r="G139" s="301" t="s">
        <v>366</v>
      </c>
      <c r="H139" s="301" t="s">
        <v>383</v>
      </c>
    </row>
    <row r="140" spans="5:8" x14ac:dyDescent="0.3">
      <c r="E140" s="301" t="s">
        <v>506</v>
      </c>
      <c r="F140" s="301" t="s">
        <v>146</v>
      </c>
      <c r="G140" s="301" t="s">
        <v>1493</v>
      </c>
      <c r="H140" s="301" t="s">
        <v>385</v>
      </c>
    </row>
    <row r="141" spans="5:8" x14ac:dyDescent="0.3">
      <c r="E141" s="301" t="s">
        <v>506</v>
      </c>
      <c r="F141" s="301" t="s">
        <v>146</v>
      </c>
      <c r="G141" s="301" t="s">
        <v>1494</v>
      </c>
      <c r="H141" s="301" t="s">
        <v>940</v>
      </c>
    </row>
    <row r="142" spans="5:8" x14ac:dyDescent="0.3">
      <c r="E142" s="301" t="s">
        <v>506</v>
      </c>
      <c r="F142" s="301" t="s">
        <v>146</v>
      </c>
      <c r="G142" s="301" t="s">
        <v>1080</v>
      </c>
      <c r="H142" s="301" t="s">
        <v>1081</v>
      </c>
    </row>
    <row r="143" spans="5:8" x14ac:dyDescent="0.3">
      <c r="E143" s="301" t="s">
        <v>506</v>
      </c>
      <c r="F143" s="301" t="s">
        <v>146</v>
      </c>
      <c r="G143" s="301" t="s">
        <v>1495</v>
      </c>
      <c r="H143" s="301" t="s">
        <v>1119</v>
      </c>
    </row>
    <row r="144" spans="5:8" x14ac:dyDescent="0.3">
      <c r="E144" s="301" t="s">
        <v>506</v>
      </c>
      <c r="F144" s="301" t="s">
        <v>146</v>
      </c>
      <c r="G144" s="301" t="s">
        <v>1129</v>
      </c>
      <c r="H144" s="301" t="s">
        <v>1124</v>
      </c>
    </row>
    <row r="145" spans="5:8" x14ac:dyDescent="0.3">
      <c r="E145" s="301" t="s">
        <v>506</v>
      </c>
      <c r="F145" s="301" t="s">
        <v>146</v>
      </c>
      <c r="G145" s="301" t="s">
        <v>1144</v>
      </c>
      <c r="H145" s="301" t="s">
        <v>1126</v>
      </c>
    </row>
    <row r="146" spans="5:8" x14ac:dyDescent="0.3">
      <c r="E146" s="301" t="s">
        <v>506</v>
      </c>
      <c r="F146" s="301" t="s">
        <v>146</v>
      </c>
      <c r="G146" s="301" t="s">
        <v>1237</v>
      </c>
      <c r="H146" s="301" t="s">
        <v>1238</v>
      </c>
    </row>
    <row r="147" spans="5:8" x14ac:dyDescent="0.3">
      <c r="E147" s="301" t="s">
        <v>506</v>
      </c>
      <c r="F147" s="301" t="s">
        <v>146</v>
      </c>
      <c r="G147" s="301" t="s">
        <v>1496</v>
      </c>
      <c r="H147" s="301" t="s">
        <v>1229</v>
      </c>
    </row>
    <row r="148" spans="5:8" x14ac:dyDescent="0.3">
      <c r="E148" s="301" t="s">
        <v>506</v>
      </c>
      <c r="F148" s="301" t="s">
        <v>166</v>
      </c>
      <c r="G148" s="301" t="s">
        <v>167</v>
      </c>
      <c r="H148" s="301" t="s">
        <v>165</v>
      </c>
    </row>
    <row r="149" spans="5:8" x14ac:dyDescent="0.3">
      <c r="E149" s="301" t="s">
        <v>506</v>
      </c>
      <c r="F149" s="301" t="s">
        <v>166</v>
      </c>
      <c r="G149" s="301" t="s">
        <v>1497</v>
      </c>
      <c r="H149" s="301" t="s">
        <v>761</v>
      </c>
    </row>
    <row r="150" spans="5:8" x14ac:dyDescent="0.3">
      <c r="E150" s="301" t="s">
        <v>506</v>
      </c>
      <c r="F150" s="301" t="s">
        <v>166</v>
      </c>
      <c r="G150" s="301" t="s">
        <v>1138</v>
      </c>
      <c r="H150" s="301" t="s">
        <v>1121</v>
      </c>
    </row>
    <row r="151" spans="5:8" x14ac:dyDescent="0.3">
      <c r="E151" s="301" t="s">
        <v>506</v>
      </c>
      <c r="F151" s="301" t="s">
        <v>230</v>
      </c>
      <c r="G151" s="301" t="s">
        <v>901</v>
      </c>
      <c r="H151" s="301" t="s">
        <v>902</v>
      </c>
    </row>
    <row r="152" spans="5:8" x14ac:dyDescent="0.3">
      <c r="E152" s="301" t="s">
        <v>506</v>
      </c>
      <c r="F152" s="301" t="s">
        <v>230</v>
      </c>
      <c r="G152" s="301" t="s">
        <v>911</v>
      </c>
      <c r="H152" s="301" t="s">
        <v>912</v>
      </c>
    </row>
    <row r="153" spans="5:8" x14ac:dyDescent="0.3">
      <c r="E153" s="301" t="s">
        <v>506</v>
      </c>
      <c r="F153" s="301" t="s">
        <v>230</v>
      </c>
      <c r="G153" s="301" t="s">
        <v>716</v>
      </c>
      <c r="H153" s="301" t="s">
        <v>1241</v>
      </c>
    </row>
    <row r="154" spans="5:8" x14ac:dyDescent="0.3">
      <c r="E154" s="301" t="s">
        <v>506</v>
      </c>
      <c r="F154" s="301" t="s">
        <v>230</v>
      </c>
      <c r="G154" s="301" t="s">
        <v>359</v>
      </c>
      <c r="H154" s="301" t="s">
        <v>771</v>
      </c>
    </row>
    <row r="155" spans="5:8" x14ac:dyDescent="0.3">
      <c r="E155" s="301" t="s">
        <v>506</v>
      </c>
      <c r="F155" s="301" t="s">
        <v>288</v>
      </c>
      <c r="G155" s="301" t="s">
        <v>289</v>
      </c>
      <c r="H155" s="301" t="s">
        <v>287</v>
      </c>
    </row>
    <row r="156" spans="5:8" x14ac:dyDescent="0.3">
      <c r="E156" s="301" t="s">
        <v>506</v>
      </c>
      <c r="F156" s="301" t="s">
        <v>288</v>
      </c>
      <c r="G156" s="301" t="s">
        <v>1498</v>
      </c>
      <c r="H156" s="301" t="s">
        <v>294</v>
      </c>
    </row>
    <row r="157" spans="5:8" x14ac:dyDescent="0.3">
      <c r="E157" s="301" t="s">
        <v>506</v>
      </c>
      <c r="F157" s="301" t="s">
        <v>288</v>
      </c>
      <c r="G157" s="301" t="s">
        <v>291</v>
      </c>
      <c r="H157" s="301" t="s">
        <v>290</v>
      </c>
    </row>
    <row r="158" spans="5:8" x14ac:dyDescent="0.3">
      <c r="E158" s="301" t="s">
        <v>506</v>
      </c>
      <c r="F158" s="301" t="s">
        <v>288</v>
      </c>
      <c r="G158" s="301" t="s">
        <v>1499</v>
      </c>
      <c r="H158" s="301" t="s">
        <v>904</v>
      </c>
    </row>
    <row r="159" spans="5:8" x14ac:dyDescent="0.3">
      <c r="E159" s="301" t="s">
        <v>506</v>
      </c>
      <c r="F159" s="301" t="s">
        <v>288</v>
      </c>
      <c r="G159" s="301" t="s">
        <v>1500</v>
      </c>
      <c r="H159" s="301" t="s">
        <v>908</v>
      </c>
    </row>
    <row r="160" spans="5:8" x14ac:dyDescent="0.3">
      <c r="E160" s="301" t="s">
        <v>506</v>
      </c>
      <c r="F160" s="301" t="s">
        <v>288</v>
      </c>
      <c r="G160" s="301" t="s">
        <v>1128</v>
      </c>
      <c r="H160" s="301" t="s">
        <v>1123</v>
      </c>
    </row>
    <row r="161" spans="5:8" x14ac:dyDescent="0.3">
      <c r="E161" s="301" t="s">
        <v>506</v>
      </c>
      <c r="F161" s="301" t="s">
        <v>297</v>
      </c>
      <c r="G161" s="301" t="s">
        <v>759</v>
      </c>
      <c r="H161" s="301" t="s">
        <v>296</v>
      </c>
    </row>
    <row r="162" spans="5:8" x14ac:dyDescent="0.3">
      <c r="E162" s="301" t="s">
        <v>506</v>
      </c>
      <c r="F162" s="301" t="s">
        <v>297</v>
      </c>
      <c r="G162" s="301" t="s">
        <v>1135</v>
      </c>
      <c r="H162" s="301" t="s">
        <v>1120</v>
      </c>
    </row>
    <row r="163" spans="5:8" x14ac:dyDescent="0.3">
      <c r="E163" s="301" t="s">
        <v>506</v>
      </c>
      <c r="F163" s="301" t="s">
        <v>297</v>
      </c>
      <c r="G163" s="301" t="s">
        <v>1186</v>
      </c>
      <c r="H163" s="301" t="s">
        <v>1168</v>
      </c>
    </row>
    <row r="164" spans="5:8" x14ac:dyDescent="0.3">
      <c r="E164" s="301" t="s">
        <v>506</v>
      </c>
      <c r="F164" s="301" t="s">
        <v>297</v>
      </c>
      <c r="G164" s="301" t="s">
        <v>1501</v>
      </c>
      <c r="H164" s="301" t="s">
        <v>1272</v>
      </c>
    </row>
    <row r="165" spans="5:8" x14ac:dyDescent="0.3">
      <c r="E165" s="301" t="s">
        <v>506</v>
      </c>
      <c r="F165" s="301" t="s">
        <v>297</v>
      </c>
      <c r="G165" s="301" t="s">
        <v>1189</v>
      </c>
      <c r="H165" s="301" t="s">
        <v>1171</v>
      </c>
    </row>
    <row r="166" spans="5:8" x14ac:dyDescent="0.3">
      <c r="E166" s="301" t="s">
        <v>506</v>
      </c>
      <c r="F166" s="301" t="s">
        <v>1198</v>
      </c>
      <c r="G166" s="301" t="s">
        <v>1195</v>
      </c>
      <c r="H166" s="301" t="s">
        <v>1183</v>
      </c>
    </row>
    <row r="167" spans="5:8" x14ac:dyDescent="0.3">
      <c r="E167" s="301" t="s">
        <v>506</v>
      </c>
      <c r="F167" s="301" t="s">
        <v>494</v>
      </c>
      <c r="G167" s="301" t="s">
        <v>1550</v>
      </c>
    </row>
    <row r="168" spans="5:8" x14ac:dyDescent="0.3">
      <c r="E168" s="301" t="s">
        <v>506</v>
      </c>
      <c r="G168" s="301" t="s">
        <v>1551</v>
      </c>
    </row>
    <row r="169" spans="5:8" x14ac:dyDescent="0.3">
      <c r="E169" s="301" t="s">
        <v>506</v>
      </c>
      <c r="G169" s="301" t="s">
        <v>1552</v>
      </c>
    </row>
    <row r="170" spans="5:8" x14ac:dyDescent="0.3">
      <c r="E170" s="301" t="s">
        <v>506</v>
      </c>
      <c r="G170" s="301" t="s">
        <v>1553</v>
      </c>
    </row>
    <row r="171" spans="5:8" x14ac:dyDescent="0.3">
      <c r="E171" s="301" t="s">
        <v>506</v>
      </c>
      <c r="G171" s="301" t="s">
        <v>1554</v>
      </c>
    </row>
    <row r="172" spans="5:8" x14ac:dyDescent="0.3">
      <c r="E172" s="301" t="s">
        <v>378</v>
      </c>
      <c r="F172" s="301" t="s">
        <v>237</v>
      </c>
      <c r="G172" s="301" t="s">
        <v>1634</v>
      </c>
      <c r="H172" s="301" t="s">
        <v>1619</v>
      </c>
    </row>
    <row r="173" spans="5:8" x14ac:dyDescent="0.3">
      <c r="E173" s="301" t="s">
        <v>378</v>
      </c>
      <c r="F173" s="301" t="s">
        <v>237</v>
      </c>
      <c r="G173" s="301" t="s">
        <v>1712</v>
      </c>
      <c r="H173" s="301" t="s">
        <v>1653</v>
      </c>
    </row>
    <row r="174" spans="5:8" x14ac:dyDescent="0.3">
      <c r="E174" s="301" t="s">
        <v>378</v>
      </c>
      <c r="F174" s="301" t="s">
        <v>237</v>
      </c>
      <c r="G174" s="301" t="s">
        <v>1660</v>
      </c>
      <c r="H174" s="301" t="s">
        <v>1655</v>
      </c>
    </row>
    <row r="175" spans="5:8" x14ac:dyDescent="0.3">
      <c r="E175" s="301" t="s">
        <v>378</v>
      </c>
      <c r="F175" s="301" t="s">
        <v>237</v>
      </c>
      <c r="G175" s="301" t="s">
        <v>1683</v>
      </c>
      <c r="H175" s="301" t="s">
        <v>1682</v>
      </c>
    </row>
    <row r="176" spans="5:8" x14ac:dyDescent="0.3">
      <c r="E176" s="301" t="s">
        <v>378</v>
      </c>
      <c r="F176" s="301" t="s">
        <v>237</v>
      </c>
      <c r="G176" s="301" t="s">
        <v>1688</v>
      </c>
      <c r="H176" s="301" t="s">
        <v>1618</v>
      </c>
    </row>
    <row r="177" spans="5:8" x14ac:dyDescent="0.3">
      <c r="E177" s="301" t="s">
        <v>378</v>
      </c>
      <c r="F177" s="301" t="s">
        <v>309</v>
      </c>
      <c r="G177" s="695" t="s">
        <v>1697</v>
      </c>
      <c r="H177" s="695" t="s">
        <v>1657</v>
      </c>
    </row>
    <row r="178" spans="5:8" x14ac:dyDescent="0.3">
      <c r="E178" s="301" t="s">
        <v>506</v>
      </c>
      <c r="F178" s="301" t="s">
        <v>146</v>
      </c>
      <c r="G178" s="301" t="s">
        <v>1724</v>
      </c>
      <c r="H178" s="301" t="s">
        <v>1721</v>
      </c>
    </row>
    <row r="179" spans="5:8" x14ac:dyDescent="0.3">
      <c r="E179" s="301" t="s">
        <v>506</v>
      </c>
      <c r="F179" s="301" t="s">
        <v>146</v>
      </c>
      <c r="G179" s="301" t="s">
        <v>1727</v>
      </c>
      <c r="H179" s="693" t="s">
        <v>839</v>
      </c>
    </row>
    <row r="180" spans="5:8" x14ac:dyDescent="0.3">
      <c r="E180" s="301" t="s">
        <v>506</v>
      </c>
      <c r="F180" s="301" t="s">
        <v>494</v>
      </c>
      <c r="G180" s="697" t="s">
        <v>1729</v>
      </c>
    </row>
    <row r="181" spans="5:8" x14ac:dyDescent="0.3">
      <c r="E181" s="301" t="s">
        <v>506</v>
      </c>
      <c r="F181" s="301" t="s">
        <v>494</v>
      </c>
      <c r="G181" s="697" t="s">
        <v>1730</v>
      </c>
    </row>
  </sheetData>
  <autoFilter ref="A1:J17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AA25"/>
  <sheetViews>
    <sheetView showZeros="0" workbookViewId="0">
      <selection activeCell="C26" sqref="C26"/>
    </sheetView>
  </sheetViews>
  <sheetFormatPr defaultRowHeight="14.4" x14ac:dyDescent="0.3"/>
  <cols>
    <col min="1" max="1" width="22.6640625" bestFit="1" customWidth="1"/>
    <col min="2" max="2" width="33.88671875" bestFit="1" customWidth="1"/>
    <col min="3" max="3" width="34" bestFit="1" customWidth="1"/>
    <col min="4" max="4" width="36.6640625" bestFit="1" customWidth="1"/>
    <col min="5" max="5" width="18" bestFit="1" customWidth="1"/>
    <col min="6" max="6" width="3.5546875" bestFit="1" customWidth="1"/>
    <col min="10" max="10" width="14" customWidth="1"/>
    <col min="11" max="11" width="14" style="38" customWidth="1"/>
    <col min="12" max="12" width="15.33203125" customWidth="1"/>
    <col min="13" max="13" width="15.33203125" style="38" customWidth="1"/>
    <col min="14" max="14" width="14.88671875" customWidth="1"/>
    <col min="16" max="16" width="22.5546875" customWidth="1"/>
    <col min="17" max="17" width="21.44140625" customWidth="1"/>
    <col min="22" max="22" width="16.6640625" bestFit="1" customWidth="1"/>
  </cols>
  <sheetData>
    <row r="1" spans="1:27" s="11" customFormat="1" x14ac:dyDescent="0.3">
      <c r="A1" s="11" t="s">
        <v>446</v>
      </c>
      <c r="B1" s="11" t="s">
        <v>448</v>
      </c>
      <c r="C1" s="11" t="s">
        <v>447</v>
      </c>
      <c r="D1" s="11" t="s">
        <v>406</v>
      </c>
      <c r="E1" s="11" t="s">
        <v>450</v>
      </c>
      <c r="F1" s="11" t="s">
        <v>449</v>
      </c>
      <c r="J1" s="2" t="s">
        <v>392</v>
      </c>
      <c r="K1" s="2"/>
      <c r="L1" s="2" t="s">
        <v>378</v>
      </c>
      <c r="M1" s="2"/>
      <c r="N1" s="2" t="s">
        <v>506</v>
      </c>
      <c r="O1" s="2"/>
      <c r="P1" s="2" t="s">
        <v>398</v>
      </c>
      <c r="Q1" s="2" t="s">
        <v>459</v>
      </c>
      <c r="R1"/>
      <c r="S1" s="2" t="s">
        <v>1068</v>
      </c>
      <c r="V1" s="2" t="s">
        <v>398</v>
      </c>
      <c r="X1" s="2" t="s">
        <v>458</v>
      </c>
      <c r="Y1" s="669" t="s">
        <v>1034</v>
      </c>
      <c r="AA1" s="2" t="s">
        <v>457</v>
      </c>
    </row>
    <row r="2" spans="1:27" x14ac:dyDescent="0.3">
      <c r="A2" t="s">
        <v>415</v>
      </c>
      <c r="B2" t="s">
        <v>439</v>
      </c>
      <c r="C2" t="s">
        <v>429</v>
      </c>
      <c r="D2" t="s">
        <v>432</v>
      </c>
      <c r="E2" s="38">
        <v>12</v>
      </c>
      <c r="F2">
        <v>2</v>
      </c>
      <c r="J2" s="13" t="s">
        <v>378</v>
      </c>
      <c r="K2" s="13"/>
      <c r="L2" s="13" t="s">
        <v>5</v>
      </c>
      <c r="M2" s="13"/>
      <c r="N2" s="13" t="s">
        <v>146</v>
      </c>
      <c r="O2" s="13"/>
      <c r="P2" s="13" t="s">
        <v>393</v>
      </c>
      <c r="Q2" s="13" t="s">
        <v>454</v>
      </c>
      <c r="S2" t="s">
        <v>1069</v>
      </c>
      <c r="V2" t="s">
        <v>847</v>
      </c>
      <c r="X2" s="301" t="s">
        <v>775</v>
      </c>
      <c r="Y2" s="661"/>
      <c r="AA2" t="s">
        <v>464</v>
      </c>
    </row>
    <row r="3" spans="1:27" x14ac:dyDescent="0.3">
      <c r="A3" t="s">
        <v>1014</v>
      </c>
      <c r="B3" t="s">
        <v>1016</v>
      </c>
      <c r="C3" t="s">
        <v>1017</v>
      </c>
      <c r="D3" t="s">
        <v>1018</v>
      </c>
      <c r="E3" s="38">
        <v>12</v>
      </c>
      <c r="F3">
        <v>1</v>
      </c>
      <c r="J3" s="13" t="s">
        <v>379</v>
      </c>
      <c r="K3" s="13"/>
      <c r="L3" s="13" t="s">
        <v>27</v>
      </c>
      <c r="M3" s="13"/>
      <c r="N3" s="13" t="s">
        <v>166</v>
      </c>
      <c r="O3" s="13"/>
      <c r="P3" s="13" t="s">
        <v>394</v>
      </c>
      <c r="Q3" s="13" t="s">
        <v>455</v>
      </c>
      <c r="S3" t="s">
        <v>1070</v>
      </c>
      <c r="V3" t="s">
        <v>507</v>
      </c>
      <c r="X3" s="301" t="s">
        <v>1692</v>
      </c>
      <c r="Y3" t="s">
        <v>993</v>
      </c>
      <c r="AA3" t="s">
        <v>466</v>
      </c>
    </row>
    <row r="4" spans="1:27" x14ac:dyDescent="0.3">
      <c r="A4" t="s">
        <v>421</v>
      </c>
      <c r="B4" t="s">
        <v>440</v>
      </c>
      <c r="C4" t="s">
        <v>425</v>
      </c>
      <c r="D4" t="s">
        <v>435</v>
      </c>
      <c r="E4" s="38">
        <v>12</v>
      </c>
      <c r="F4">
        <v>1</v>
      </c>
      <c r="J4" s="13" t="s">
        <v>506</v>
      </c>
      <c r="K4" s="13"/>
      <c r="L4" s="13" t="s">
        <v>480</v>
      </c>
      <c r="M4" s="13"/>
      <c r="N4" s="13" t="s">
        <v>230</v>
      </c>
      <c r="O4" s="13"/>
      <c r="P4" s="13" t="s">
        <v>395</v>
      </c>
      <c r="Q4" s="13" t="s">
        <v>453</v>
      </c>
      <c r="V4" t="s">
        <v>1556</v>
      </c>
      <c r="X4" s="301" t="s">
        <v>1691</v>
      </c>
    </row>
    <row r="5" spans="1:27" x14ac:dyDescent="0.3">
      <c r="A5" t="s">
        <v>416</v>
      </c>
      <c r="B5" t="s">
        <v>441</v>
      </c>
      <c r="C5" t="s">
        <v>430</v>
      </c>
      <c r="D5" t="s">
        <v>433</v>
      </c>
      <c r="E5" s="38">
        <v>12</v>
      </c>
      <c r="F5">
        <v>1</v>
      </c>
      <c r="J5" s="2"/>
      <c r="K5" s="2"/>
      <c r="L5" s="13" t="s">
        <v>361</v>
      </c>
      <c r="M5" s="13"/>
      <c r="N5" s="13" t="s">
        <v>288</v>
      </c>
      <c r="O5" s="13"/>
      <c r="P5" s="13" t="s">
        <v>396</v>
      </c>
      <c r="Q5" s="13"/>
      <c r="V5" t="s">
        <v>1881</v>
      </c>
    </row>
    <row r="6" spans="1:27" x14ac:dyDescent="0.3">
      <c r="A6" t="s">
        <v>536</v>
      </c>
      <c r="B6" t="s">
        <v>442</v>
      </c>
      <c r="C6" t="s">
        <v>434</v>
      </c>
      <c r="D6" t="s">
        <v>438</v>
      </c>
      <c r="E6" s="38">
        <v>12</v>
      </c>
      <c r="F6">
        <v>2</v>
      </c>
      <c r="J6" s="13"/>
      <c r="K6" s="13"/>
      <c r="L6" s="13" t="s">
        <v>144</v>
      </c>
      <c r="M6" s="13"/>
      <c r="N6" s="13" t="s">
        <v>297</v>
      </c>
      <c r="O6" s="13"/>
      <c r="P6" s="13" t="s">
        <v>397</v>
      </c>
      <c r="Q6" s="13"/>
      <c r="V6" t="s">
        <v>1693</v>
      </c>
    </row>
    <row r="7" spans="1:27" x14ac:dyDescent="0.3">
      <c r="A7" t="s">
        <v>400</v>
      </c>
      <c r="B7" t="s">
        <v>443</v>
      </c>
      <c r="C7" t="s">
        <v>426</v>
      </c>
      <c r="D7" t="s">
        <v>436</v>
      </c>
      <c r="E7" s="38">
        <v>12</v>
      </c>
      <c r="F7">
        <v>1</v>
      </c>
      <c r="J7" s="13"/>
      <c r="K7" s="13"/>
      <c r="L7" s="38" t="s">
        <v>817</v>
      </c>
      <c r="N7" s="13" t="s">
        <v>719</v>
      </c>
      <c r="O7" s="13"/>
      <c r="P7" s="13" t="s">
        <v>1882</v>
      </c>
      <c r="Q7" s="13"/>
    </row>
    <row r="8" spans="1:27" x14ac:dyDescent="0.3">
      <c r="A8" t="s">
        <v>422</v>
      </c>
      <c r="B8" t="s">
        <v>444</v>
      </c>
      <c r="C8" t="s">
        <v>427</v>
      </c>
      <c r="D8" t="s">
        <v>437</v>
      </c>
      <c r="E8" s="38">
        <v>12</v>
      </c>
      <c r="F8">
        <v>1</v>
      </c>
      <c r="J8" s="13"/>
      <c r="K8" s="13"/>
      <c r="L8" s="13" t="s">
        <v>151</v>
      </c>
      <c r="M8" s="13"/>
      <c r="N8" s="13" t="s">
        <v>1198</v>
      </c>
      <c r="O8" s="13"/>
      <c r="P8" s="13"/>
      <c r="Q8" s="13"/>
    </row>
    <row r="9" spans="1:27" x14ac:dyDescent="0.3">
      <c r="A9" t="s">
        <v>423</v>
      </c>
      <c r="B9" t="s">
        <v>445</v>
      </c>
      <c r="C9" t="s">
        <v>428</v>
      </c>
      <c r="D9" t="s">
        <v>431</v>
      </c>
      <c r="E9" s="38">
        <v>12</v>
      </c>
      <c r="F9">
        <v>1</v>
      </c>
      <c r="J9" s="13"/>
      <c r="K9" s="13"/>
      <c r="L9" s="13" t="s">
        <v>173</v>
      </c>
      <c r="M9" s="13"/>
      <c r="N9" s="13"/>
      <c r="O9" s="13"/>
      <c r="P9" s="13"/>
      <c r="Q9" s="13"/>
    </row>
    <row r="10" spans="1:27" x14ac:dyDescent="0.3">
      <c r="A10" t="s">
        <v>525</v>
      </c>
      <c r="B10" s="30" t="s">
        <v>527</v>
      </c>
      <c r="C10" s="30" t="s">
        <v>529</v>
      </c>
      <c r="D10" s="30" t="s">
        <v>531</v>
      </c>
      <c r="E10" s="38">
        <v>12</v>
      </c>
      <c r="F10" s="30">
        <v>1</v>
      </c>
      <c r="J10" s="13"/>
      <c r="K10" s="13"/>
      <c r="L10" s="13" t="s">
        <v>180</v>
      </c>
      <c r="M10" s="13"/>
      <c r="N10" s="13"/>
      <c r="O10" s="13"/>
      <c r="P10" s="13"/>
      <c r="Q10" s="13"/>
    </row>
    <row r="11" spans="1:27" x14ac:dyDescent="0.3">
      <c r="A11" t="s">
        <v>526</v>
      </c>
      <c r="B11" s="30" t="s">
        <v>528</v>
      </c>
      <c r="C11" s="30" t="s">
        <v>530</v>
      </c>
      <c r="D11" s="30" t="s">
        <v>532</v>
      </c>
      <c r="E11" s="38">
        <v>12</v>
      </c>
      <c r="F11" s="30">
        <v>5</v>
      </c>
      <c r="J11" s="13"/>
      <c r="K11" s="13"/>
      <c r="L11" s="13" t="s">
        <v>185</v>
      </c>
      <c r="M11" s="13"/>
      <c r="N11" s="13"/>
      <c r="O11" s="13"/>
      <c r="P11" s="13"/>
      <c r="Q11" s="13"/>
    </row>
    <row r="12" spans="1:27" x14ac:dyDescent="0.3">
      <c r="A12" t="s">
        <v>848</v>
      </c>
      <c r="B12" s="38" t="s">
        <v>849</v>
      </c>
      <c r="C12" s="38" t="s">
        <v>850</v>
      </c>
      <c r="D12" s="38" t="s">
        <v>851</v>
      </c>
      <c r="E12" s="38">
        <v>12</v>
      </c>
      <c r="F12">
        <v>2</v>
      </c>
      <c r="J12" s="13"/>
      <c r="K12" s="13"/>
      <c r="L12" s="13" t="s">
        <v>377</v>
      </c>
      <c r="M12" s="13"/>
      <c r="N12" s="13"/>
      <c r="O12" s="13"/>
      <c r="P12" s="13"/>
      <c r="Q12" s="13"/>
    </row>
    <row r="13" spans="1:27" x14ac:dyDescent="0.3">
      <c r="A13" s="38" t="s">
        <v>852</v>
      </c>
      <c r="B13" s="38" t="s">
        <v>853</v>
      </c>
      <c r="C13" s="38" t="s">
        <v>854</v>
      </c>
      <c r="D13" s="38" t="s">
        <v>855</v>
      </c>
      <c r="E13" s="38">
        <v>12</v>
      </c>
      <c r="F13">
        <v>3</v>
      </c>
      <c r="J13" s="13"/>
      <c r="K13" s="13"/>
      <c r="L13" s="13" t="s">
        <v>237</v>
      </c>
      <c r="M13" s="13"/>
      <c r="N13" s="13"/>
      <c r="O13" s="13"/>
      <c r="P13" s="13"/>
      <c r="Q13" s="13"/>
    </row>
    <row r="14" spans="1:27" x14ac:dyDescent="0.3">
      <c r="A14" t="s">
        <v>856</v>
      </c>
      <c r="B14" s="38" t="s">
        <v>857</v>
      </c>
      <c r="C14" s="38" t="s">
        <v>858</v>
      </c>
      <c r="D14" s="38" t="s">
        <v>859</v>
      </c>
      <c r="E14" s="38">
        <v>12</v>
      </c>
      <c r="F14">
        <v>10</v>
      </c>
      <c r="J14" s="13"/>
      <c r="K14" s="13"/>
      <c r="L14" s="13" t="s">
        <v>299</v>
      </c>
      <c r="M14" s="13"/>
      <c r="N14" s="13"/>
      <c r="O14" s="13"/>
      <c r="P14" s="13"/>
      <c r="Q14" s="13"/>
    </row>
    <row r="15" spans="1:27" x14ac:dyDescent="0.3">
      <c r="A15" t="s">
        <v>945</v>
      </c>
      <c r="B15" t="s">
        <v>946</v>
      </c>
      <c r="C15" s="38" t="s">
        <v>947</v>
      </c>
      <c r="D15" s="38" t="s">
        <v>948</v>
      </c>
      <c r="E15" s="38">
        <v>24</v>
      </c>
      <c r="F15">
        <v>2</v>
      </c>
      <c r="J15" s="13"/>
      <c r="K15" s="13"/>
      <c r="L15" s="13" t="s">
        <v>301</v>
      </c>
      <c r="M15" s="13"/>
      <c r="N15" s="13"/>
      <c r="O15" s="13"/>
      <c r="P15" s="13"/>
      <c r="Q15" s="13"/>
    </row>
    <row r="16" spans="1:27" x14ac:dyDescent="0.3">
      <c r="A16" t="s">
        <v>1071</v>
      </c>
      <c r="B16" t="s">
        <v>1073</v>
      </c>
      <c r="C16" t="s">
        <v>1074</v>
      </c>
      <c r="D16" t="s">
        <v>1075</v>
      </c>
      <c r="E16">
        <v>12</v>
      </c>
      <c r="F16">
        <v>1</v>
      </c>
      <c r="J16" s="13"/>
      <c r="K16" s="13"/>
      <c r="L16" s="13" t="s">
        <v>746</v>
      </c>
      <c r="M16" s="13"/>
      <c r="N16" s="13"/>
      <c r="O16" s="13"/>
      <c r="P16" s="13"/>
      <c r="Q16" s="13"/>
    </row>
    <row r="17" spans="1:17" x14ac:dyDescent="0.3">
      <c r="J17" s="13"/>
      <c r="K17" s="13"/>
      <c r="L17" s="13" t="s">
        <v>309</v>
      </c>
      <c r="M17" s="13"/>
      <c r="N17" s="13"/>
      <c r="O17" s="13"/>
      <c r="P17" s="13"/>
      <c r="Q17" s="13"/>
    </row>
    <row r="18" spans="1:17" x14ac:dyDescent="0.3">
      <c r="J18" s="13"/>
      <c r="K18" s="13"/>
      <c r="L18" s="13" t="s">
        <v>1134</v>
      </c>
      <c r="M18" s="13"/>
      <c r="N18" s="13"/>
      <c r="O18" s="13"/>
      <c r="P18" s="13"/>
      <c r="Q18" s="13"/>
    </row>
    <row r="19" spans="1:17" x14ac:dyDescent="0.3">
      <c r="J19" s="13"/>
      <c r="K19" s="13"/>
      <c r="L19" s="13"/>
      <c r="M19" s="13"/>
      <c r="N19" s="13"/>
      <c r="O19" s="13"/>
      <c r="P19" s="13"/>
      <c r="Q19" s="13"/>
    </row>
    <row r="20" spans="1:17" x14ac:dyDescent="0.3">
      <c r="A20" s="2"/>
      <c r="J20" s="13"/>
      <c r="K20" s="13"/>
      <c r="L20" s="13"/>
      <c r="M20" s="13"/>
      <c r="N20" s="13"/>
      <c r="O20" s="13"/>
      <c r="P20" s="13"/>
      <c r="Q20" s="13"/>
    </row>
    <row r="21" spans="1:17" x14ac:dyDescent="0.3">
      <c r="L21" s="13"/>
    </row>
    <row r="22" spans="1:17" x14ac:dyDescent="0.3">
      <c r="L22" s="13"/>
    </row>
    <row r="23" spans="1:17" x14ac:dyDescent="0.3">
      <c r="A23" t="s">
        <v>975</v>
      </c>
      <c r="B23" s="17">
        <v>43585</v>
      </c>
      <c r="L23" s="13"/>
    </row>
    <row r="24" spans="1:17" x14ac:dyDescent="0.3">
      <c r="A24" t="s">
        <v>976</v>
      </c>
      <c r="B24" s="73">
        <v>41640</v>
      </c>
      <c r="C24" s="73"/>
      <c r="L24" s="13"/>
    </row>
    <row r="25" spans="1:17" x14ac:dyDescent="0.3">
      <c r="B25" s="73"/>
    </row>
  </sheetData>
  <sortState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52"/>
  <sheetViews>
    <sheetView workbookViewId="0">
      <selection activeCell="B26" sqref="B26"/>
    </sheetView>
  </sheetViews>
  <sheetFormatPr defaultRowHeight="14.4" x14ac:dyDescent="0.3"/>
  <cols>
    <col min="1" max="1" width="17" customWidth="1"/>
    <col min="2" max="2" width="12" customWidth="1"/>
    <col min="3" max="3" width="10.5546875" bestFit="1" customWidth="1"/>
    <col min="4" max="4" width="11.5546875" customWidth="1"/>
  </cols>
  <sheetData>
    <row r="1" spans="1:5" x14ac:dyDescent="0.3">
      <c r="A1" t="s">
        <v>464</v>
      </c>
      <c r="D1" t="s">
        <v>419</v>
      </c>
    </row>
    <row r="2" spans="1:5" x14ac:dyDescent="0.3">
      <c r="A2" t="s">
        <v>507</v>
      </c>
      <c r="B2" s="366">
        <f>SUMIFS(CampList[Total],CampList[Type of Accomodation],Graphs!$A2,CampList[Status],Definition!$X$3,CampList[Accessibility],Definition!$AA$2)</f>
        <v>60421</v>
      </c>
      <c r="C2" s="381"/>
      <c r="D2" s="301" t="s">
        <v>1392</v>
      </c>
      <c r="E2" s="301"/>
    </row>
    <row r="3" spans="1:5" x14ac:dyDescent="0.3">
      <c r="A3" t="s">
        <v>1382</v>
      </c>
      <c r="B3" s="366">
        <f>SUMIFS(CampList[Total],CampList[Type of Accomodation],Graphs!$A3,CampList[Status],Definition!$X$3,CampList[Accessibility],Definition!$AA$2)</f>
        <v>0</v>
      </c>
      <c r="C3" s="381"/>
      <c r="D3" t="s">
        <v>1256</v>
      </c>
      <c r="E3" s="301">
        <f>COUNTIF('NFI Distributions'!D5:D61,"NRC")</f>
        <v>2</v>
      </c>
    </row>
    <row r="4" spans="1:5" x14ac:dyDescent="0.3">
      <c r="A4" t="s">
        <v>847</v>
      </c>
      <c r="B4" s="366">
        <f>SUMIFS(CampList[Total],CampList[Type of Accomodation],Graphs!$A4,CampList[Status],Definition!$X$3,CampList[Accessibility],Definition!$AA$2)</f>
        <v>0</v>
      </c>
      <c r="C4" s="382"/>
      <c r="D4" t="s">
        <v>1390</v>
      </c>
      <c r="E4">
        <f>COUNTIF('NFI Distributions'!D40:D62,"NRC/KBC")</f>
        <v>0</v>
      </c>
    </row>
    <row r="5" spans="1:5" x14ac:dyDescent="0.3">
      <c r="A5" t="s">
        <v>1376</v>
      </c>
      <c r="B5" s="366">
        <f>SUMIFS(CampList[Total],CampList[Type of Accomodation],Graphs!$A5,CampList[Status],Definition!$X$3,CampList[Accessibility],Definition!$AA$2)</f>
        <v>2687</v>
      </c>
      <c r="C5" s="381"/>
      <c r="D5" t="s">
        <v>778</v>
      </c>
      <c r="E5" s="301">
        <f>COUNTIF('NFI Distributions'!D41:D63,"Metta")</f>
        <v>0</v>
      </c>
    </row>
    <row r="6" spans="1:5" x14ac:dyDescent="0.3">
      <c r="A6" s="301"/>
      <c r="B6" s="366"/>
      <c r="D6" t="s">
        <v>825</v>
      </c>
      <c r="E6" s="301">
        <f>COUNTIF('NFI Distributions'!D42:D64,"MRCS")</f>
        <v>0</v>
      </c>
    </row>
    <row r="7" spans="1:5" x14ac:dyDescent="0.3">
      <c r="B7" s="366"/>
      <c r="D7" t="s">
        <v>1391</v>
      </c>
      <c r="E7" s="301">
        <f>COUNTIF('NFI Distributions'!D43:D65,"UNHCR/Shalom")</f>
        <v>0</v>
      </c>
    </row>
    <row r="8" spans="1:5" x14ac:dyDescent="0.3">
      <c r="A8" t="s">
        <v>466</v>
      </c>
      <c r="B8" s="366"/>
    </row>
    <row r="9" spans="1:5" x14ac:dyDescent="0.3">
      <c r="A9" s="301" t="s">
        <v>507</v>
      </c>
      <c r="B9" s="366">
        <f>SUMIFS(CampList[Total],CampList[Type of Accomodation],Graphs!$A9,CampList[Status],Definition!$X$3,CampList[Accessibility],Definition!$AA$3)</f>
        <v>37529</v>
      </c>
      <c r="C9" s="381"/>
    </row>
    <row r="10" spans="1:5" x14ac:dyDescent="0.3">
      <c r="A10" s="301" t="s">
        <v>1382</v>
      </c>
      <c r="B10" s="366">
        <f>SUMIFS(CampList[Total],CampList[Type of Accomodation],Graphs!$A10,CampList[Status],Definition!$X$3,CampList[Accessibility],Definition!$AA$3)</f>
        <v>0</v>
      </c>
      <c r="C10" s="381"/>
    </row>
    <row r="11" spans="1:5" x14ac:dyDescent="0.3">
      <c r="A11" s="301" t="s">
        <v>847</v>
      </c>
      <c r="B11" s="366">
        <f>SUMIFS(CampList[Total],CampList[Type of Accomodation],Graphs!$A11,CampList[Status],Definition!$X$3,CampList[Accessibility],Definition!$AA$3)</f>
        <v>872</v>
      </c>
      <c r="C11" s="381"/>
    </row>
    <row r="12" spans="1:5" x14ac:dyDescent="0.3">
      <c r="A12" s="301" t="s">
        <v>1376</v>
      </c>
      <c r="B12" s="366">
        <f>SUMIFS(CampList[Total],CampList[Type of Accomodation],Graphs!$A12,CampList[Status],Definition!$X$3,CampList[Accessibility],Definition!$AA$3)</f>
        <v>1397</v>
      </c>
      <c r="C12" s="381"/>
    </row>
    <row r="13" spans="1:5" s="301" customFormat="1" x14ac:dyDescent="0.3">
      <c r="B13" s="366"/>
      <c r="C13" s="381"/>
    </row>
    <row r="15" spans="1:5" x14ac:dyDescent="0.3">
      <c r="A15" t="s">
        <v>1383</v>
      </c>
    </row>
    <row r="16" spans="1:5" x14ac:dyDescent="0.3">
      <c r="A16" t="s">
        <v>378</v>
      </c>
      <c r="B16">
        <f>SUMIFS(CampList[Total],CampList[Status],Definition!$X$3,CampList[State],Definition!$J$2)</f>
        <v>97514</v>
      </c>
    </row>
    <row r="17" spans="1:5" x14ac:dyDescent="0.3">
      <c r="A17" t="s">
        <v>1148</v>
      </c>
      <c r="B17" s="301">
        <f>SUMIFS(CampList[Total],CampList[Status],Definition!$X$3,CampList[State],Definition!$J$4,CampList[Affected Population],Definition!$Y$3)</f>
        <v>9023</v>
      </c>
    </row>
    <row r="18" spans="1:5" s="301" customFormat="1" x14ac:dyDescent="0.3">
      <c r="D18"/>
      <c r="E18"/>
    </row>
    <row r="19" spans="1:5" x14ac:dyDescent="0.3">
      <c r="A19" t="s">
        <v>1384</v>
      </c>
      <c r="D19" s="301"/>
      <c r="E19" s="301"/>
    </row>
    <row r="20" spans="1:5" x14ac:dyDescent="0.3">
      <c r="A20" t="s">
        <v>466</v>
      </c>
      <c r="B20">
        <f>SUMIFS(CampList[Total],CampList[Status],Definition!$X$3,CampList[Accessibility],Definition!$AA$3)</f>
        <v>39798</v>
      </c>
    </row>
    <row r="21" spans="1:5" x14ac:dyDescent="0.3">
      <c r="A21" t="s">
        <v>464</v>
      </c>
      <c r="B21" s="301">
        <f>SUMIFS(CampList[Total],CampList[Status],Definition!$X$3,CampList[Accessibility],Definition!$AA$2)</f>
        <v>66739</v>
      </c>
    </row>
    <row r="23" spans="1:5" x14ac:dyDescent="0.3">
      <c r="A23" t="s">
        <v>1385</v>
      </c>
    </row>
    <row r="24" spans="1:5" x14ac:dyDescent="0.3">
      <c r="A24" s="255" t="s">
        <v>1147</v>
      </c>
      <c r="B24" s="256" t="s">
        <v>1027</v>
      </c>
    </row>
    <row r="25" spans="1:5" x14ac:dyDescent="0.3">
      <c r="A25" s="257" t="s">
        <v>378</v>
      </c>
      <c r="B25" s="258"/>
    </row>
    <row r="26" spans="1:5" x14ac:dyDescent="0.3">
      <c r="A26" s="259" t="s">
        <v>5</v>
      </c>
      <c r="B26" s="260">
        <f>COUNTIFS(CampList[[#All],[Status]],"open",CampList[[#All],[Township]],"Bhamo")</f>
        <v>0</v>
      </c>
    </row>
    <row r="27" spans="1:5" x14ac:dyDescent="0.3">
      <c r="A27" s="259" t="s">
        <v>27</v>
      </c>
      <c r="B27" s="260">
        <f>COUNTIFS(CampList[[#All],[Status]],"open",CampList[[#All],[Township]],"Chipwi")</f>
        <v>0</v>
      </c>
    </row>
    <row r="28" spans="1:5" x14ac:dyDescent="0.3">
      <c r="A28" s="259" t="s">
        <v>480</v>
      </c>
      <c r="B28" s="260">
        <f>COUNTIFS(CampList[[#All],[Status]],"open",CampList[[#All],[Township]],"Hpakant")</f>
        <v>0</v>
      </c>
    </row>
    <row r="29" spans="1:5" x14ac:dyDescent="0.3">
      <c r="A29" s="259" t="s">
        <v>361</v>
      </c>
      <c r="B29" s="260">
        <f>COUNTIFS(CampList[[#All],[Status]],"open",CampList[[#All],[Township]],"Injangyang")</f>
        <v>0</v>
      </c>
    </row>
    <row r="30" spans="1:5" x14ac:dyDescent="0.3">
      <c r="A30" s="259" t="s">
        <v>144</v>
      </c>
      <c r="B30" s="260">
        <f>COUNTIFS(CampList[[#All],[Status]],"open",CampList[[#All],[Township]],"Khaunglanhpu")</f>
        <v>0</v>
      </c>
    </row>
    <row r="31" spans="1:5" x14ac:dyDescent="0.3">
      <c r="A31" s="259" t="s">
        <v>817</v>
      </c>
      <c r="B31" s="260">
        <f>COUNTIFS(CampList[[#All],[Status]],"open",CampList[[#All],[Township]],"Manchanbaw")</f>
        <v>0</v>
      </c>
    </row>
    <row r="32" spans="1:5" x14ac:dyDescent="0.3">
      <c r="A32" s="259" t="s">
        <v>151</v>
      </c>
      <c r="B32" s="260">
        <f>COUNTIFS(CampList[[#All],[Status]],"open",CampList[[#All],[Township]],"Mansi")</f>
        <v>0</v>
      </c>
    </row>
    <row r="33" spans="1:2" x14ac:dyDescent="0.3">
      <c r="A33" s="259" t="s">
        <v>173</v>
      </c>
      <c r="B33" s="260">
        <f>COUNTIFS(CampList[[#All],[Status]],"open",CampList[[#All],[Township]],"Mogaung")</f>
        <v>0</v>
      </c>
    </row>
    <row r="34" spans="1:2" x14ac:dyDescent="0.3">
      <c r="A34" s="259" t="s">
        <v>180</v>
      </c>
      <c r="B34" s="260">
        <f>COUNTIFS(CampList[[#All],[Status]],"open",CampList[[#All],[Township]],"Mohnyin")</f>
        <v>0</v>
      </c>
    </row>
    <row r="35" spans="1:2" x14ac:dyDescent="0.3">
      <c r="A35" s="259" t="s">
        <v>185</v>
      </c>
      <c r="B35" s="260">
        <f>COUNTIFS(CampList[[#All],[Status]],"open",CampList[[#All],[Township]],"Momauk")</f>
        <v>0</v>
      </c>
    </row>
    <row r="36" spans="1:2" x14ac:dyDescent="0.3">
      <c r="A36" s="259" t="s">
        <v>237</v>
      </c>
      <c r="B36" s="260">
        <f>COUNTIFS(CampList[[#All],[Status]],"open",CampList[[#All],[Township]],"Myitkyina")</f>
        <v>0</v>
      </c>
    </row>
    <row r="37" spans="1:2" x14ac:dyDescent="0.3">
      <c r="A37" s="259" t="s">
        <v>299</v>
      </c>
      <c r="B37" s="260">
        <f>COUNTIFS(CampList[[#All],[Status]],"open",CampList[[#All],[Township]],"Puta-O")</f>
        <v>0</v>
      </c>
    </row>
    <row r="38" spans="1:2" x14ac:dyDescent="0.3">
      <c r="A38" s="259" t="s">
        <v>301</v>
      </c>
      <c r="B38" s="260">
        <f>COUNTIFS(CampList[[#All],[Status]],"open",CampList[[#All],[Township]],"Shwegu")</f>
        <v>0</v>
      </c>
    </row>
    <row r="39" spans="1:2" x14ac:dyDescent="0.3">
      <c r="A39" s="259" t="s">
        <v>746</v>
      </c>
      <c r="B39" s="260">
        <f>COUNTIFS(CampList[[#All],[Status]],"open",CampList[[#All],[Township]],"Sumprabum")</f>
        <v>0</v>
      </c>
    </row>
    <row r="40" spans="1:2" x14ac:dyDescent="0.3">
      <c r="A40" s="259" t="s">
        <v>1134</v>
      </c>
      <c r="B40" s="260">
        <f>COUNTIFS(CampList[[#All],[Status]],"open",CampList[[#All],[Township]],"Tanai")</f>
        <v>0</v>
      </c>
    </row>
    <row r="41" spans="1:2" x14ac:dyDescent="0.3">
      <c r="A41" s="259" t="s">
        <v>309</v>
      </c>
      <c r="B41" s="260">
        <f>COUNTIFS(CampList[[#All],[Status]],"open",CampList[[#All],[Township]],"Waingmaw")</f>
        <v>0</v>
      </c>
    </row>
    <row r="42" spans="1:2" x14ac:dyDescent="0.3">
      <c r="A42" s="261" t="s">
        <v>779</v>
      </c>
      <c r="B42" s="262">
        <f>SUM(B26:B41)</f>
        <v>0</v>
      </c>
    </row>
    <row r="43" spans="1:2" x14ac:dyDescent="0.3">
      <c r="A43" s="257" t="s">
        <v>1148</v>
      </c>
      <c r="B43" s="258"/>
    </row>
    <row r="44" spans="1:2" x14ac:dyDescent="0.3">
      <c r="A44" s="263" t="s">
        <v>719</v>
      </c>
      <c r="B44" s="260">
        <f>COUNTIFS(CampList[[#All],[Status]],"open",CampList[[#All],[Township]],"Hseni")</f>
        <v>0</v>
      </c>
    </row>
    <row r="45" spans="1:2" x14ac:dyDescent="0.3">
      <c r="A45" s="263" t="s">
        <v>146</v>
      </c>
      <c r="B45" s="260">
        <f>COUNTIFS(CampList[[#All],[Status]],"open",CampList[[#All],[Township]],"Kutkai")</f>
        <v>0</v>
      </c>
    </row>
    <row r="46" spans="1:2" x14ac:dyDescent="0.3">
      <c r="A46" s="263" t="s">
        <v>166</v>
      </c>
      <c r="B46" s="260">
        <f>COUNTIFS(CampList[[#All],[Status]],"open",CampList[[#All],[Township]],"Manton")</f>
        <v>0</v>
      </c>
    </row>
    <row r="47" spans="1:2" x14ac:dyDescent="0.3">
      <c r="A47" s="259" t="s">
        <v>230</v>
      </c>
      <c r="B47" s="260">
        <f>COUNTIFS(CampList[[#All],[Status]],"open",CampList[[#All],[Township]],"Muse")</f>
        <v>0</v>
      </c>
    </row>
    <row r="48" spans="1:2" x14ac:dyDescent="0.3">
      <c r="A48" s="259" t="s">
        <v>288</v>
      </c>
      <c r="B48" s="260">
        <f>COUNTIFS(CampList[[#All],[Status]],"open",CampList[[#All],[Township]],"Namhkan")</f>
        <v>0</v>
      </c>
    </row>
    <row r="49" spans="1:2" x14ac:dyDescent="0.3">
      <c r="A49" s="259" t="s">
        <v>1198</v>
      </c>
      <c r="B49" s="260">
        <f>COUNTIFS(CampList[[#All],[Status]],"open",CampList[[#All],[Township]],"Hsipaw")</f>
        <v>0</v>
      </c>
    </row>
    <row r="50" spans="1:2" x14ac:dyDescent="0.3">
      <c r="A50" s="259" t="s">
        <v>297</v>
      </c>
      <c r="B50" s="260">
        <f>COUNTIFS(CampList[[#All],[Status]],"open",CampList[[#All],[Township]],"Namtu")</f>
        <v>0</v>
      </c>
    </row>
    <row r="51" spans="1:2" x14ac:dyDescent="0.3">
      <c r="A51" s="264" t="s">
        <v>1149</v>
      </c>
      <c r="B51" s="262">
        <f>SUM(B44:B50)</f>
        <v>0</v>
      </c>
    </row>
    <row r="52" spans="1:2" x14ac:dyDescent="0.3">
      <c r="A52" s="255" t="s">
        <v>411</v>
      </c>
      <c r="B52" s="262">
        <f>SUM(B51+B42)</f>
        <v>0</v>
      </c>
    </row>
  </sheetData>
  <conditionalFormatting sqref="B26:B42 B44:B51">
    <cfRule type="dataBar" priority="1">
      <dataBar>
        <cfvo type="min"/>
        <cfvo type="max"/>
        <color rgb="FFFFB628"/>
      </dataBar>
      <extLst>
        <ext xmlns:x14="http://schemas.microsoft.com/office/spreadsheetml/2009/9/main" uri="{B025F937-C7B1-47D3-B67F-A62EFF666E3E}">
          <x14:id>{85A00642-8D96-44EB-9D0D-AF201E7695B5}</x14:id>
        </ext>
      </extLst>
    </cfRule>
  </conditionalFormatting>
  <conditionalFormatting sqref="B52">
    <cfRule type="dataBar" priority="4">
      <dataBar>
        <cfvo type="min"/>
        <cfvo type="max"/>
        <color rgb="FFFFB628"/>
      </dataBar>
      <extLst>
        <ext xmlns:x14="http://schemas.microsoft.com/office/spreadsheetml/2009/9/main" uri="{B025F937-C7B1-47D3-B67F-A62EFF666E3E}">
          <x14:id>{023AD947-70C9-4051-9911-63B9B42F41F0}</x14:id>
        </ext>
      </extLst>
    </cfRule>
  </conditionalFormatting>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85A00642-8D96-44EB-9D0D-AF201E7695B5}">
            <x14:dataBar minLength="0" maxLength="100" border="1" negativeBarBorderColorSameAsPositive="0">
              <x14:cfvo type="autoMin"/>
              <x14:cfvo type="autoMax"/>
              <x14:borderColor rgb="FFFFB628"/>
              <x14:negativeFillColor rgb="FFFF0000"/>
              <x14:negativeBorderColor rgb="FFFF0000"/>
              <x14:axisColor rgb="FF000000"/>
            </x14:dataBar>
          </x14:cfRule>
          <xm:sqref>B26:B42 B44:B51</xm:sqref>
        </x14:conditionalFormatting>
        <x14:conditionalFormatting xmlns:xm="http://schemas.microsoft.com/office/excel/2006/main">
          <x14:cfRule type="dataBar" id="{023AD947-70C9-4051-9911-63B9B42F41F0}">
            <x14:dataBar minLength="0" maxLength="100" border="1" negativeBarBorderColorSameAsPositive="0">
              <x14:cfvo type="autoMin"/>
              <x14:cfvo type="autoMax"/>
              <x14:borderColor rgb="FFFFB628"/>
              <x14:negativeFillColor rgb="FFFF0000"/>
              <x14:negativeBorderColor rgb="FFFF0000"/>
              <x14:axisColor rgb="FF000000"/>
            </x14:dataBar>
          </x14:cfRule>
          <xm:sqref>B52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2" tint="-0.249977111117893"/>
    <pageSetUpPr fitToPage="1"/>
  </sheetPr>
  <dimension ref="B1:BH253"/>
  <sheetViews>
    <sheetView showGridLines="0" showZeros="0" zoomScale="72" zoomScaleNormal="72" workbookViewId="0">
      <pane ySplit="2" topLeftCell="A3" activePane="bottomLeft" state="frozen"/>
      <selection activeCell="AS915" sqref="AS915"/>
      <selection pane="bottomLeft" activeCell="AD19" sqref="AD19"/>
    </sheetView>
  </sheetViews>
  <sheetFormatPr defaultColWidth="9.109375" defaultRowHeight="14.4" x14ac:dyDescent="0.3"/>
  <cols>
    <col min="1" max="1" width="1.88671875" style="594" customWidth="1"/>
    <col min="2" max="2" width="17.44140625" style="594" customWidth="1"/>
    <col min="3" max="3" width="18.77734375" style="594" customWidth="1"/>
    <col min="4" max="4" width="7.109375" style="594" customWidth="1"/>
    <col min="5" max="5" width="8.109375" style="594" customWidth="1"/>
    <col min="6" max="6" width="12.109375" style="594" customWidth="1"/>
    <col min="7" max="7" width="16.44140625" style="594" customWidth="1"/>
    <col min="8" max="9" width="11.33203125" style="594" customWidth="1"/>
    <col min="10" max="10" width="7.33203125" style="594" customWidth="1"/>
    <col min="11" max="11" width="11.33203125" style="594" customWidth="1"/>
    <col min="12" max="12" width="8.6640625" style="594" customWidth="1"/>
    <col min="13" max="13" width="13.109375" style="594" customWidth="1"/>
    <col min="14" max="14" width="14.109375" style="594" customWidth="1"/>
    <col min="15" max="15" width="14.109375" style="594" bestFit="1" customWidth="1"/>
    <col min="16" max="16" width="0" style="594" hidden="1" customWidth="1"/>
    <col min="17" max="17" width="19.44140625" style="594" hidden="1" customWidth="1"/>
    <col min="18" max="18" width="20.5546875" style="594" hidden="1" customWidth="1"/>
    <col min="19" max="19" width="0" style="594" hidden="1" customWidth="1"/>
    <col min="20" max="20" width="9.109375" style="594"/>
    <col min="21" max="21" width="15.6640625" style="594" customWidth="1"/>
    <col min="22" max="22" width="16.109375" style="594" customWidth="1"/>
    <col min="23" max="23" width="9.109375" style="594"/>
    <col min="24" max="24" width="15.5546875" style="594" customWidth="1"/>
    <col min="25" max="25" width="10.6640625" style="594" customWidth="1"/>
    <col min="26" max="26" width="26.6640625" style="594" customWidth="1"/>
    <col min="27" max="27" width="10.109375" style="594" customWidth="1"/>
    <col min="28" max="28" width="9.109375" style="594"/>
    <col min="29" max="29" width="7.44140625" style="594" customWidth="1"/>
    <col min="30" max="30" width="7" style="594" customWidth="1"/>
    <col min="31" max="31" width="6.5546875" style="594" customWidth="1"/>
    <col min="32" max="32" width="9.88671875" style="594" bestFit="1" customWidth="1"/>
    <col min="33" max="33" width="7.109375" style="594" customWidth="1"/>
    <col min="34" max="34" width="8.109375" style="594" customWidth="1"/>
    <col min="35" max="35" width="6" style="594" customWidth="1"/>
    <col min="36" max="36" width="8" style="594" customWidth="1"/>
    <col min="37" max="37" width="9.44140625" style="594" bestFit="1" customWidth="1"/>
    <col min="38" max="38" width="9" style="594" customWidth="1"/>
    <col min="39" max="39" width="10.88671875" style="594" bestFit="1" customWidth="1"/>
    <col min="40" max="40" width="9.88671875" style="594" bestFit="1" customWidth="1"/>
    <col min="41" max="41" width="13.88671875" style="594" bestFit="1" customWidth="1"/>
    <col min="42" max="43" width="7.33203125" style="594" customWidth="1"/>
    <col min="44" max="44" width="11.5546875" style="594" bestFit="1" customWidth="1"/>
    <col min="45" max="49" width="9.109375" style="594"/>
    <col min="50" max="50" width="15.21875" style="594" customWidth="1"/>
    <col min="51" max="51" width="15.5546875" style="594" customWidth="1"/>
    <col min="52" max="16384" width="9.109375" style="594"/>
  </cols>
  <sheetData>
    <row r="1" spans="2:60" ht="11.4" customHeight="1" x14ac:dyDescent="0.3"/>
    <row r="2" spans="2:60" s="595" customFormat="1" ht="63.75" customHeight="1" x14ac:dyDescent="0.3">
      <c r="B2" s="98" t="s">
        <v>1372</v>
      </c>
      <c r="C2" s="99"/>
      <c r="D2" s="99"/>
      <c r="E2" s="99"/>
      <c r="F2" s="99"/>
      <c r="G2" s="99"/>
      <c r="H2" s="99"/>
      <c r="I2" s="99"/>
      <c r="J2" s="99"/>
      <c r="K2" s="99"/>
      <c r="L2" s="99"/>
      <c r="M2" s="99"/>
      <c r="N2" s="99"/>
      <c r="O2" s="596"/>
      <c r="P2" s="597"/>
      <c r="Q2" s="597"/>
      <c r="R2" s="597"/>
      <c r="S2" s="597"/>
      <c r="T2" s="99"/>
      <c r="U2" s="99"/>
      <c r="V2" s="99"/>
      <c r="W2" s="99"/>
      <c r="X2" s="99"/>
      <c r="Y2" s="99"/>
      <c r="Z2" s="367"/>
      <c r="BG2" s="15"/>
      <c r="BH2" s="15"/>
    </row>
    <row r="3" spans="2:60" s="20" customFormat="1" ht="18" customHeight="1" x14ac:dyDescent="0.3">
      <c r="B3" s="812">
        <f>Definition!B23</f>
        <v>43585</v>
      </c>
      <c r="C3" s="813"/>
      <c r="D3" s="813"/>
      <c r="E3" s="100"/>
      <c r="F3" s="100"/>
      <c r="G3" s="100"/>
      <c r="H3" s="100"/>
      <c r="I3" s="100"/>
      <c r="J3" s="100"/>
      <c r="K3" s="100"/>
      <c r="L3" s="100"/>
      <c r="M3" s="100"/>
      <c r="N3" s="100"/>
      <c r="O3" s="107"/>
      <c r="P3" s="368"/>
      <c r="Q3" s="368"/>
      <c r="R3" s="368"/>
      <c r="S3" s="368"/>
      <c r="T3" s="369"/>
      <c r="U3" s="369"/>
      <c r="V3" s="369"/>
      <c r="W3" s="369"/>
      <c r="X3" s="369"/>
      <c r="Y3" s="369"/>
      <c r="Z3" s="370"/>
      <c r="BG3" s="16"/>
      <c r="BH3" s="16"/>
    </row>
    <row r="4" spans="2:60" s="20" customFormat="1" ht="36" customHeight="1" x14ac:dyDescent="0.45">
      <c r="B4" s="415" t="s">
        <v>1414</v>
      </c>
      <c r="C4" s="598"/>
      <c r="D4" s="82"/>
      <c r="E4" s="82"/>
      <c r="F4" s="82"/>
      <c r="G4" s="82"/>
      <c r="H4" s="83"/>
      <c r="I4" s="83"/>
      <c r="J4" s="83"/>
      <c r="K4" s="83"/>
      <c r="L4" s="599"/>
      <c r="M4" s="824" t="s">
        <v>1413</v>
      </c>
      <c r="N4" s="824"/>
      <c r="O4" s="826" t="s">
        <v>1438</v>
      </c>
      <c r="P4" s="826"/>
      <c r="Q4" s="826"/>
      <c r="R4" s="826"/>
      <c r="S4" s="826"/>
      <c r="T4" s="826"/>
      <c r="U4" s="441" t="s">
        <v>1437</v>
      </c>
      <c r="V4" s="103"/>
      <c r="W4" s="600"/>
      <c r="X4" s="823" t="str">
        <f>IF(O4="All","Kachin &amp; Northern Shan",IF(O4="Kachin","Kachin",IF(O4="Shan_North","Northern Shan","")))</f>
        <v>Kachin &amp; Northern Shan</v>
      </c>
      <c r="Y4" s="823"/>
      <c r="Z4" s="823"/>
      <c r="BG4" s="16"/>
      <c r="BH4" s="16"/>
    </row>
    <row r="5" spans="2:60" s="20" customFormat="1" ht="16.5" customHeight="1" x14ac:dyDescent="0.3">
      <c r="B5" s="137" t="s">
        <v>392</v>
      </c>
      <c r="C5" s="301" t="s">
        <v>537</v>
      </c>
      <c r="D5" s="601" t="s">
        <v>413</v>
      </c>
      <c r="E5" s="84"/>
      <c r="F5" s="84"/>
      <c r="G5" s="84"/>
      <c r="H5" s="84"/>
      <c r="I5" s="84"/>
      <c r="J5" s="84"/>
      <c r="K5" s="84"/>
      <c r="L5" s="84"/>
      <c r="M5" s="821" t="s">
        <v>1395</v>
      </c>
      <c r="N5" s="821"/>
      <c r="O5" s="821"/>
      <c r="P5" s="821"/>
      <c r="Q5" s="821"/>
      <c r="R5" s="821"/>
      <c r="S5" s="821"/>
      <c r="T5" s="821"/>
      <c r="U5" s="821"/>
      <c r="V5" s="602"/>
      <c r="W5" s="602"/>
      <c r="X5" s="602"/>
      <c r="Y5" s="602"/>
      <c r="Z5" s="819">
        <f ca="1">IF(O4="All",SUMIF(CampList[[#All],[Status]:[Total]],"Open",CampList[[#All],[Total]]),SUMIFS(CampList[[#All],[Total]],CampList[[#All],[Status]],"Open",CampList[[#All],[State]],O4))</f>
        <v>0</v>
      </c>
      <c r="AA5" s="603"/>
      <c r="BG5" s="16"/>
      <c r="BH5" s="16"/>
    </row>
    <row r="6" spans="2:60" ht="18" customHeight="1" x14ac:dyDescent="0.3">
      <c r="B6" s="137" t="s">
        <v>1034</v>
      </c>
      <c r="C6" s="301" t="s">
        <v>993</v>
      </c>
      <c r="M6" s="822"/>
      <c r="N6" s="822"/>
      <c r="O6" s="822"/>
      <c r="P6" s="822"/>
      <c r="Q6" s="822"/>
      <c r="R6" s="822"/>
      <c r="S6" s="822"/>
      <c r="T6" s="822"/>
      <c r="U6" s="822"/>
      <c r="V6" s="604"/>
      <c r="W6" s="604"/>
      <c r="X6" s="604"/>
      <c r="Y6" s="604"/>
      <c r="Z6" s="820"/>
      <c r="AA6" s="605"/>
    </row>
    <row r="7" spans="2:60" ht="14.4" customHeight="1" x14ac:dyDescent="0.3">
      <c r="B7" s="137" t="s">
        <v>458</v>
      </c>
      <c r="C7" s="301" t="s">
        <v>1692</v>
      </c>
      <c r="M7" s="821" t="s">
        <v>1396</v>
      </c>
      <c r="N7" s="821"/>
      <c r="O7" s="821"/>
      <c r="P7" s="821"/>
      <c r="Q7" s="821"/>
      <c r="R7" s="821"/>
      <c r="S7" s="821"/>
      <c r="T7" s="821"/>
      <c r="U7" s="821"/>
      <c r="V7" s="606"/>
      <c r="W7" s="606"/>
      <c r="X7" s="606"/>
      <c r="Y7" s="606"/>
      <c r="Z7" s="818">
        <f>IF(O4="All",COUNTIF(CampList[[#All],[Status]],"Open"),COUNTIFS(CampList[[#All],[Status]],"Open",CampList[[#All],[State]],O4))</f>
        <v>0</v>
      </c>
    </row>
    <row r="8" spans="2:60" x14ac:dyDescent="0.3">
      <c r="M8" s="821"/>
      <c r="N8" s="821"/>
      <c r="O8" s="821"/>
      <c r="P8" s="821"/>
      <c r="Q8" s="772" t="s">
        <v>392</v>
      </c>
      <c r="R8" s="773" t="s">
        <v>537</v>
      </c>
      <c r="S8" s="821"/>
      <c r="T8" s="821"/>
      <c r="U8" s="821"/>
      <c r="V8" s="606"/>
      <c r="W8" s="606"/>
      <c r="X8" s="606"/>
      <c r="Y8" s="606"/>
      <c r="Z8" s="818"/>
    </row>
    <row r="9" spans="2:60" ht="31.2" x14ac:dyDescent="0.3">
      <c r="B9" s="137" t="s">
        <v>0</v>
      </c>
      <c r="C9" s="301" t="s">
        <v>1705</v>
      </c>
      <c r="D9" s="301" t="s">
        <v>1434</v>
      </c>
      <c r="M9" s="827"/>
      <c r="N9" s="827"/>
      <c r="O9" s="827"/>
      <c r="P9" s="827"/>
      <c r="Q9" s="773" t="s">
        <v>458</v>
      </c>
      <c r="R9" s="773" t="s">
        <v>1692</v>
      </c>
      <c r="S9" s="827" t="s">
        <v>413</v>
      </c>
      <c r="T9" s="827"/>
      <c r="U9" s="827"/>
      <c r="V9" s="607"/>
      <c r="W9" s="607"/>
    </row>
    <row r="10" spans="2:60" x14ac:dyDescent="0.3">
      <c r="B10" s="6" t="s">
        <v>5</v>
      </c>
      <c r="C10" s="133">
        <v>1392</v>
      </c>
      <c r="D10" s="133">
        <v>7899</v>
      </c>
      <c r="T10" s="607"/>
      <c r="U10" s="607"/>
      <c r="V10" s="607"/>
      <c r="W10" s="607"/>
      <c r="X10" s="598"/>
      <c r="Y10" s="598"/>
    </row>
    <row r="11" spans="2:60" x14ac:dyDescent="0.3">
      <c r="B11" s="6" t="s">
        <v>27</v>
      </c>
      <c r="C11" s="133">
        <v>621</v>
      </c>
      <c r="D11" s="133">
        <v>3094</v>
      </c>
      <c r="Q11" s="773" t="s">
        <v>410</v>
      </c>
      <c r="R11" s="773" t="s">
        <v>412</v>
      </c>
      <c r="S11" s="598"/>
      <c r="T11" s="607"/>
      <c r="U11" s="607"/>
      <c r="V11" s="607"/>
      <c r="W11" s="607"/>
      <c r="X11" s="598"/>
      <c r="Y11" s="598"/>
    </row>
    <row r="12" spans="2:60" x14ac:dyDescent="0.3">
      <c r="B12" s="6" t="s">
        <v>480</v>
      </c>
      <c r="C12" s="133">
        <v>799</v>
      </c>
      <c r="D12" s="133">
        <v>4038</v>
      </c>
      <c r="Q12" s="134" t="s">
        <v>5</v>
      </c>
      <c r="R12" s="135">
        <v>7899</v>
      </c>
      <c r="S12" s="598"/>
      <c r="T12" s="607"/>
      <c r="U12" s="607"/>
      <c r="V12" s="607"/>
      <c r="W12" s="607"/>
      <c r="X12" s="598"/>
      <c r="Y12" s="598"/>
    </row>
    <row r="13" spans="2:60" x14ac:dyDescent="0.3">
      <c r="B13" s="6" t="s">
        <v>719</v>
      </c>
      <c r="C13" s="133">
        <v>35</v>
      </c>
      <c r="D13" s="133">
        <v>183</v>
      </c>
      <c r="Q13" s="134" t="s">
        <v>27</v>
      </c>
      <c r="R13" s="135">
        <v>3094</v>
      </c>
      <c r="S13" s="598"/>
      <c r="T13" s="607"/>
      <c r="U13" s="607"/>
      <c r="V13" s="607"/>
      <c r="W13" s="607"/>
      <c r="X13" s="598"/>
      <c r="Y13" s="598"/>
    </row>
    <row r="14" spans="2:60" x14ac:dyDescent="0.3">
      <c r="B14" s="6" t="s">
        <v>1198</v>
      </c>
      <c r="C14" s="133">
        <v>37</v>
      </c>
      <c r="D14" s="133">
        <v>120</v>
      </c>
      <c r="Q14" s="134" t="s">
        <v>480</v>
      </c>
      <c r="R14" s="135">
        <v>4038</v>
      </c>
      <c r="S14" s="598"/>
      <c r="X14" s="598"/>
      <c r="Y14" s="598"/>
    </row>
    <row r="15" spans="2:60" x14ac:dyDescent="0.3">
      <c r="B15" s="6" t="s">
        <v>146</v>
      </c>
      <c r="C15" s="133">
        <v>927</v>
      </c>
      <c r="D15" s="133">
        <v>4732</v>
      </c>
      <c r="Q15" s="134" t="s">
        <v>719</v>
      </c>
      <c r="R15" s="135">
        <v>183</v>
      </c>
      <c r="S15" s="598"/>
      <c r="X15" s="598"/>
      <c r="Y15" s="598"/>
    </row>
    <row r="16" spans="2:60" x14ac:dyDescent="0.3">
      <c r="B16" s="6" t="s">
        <v>151</v>
      </c>
      <c r="C16" s="133">
        <v>2757</v>
      </c>
      <c r="D16" s="133">
        <v>13812</v>
      </c>
      <c r="Q16" s="134" t="s">
        <v>1198</v>
      </c>
      <c r="R16" s="135">
        <v>120</v>
      </c>
      <c r="S16" s="598"/>
      <c r="X16" s="598"/>
      <c r="Y16" s="598"/>
    </row>
    <row r="17" spans="2:25" x14ac:dyDescent="0.3">
      <c r="B17" s="6" t="s">
        <v>166</v>
      </c>
      <c r="C17" s="133">
        <v>59</v>
      </c>
      <c r="D17" s="133">
        <v>313</v>
      </c>
      <c r="Q17" s="134" t="s">
        <v>146</v>
      </c>
      <c r="R17" s="135">
        <v>4732</v>
      </c>
      <c r="S17" s="598"/>
      <c r="X17" s="598"/>
      <c r="Y17" s="598"/>
    </row>
    <row r="18" spans="2:25" x14ac:dyDescent="0.3">
      <c r="B18" s="6" t="s">
        <v>173</v>
      </c>
      <c r="C18" s="133">
        <v>304</v>
      </c>
      <c r="D18" s="133">
        <v>1459</v>
      </c>
      <c r="Q18" s="134" t="s">
        <v>151</v>
      </c>
      <c r="R18" s="135">
        <v>13812</v>
      </c>
      <c r="S18" s="598"/>
      <c r="X18" s="598"/>
      <c r="Y18" s="598"/>
    </row>
    <row r="19" spans="2:25" x14ac:dyDescent="0.3">
      <c r="B19" s="6" t="s">
        <v>180</v>
      </c>
      <c r="C19" s="133">
        <v>79</v>
      </c>
      <c r="D19" s="133">
        <v>382</v>
      </c>
      <c r="Q19" s="134" t="s">
        <v>166</v>
      </c>
      <c r="R19" s="135">
        <v>313</v>
      </c>
      <c r="S19" s="598"/>
      <c r="X19" s="598"/>
      <c r="Y19" s="598"/>
    </row>
    <row r="20" spans="2:25" x14ac:dyDescent="0.3">
      <c r="B20" s="6" t="s">
        <v>185</v>
      </c>
      <c r="C20" s="133">
        <v>4758</v>
      </c>
      <c r="D20" s="133">
        <v>25132</v>
      </c>
      <c r="Q20" s="134" t="s">
        <v>173</v>
      </c>
      <c r="R20" s="135">
        <v>1459</v>
      </c>
      <c r="S20" s="598"/>
      <c r="X20" s="598"/>
      <c r="Y20" s="598"/>
    </row>
    <row r="21" spans="2:25" x14ac:dyDescent="0.3">
      <c r="B21" s="6" t="s">
        <v>230</v>
      </c>
      <c r="C21" s="133">
        <v>209</v>
      </c>
      <c r="D21" s="133">
        <v>1048</v>
      </c>
      <c r="Q21" s="134" t="s">
        <v>180</v>
      </c>
      <c r="R21" s="135">
        <v>382</v>
      </c>
      <c r="S21" s="598"/>
      <c r="X21" s="598"/>
      <c r="Y21" s="598"/>
    </row>
    <row r="22" spans="2:25" x14ac:dyDescent="0.3">
      <c r="B22" s="6" t="s">
        <v>237</v>
      </c>
      <c r="C22" s="133">
        <v>2209</v>
      </c>
      <c r="D22" s="133">
        <v>11374</v>
      </c>
      <c r="Q22" s="134" t="s">
        <v>185</v>
      </c>
      <c r="R22" s="135">
        <v>25132</v>
      </c>
      <c r="S22" s="598"/>
      <c r="X22" s="598"/>
      <c r="Y22" s="598"/>
    </row>
    <row r="23" spans="2:25" x14ac:dyDescent="0.3">
      <c r="B23" s="6" t="s">
        <v>288</v>
      </c>
      <c r="C23" s="133">
        <v>395</v>
      </c>
      <c r="D23" s="133">
        <v>2018</v>
      </c>
      <c r="Q23" s="134" t="s">
        <v>230</v>
      </c>
      <c r="R23" s="135">
        <v>1048</v>
      </c>
      <c r="S23" s="598"/>
      <c r="X23" s="598"/>
      <c r="Y23" s="598"/>
    </row>
    <row r="24" spans="2:25" x14ac:dyDescent="0.3">
      <c r="B24" s="6" t="s">
        <v>297</v>
      </c>
      <c r="C24" s="133">
        <v>133</v>
      </c>
      <c r="D24" s="133">
        <v>609</v>
      </c>
      <c r="Q24" s="134" t="s">
        <v>237</v>
      </c>
      <c r="R24" s="135">
        <v>11374</v>
      </c>
      <c r="S24" s="598"/>
      <c r="X24" s="598"/>
      <c r="Y24" s="598"/>
    </row>
    <row r="25" spans="2:25" x14ac:dyDescent="0.3">
      <c r="B25" s="6" t="s">
        <v>299</v>
      </c>
      <c r="C25" s="133">
        <v>88</v>
      </c>
      <c r="D25" s="133">
        <v>429</v>
      </c>
      <c r="Q25" s="134" t="s">
        <v>288</v>
      </c>
      <c r="R25" s="135">
        <v>2018</v>
      </c>
      <c r="S25" s="598"/>
      <c r="X25" s="598"/>
      <c r="Y25" s="598"/>
    </row>
    <row r="26" spans="2:25" x14ac:dyDescent="0.3">
      <c r="B26" s="6" t="s">
        <v>301</v>
      </c>
      <c r="C26" s="133">
        <v>455</v>
      </c>
      <c r="D26" s="133">
        <v>1867</v>
      </c>
      <c r="Q26" s="134" t="s">
        <v>297</v>
      </c>
      <c r="R26" s="135">
        <v>609</v>
      </c>
      <c r="S26" s="598"/>
      <c r="X26" s="598"/>
      <c r="Y26" s="598"/>
    </row>
    <row r="27" spans="2:25" x14ac:dyDescent="0.3">
      <c r="B27" s="6" t="s">
        <v>746</v>
      </c>
      <c r="C27" s="133">
        <v>212</v>
      </c>
      <c r="D27" s="133">
        <v>1047</v>
      </c>
      <c r="Q27" s="134" t="s">
        <v>299</v>
      </c>
      <c r="R27" s="135">
        <v>429</v>
      </c>
      <c r="X27" s="598"/>
      <c r="Y27" s="598"/>
    </row>
    <row r="28" spans="2:25" x14ac:dyDescent="0.3">
      <c r="B28" s="6" t="s">
        <v>309</v>
      </c>
      <c r="C28" s="133">
        <v>4851</v>
      </c>
      <c r="D28" s="133">
        <v>25825</v>
      </c>
      <c r="Q28" s="134" t="s">
        <v>301</v>
      </c>
      <c r="R28" s="135">
        <v>1867</v>
      </c>
      <c r="X28" s="598"/>
      <c r="Y28" s="598"/>
    </row>
    <row r="29" spans="2:25" x14ac:dyDescent="0.3">
      <c r="B29" s="6" t="s">
        <v>1134</v>
      </c>
      <c r="C29" s="133">
        <v>276</v>
      </c>
      <c r="D29" s="133">
        <v>1156</v>
      </c>
      <c r="Q29" s="134" t="s">
        <v>746</v>
      </c>
      <c r="R29" s="135">
        <v>1047</v>
      </c>
      <c r="X29" s="598"/>
      <c r="Y29" s="598"/>
    </row>
    <row r="30" spans="2:25" x14ac:dyDescent="0.3">
      <c r="B30" s="6" t="s">
        <v>411</v>
      </c>
      <c r="C30" s="133">
        <v>20596</v>
      </c>
      <c r="D30" s="133">
        <v>106537</v>
      </c>
      <c r="Q30" s="134" t="s">
        <v>1134</v>
      </c>
      <c r="R30" s="135">
        <v>1156</v>
      </c>
      <c r="X30" s="598"/>
      <c r="Y30" s="598"/>
    </row>
    <row r="31" spans="2:25" x14ac:dyDescent="0.3">
      <c r="B31"/>
      <c r="C31"/>
      <c r="D31"/>
      <c r="Q31" s="134" t="s">
        <v>309</v>
      </c>
      <c r="R31" s="135">
        <v>25825</v>
      </c>
      <c r="X31" s="598"/>
      <c r="Y31" s="598"/>
    </row>
    <row r="32" spans="2:25" x14ac:dyDescent="0.3">
      <c r="B32" s="598"/>
      <c r="C32" s="598"/>
      <c r="D32" s="598"/>
      <c r="Q32" s="167" t="s">
        <v>411</v>
      </c>
      <c r="R32" s="166">
        <v>106537</v>
      </c>
      <c r="X32" s="598"/>
      <c r="Y32" s="598"/>
    </row>
    <row r="33" spans="2:25" x14ac:dyDescent="0.3">
      <c r="B33" s="598"/>
      <c r="C33" s="598"/>
      <c r="D33" s="598"/>
      <c r="Q33"/>
      <c r="R33"/>
      <c r="X33" s="598"/>
      <c r="Y33" s="598"/>
    </row>
    <row r="34" spans="2:25" ht="21" x14ac:dyDescent="0.4">
      <c r="B34" s="380" t="s">
        <v>1415</v>
      </c>
      <c r="C34" s="598"/>
      <c r="D34" s="598"/>
      <c r="Q34" s="598"/>
      <c r="R34" s="598"/>
      <c r="X34" s="598"/>
      <c r="Y34" s="598"/>
    </row>
    <row r="35" spans="2:25" x14ac:dyDescent="0.3">
      <c r="C35" s="598"/>
      <c r="D35" s="598"/>
      <c r="Q35" s="598"/>
      <c r="R35" s="598"/>
      <c r="X35" s="598"/>
      <c r="Y35" s="598"/>
    </row>
    <row r="36" spans="2:25" hidden="1" x14ac:dyDescent="0.3">
      <c r="B36" s="598"/>
      <c r="C36" s="598"/>
      <c r="D36" s="598"/>
      <c r="Q36" s="598"/>
      <c r="R36" s="598"/>
      <c r="X36" s="598"/>
      <c r="Y36" s="598"/>
    </row>
    <row r="37" spans="2:25" hidden="1" x14ac:dyDescent="0.3">
      <c r="Q37" s="598"/>
      <c r="R37" s="598"/>
      <c r="X37" s="598"/>
      <c r="Y37" s="598"/>
    </row>
    <row r="38" spans="2:25" hidden="1" x14ac:dyDescent="0.3">
      <c r="Q38" s="598"/>
      <c r="R38" s="598"/>
      <c r="X38" s="598"/>
      <c r="Y38" s="598"/>
    </row>
    <row r="39" spans="2:25" hidden="1" x14ac:dyDescent="0.3">
      <c r="Q39" s="598"/>
      <c r="R39" s="598"/>
      <c r="X39" s="598"/>
      <c r="Y39" s="598"/>
    </row>
    <row r="40" spans="2:25" hidden="1" x14ac:dyDescent="0.3">
      <c r="Q40" s="598"/>
      <c r="R40" s="598"/>
      <c r="X40" s="598"/>
      <c r="Y40" s="598"/>
    </row>
    <row r="41" spans="2:25" hidden="1" x14ac:dyDescent="0.3">
      <c r="Q41" s="598"/>
      <c r="R41" s="598"/>
      <c r="X41" s="598"/>
      <c r="Y41" s="598"/>
    </row>
    <row r="42" spans="2:25" hidden="1" x14ac:dyDescent="0.3">
      <c r="Q42" s="598"/>
      <c r="R42" s="598"/>
      <c r="X42" s="598"/>
      <c r="Y42" s="598"/>
    </row>
    <row r="43" spans="2:25" x14ac:dyDescent="0.3">
      <c r="B43" s="154" t="s">
        <v>392</v>
      </c>
      <c r="C43" s="152" t="s">
        <v>537</v>
      </c>
      <c r="D43" s="608" t="s">
        <v>413</v>
      </c>
      <c r="Q43" s="598"/>
      <c r="R43" s="598"/>
      <c r="X43" s="598"/>
      <c r="Y43" s="598"/>
    </row>
    <row r="44" spans="2:25" x14ac:dyDescent="0.3">
      <c r="B44" s="154" t="s">
        <v>1034</v>
      </c>
      <c r="C44" s="152" t="s">
        <v>993</v>
      </c>
      <c r="Q44" s="598"/>
      <c r="R44" s="598"/>
      <c r="X44" s="598"/>
      <c r="Y44" s="598"/>
    </row>
    <row r="45" spans="2:25" x14ac:dyDescent="0.3">
      <c r="Q45" s="598"/>
      <c r="R45" s="598"/>
      <c r="X45" s="598"/>
      <c r="Y45" s="598"/>
    </row>
    <row r="46" spans="2:25" x14ac:dyDescent="0.3">
      <c r="B46" s="147" t="s">
        <v>764</v>
      </c>
      <c r="C46" s="139" t="s">
        <v>457</v>
      </c>
      <c r="D46" s="140"/>
      <c r="E46"/>
      <c r="F46"/>
      <c r="G46"/>
      <c r="H46"/>
      <c r="Q46" s="598"/>
      <c r="R46" s="598"/>
      <c r="X46" s="598"/>
      <c r="Y46" s="598"/>
    </row>
    <row r="47" spans="2:25" x14ac:dyDescent="0.3">
      <c r="B47" s="148" t="s">
        <v>410</v>
      </c>
      <c r="C47" s="153" t="s">
        <v>1692</v>
      </c>
      <c r="D47" s="141" t="s">
        <v>1434</v>
      </c>
      <c r="E47"/>
      <c r="F47"/>
      <c r="G47"/>
      <c r="H47"/>
      <c r="Q47" s="598"/>
      <c r="R47" s="598"/>
      <c r="X47" s="598"/>
      <c r="Y47" s="598"/>
    </row>
    <row r="48" spans="2:25" x14ac:dyDescent="0.3">
      <c r="B48" s="149" t="s">
        <v>464</v>
      </c>
      <c r="C48" s="153">
        <v>66739</v>
      </c>
      <c r="D48" s="660">
        <v>66739</v>
      </c>
      <c r="E48"/>
      <c r="F48"/>
      <c r="G48"/>
      <c r="H48"/>
      <c r="Q48" s="598"/>
      <c r="R48" s="598"/>
      <c r="X48" s="598"/>
      <c r="Y48" s="598"/>
    </row>
    <row r="49" spans="2:51" x14ac:dyDescent="0.3">
      <c r="B49" s="149" t="s">
        <v>466</v>
      </c>
      <c r="C49" s="153">
        <v>39798</v>
      </c>
      <c r="D49" s="660">
        <v>39798</v>
      </c>
      <c r="E49"/>
      <c r="F49"/>
      <c r="G49"/>
      <c r="H49"/>
      <c r="Q49" s="598"/>
      <c r="R49" s="598"/>
      <c r="X49" s="598"/>
      <c r="Y49" s="598"/>
    </row>
    <row r="50" spans="2:51" x14ac:dyDescent="0.3">
      <c r="B50" s="169" t="s">
        <v>1434</v>
      </c>
      <c r="C50" s="670">
        <v>106537</v>
      </c>
      <c r="D50" s="168">
        <v>106537</v>
      </c>
      <c r="E50"/>
      <c r="F50"/>
      <c r="G50"/>
      <c r="H50"/>
      <c r="X50" s="598"/>
      <c r="Y50" s="598"/>
    </row>
    <row r="51" spans="2:51" x14ac:dyDescent="0.3">
      <c r="B51" s="598"/>
      <c r="C51" s="598"/>
      <c r="D51" s="598"/>
      <c r="E51" s="598"/>
      <c r="F51" s="598"/>
      <c r="X51" s="598"/>
      <c r="Y51" s="598"/>
    </row>
    <row r="52" spans="2:51" x14ac:dyDescent="0.3">
      <c r="B52" s="825" t="s">
        <v>1416</v>
      </c>
      <c r="C52" s="825"/>
      <c r="D52" s="825"/>
      <c r="E52" s="825"/>
      <c r="F52" s="598"/>
      <c r="X52" s="598"/>
      <c r="Y52" s="598"/>
    </row>
    <row r="53" spans="2:51" ht="27.75" customHeight="1" x14ac:dyDescent="0.3">
      <c r="B53" s="825"/>
      <c r="C53" s="825"/>
      <c r="D53" s="825"/>
      <c r="E53" s="825"/>
      <c r="F53" s="598"/>
      <c r="X53" s="598"/>
      <c r="Y53" s="598"/>
      <c r="AX53" s="137" t="s">
        <v>458</v>
      </c>
      <c r="AY53" s="301" t="s">
        <v>1692</v>
      </c>
    </row>
    <row r="54" spans="2:51" x14ac:dyDescent="0.3">
      <c r="B54" s="162" t="s">
        <v>458</v>
      </c>
      <c r="C54" s="162" t="s">
        <v>1692</v>
      </c>
      <c r="O54"/>
      <c r="X54" s="598"/>
      <c r="Y54" s="598"/>
    </row>
    <row r="55" spans="2:51" x14ac:dyDescent="0.3">
      <c r="B55" s="154" t="s">
        <v>1034</v>
      </c>
      <c r="C55" s="152" t="s">
        <v>537</v>
      </c>
      <c r="O55"/>
      <c r="AX55" s="137" t="s">
        <v>410</v>
      </c>
      <c r="AY55" t="s">
        <v>1533</v>
      </c>
    </row>
    <row r="56" spans="2:51" x14ac:dyDescent="0.3">
      <c r="O56"/>
      <c r="AX56" s="6" t="s">
        <v>5</v>
      </c>
      <c r="AY56" s="133">
        <v>8</v>
      </c>
    </row>
    <row r="57" spans="2:51" x14ac:dyDescent="0.3">
      <c r="B57" s="147"/>
      <c r="C57" s="139" t="s">
        <v>763</v>
      </c>
      <c r="D57" s="139"/>
      <c r="E57" s="140"/>
      <c r="F57"/>
      <c r="O57"/>
      <c r="AX57" s="6" t="s">
        <v>27</v>
      </c>
      <c r="AY57" s="133">
        <v>5</v>
      </c>
    </row>
    <row r="58" spans="2:51" x14ac:dyDescent="0.3">
      <c r="B58" s="148"/>
      <c r="C58" s="138" t="s">
        <v>464</v>
      </c>
      <c r="D58" s="138" t="s">
        <v>466</v>
      </c>
      <c r="E58" s="141" t="s">
        <v>1434</v>
      </c>
      <c r="F58"/>
      <c r="O58"/>
      <c r="AX58" s="6" t="s">
        <v>480</v>
      </c>
      <c r="AY58" s="133">
        <v>23</v>
      </c>
    </row>
    <row r="59" spans="2:51" x14ac:dyDescent="0.3">
      <c r="B59" s="455" t="s">
        <v>764</v>
      </c>
      <c r="C59" s="150">
        <v>66739</v>
      </c>
      <c r="D59" s="150">
        <v>39798</v>
      </c>
      <c r="E59" s="151">
        <v>106537</v>
      </c>
      <c r="F59"/>
      <c r="O59"/>
      <c r="AX59" s="6" t="s">
        <v>719</v>
      </c>
      <c r="AY59" s="133">
        <v>1</v>
      </c>
    </row>
    <row r="60" spans="2:51" x14ac:dyDescent="0.3">
      <c r="B60" s="598"/>
      <c r="C60" s="598"/>
      <c r="D60" s="598"/>
      <c r="E60" s="598"/>
      <c r="F60" s="598"/>
      <c r="O60"/>
      <c r="AX60" s="6" t="s">
        <v>1198</v>
      </c>
      <c r="AY60" s="133">
        <v>1</v>
      </c>
    </row>
    <row r="61" spans="2:51" x14ac:dyDescent="0.3">
      <c r="B61" s="598"/>
      <c r="C61" s="598"/>
      <c r="D61" s="598"/>
      <c r="E61" s="598"/>
      <c r="F61" s="598"/>
      <c r="O61"/>
      <c r="AX61" s="6" t="s">
        <v>146</v>
      </c>
      <c r="AY61" s="133">
        <v>16</v>
      </c>
    </row>
    <row r="62" spans="2:51" x14ac:dyDescent="0.3">
      <c r="B62" s="598"/>
      <c r="C62" s="598"/>
      <c r="D62" s="598"/>
      <c r="E62" s="598"/>
      <c r="F62" s="598"/>
      <c r="O62"/>
      <c r="AX62" s="6" t="s">
        <v>151</v>
      </c>
      <c r="AY62" s="133">
        <v>11</v>
      </c>
    </row>
    <row r="63" spans="2:51" x14ac:dyDescent="0.3">
      <c r="B63" s="598"/>
      <c r="C63" s="598"/>
      <c r="D63" s="598"/>
      <c r="E63" s="598"/>
      <c r="F63" s="598"/>
      <c r="H63" s="289"/>
      <c r="O63"/>
      <c r="AX63" s="6" t="s">
        <v>166</v>
      </c>
      <c r="AY63" s="133">
        <v>2</v>
      </c>
    </row>
    <row r="64" spans="2:51" x14ac:dyDescent="0.3">
      <c r="O64"/>
      <c r="AX64" s="6" t="s">
        <v>173</v>
      </c>
      <c r="AY64" s="133">
        <v>8</v>
      </c>
    </row>
    <row r="65" spans="2:51" x14ac:dyDescent="0.3">
      <c r="B65" s="825" t="s">
        <v>1417</v>
      </c>
      <c r="C65" s="825"/>
      <c r="D65" s="825"/>
      <c r="E65" s="825"/>
      <c r="O65"/>
      <c r="AX65" s="6" t="s">
        <v>180</v>
      </c>
      <c r="AY65" s="133">
        <v>4</v>
      </c>
    </row>
    <row r="66" spans="2:51" ht="27" customHeight="1" x14ac:dyDescent="0.3">
      <c r="B66" s="825"/>
      <c r="C66" s="825"/>
      <c r="D66" s="825"/>
      <c r="E66" s="825"/>
      <c r="O66"/>
      <c r="AX66" s="6" t="s">
        <v>185</v>
      </c>
      <c r="AY66" s="133">
        <v>15</v>
      </c>
    </row>
    <row r="67" spans="2:51" x14ac:dyDescent="0.3">
      <c r="B67" s="145" t="s">
        <v>458</v>
      </c>
      <c r="C67" s="146" t="s">
        <v>956</v>
      </c>
      <c r="O67"/>
      <c r="AX67" s="6" t="s">
        <v>230</v>
      </c>
      <c r="AY67" s="133">
        <v>3</v>
      </c>
    </row>
    <row r="68" spans="2:51" x14ac:dyDescent="0.3">
      <c r="B68" s="145" t="s">
        <v>1034</v>
      </c>
      <c r="C68" s="146" t="s">
        <v>537</v>
      </c>
      <c r="O68"/>
      <c r="AX68" s="6" t="s">
        <v>237</v>
      </c>
      <c r="AY68" s="133">
        <v>25</v>
      </c>
    </row>
    <row r="69" spans="2:51" x14ac:dyDescent="0.3">
      <c r="O69"/>
      <c r="AX69" s="6" t="s">
        <v>288</v>
      </c>
      <c r="AY69" s="133">
        <v>6</v>
      </c>
    </row>
    <row r="70" spans="2:51" x14ac:dyDescent="0.3">
      <c r="B70" s="452"/>
      <c r="C70" s="156" t="s">
        <v>763</v>
      </c>
      <c r="D70" s="143"/>
      <c r="E70" s="143"/>
      <c r="F70" s="144"/>
      <c r="G70" s="598"/>
      <c r="O70"/>
      <c r="AX70" s="6" t="s">
        <v>297</v>
      </c>
      <c r="AY70" s="133">
        <v>4</v>
      </c>
    </row>
    <row r="71" spans="2:51" x14ac:dyDescent="0.3">
      <c r="B71" s="453"/>
      <c r="C71" s="132" t="s">
        <v>464</v>
      </c>
      <c r="D71" s="132" t="s">
        <v>466</v>
      </c>
      <c r="E71" s="132" t="s">
        <v>787</v>
      </c>
      <c r="F71" s="142" t="s">
        <v>1435</v>
      </c>
      <c r="G71" s="598"/>
      <c r="O71"/>
      <c r="AX71" s="6" t="s">
        <v>299</v>
      </c>
      <c r="AY71" s="133">
        <v>3</v>
      </c>
    </row>
    <row r="72" spans="2:51" x14ac:dyDescent="0.3">
      <c r="B72" s="454" t="s">
        <v>1533</v>
      </c>
      <c r="C72" s="158">
        <v>150</v>
      </c>
      <c r="D72" s="158">
        <v>19</v>
      </c>
      <c r="E72" s="158"/>
      <c r="F72" s="159">
        <v>169</v>
      </c>
      <c r="G72" s="598"/>
      <c r="O72"/>
      <c r="AX72" s="6" t="s">
        <v>301</v>
      </c>
      <c r="AY72" s="133">
        <v>3</v>
      </c>
    </row>
    <row r="73" spans="2:51" x14ac:dyDescent="0.3">
      <c r="B73" s="598"/>
      <c r="C73" s="598"/>
      <c r="D73" s="598"/>
      <c r="E73" s="598"/>
      <c r="F73" s="598"/>
      <c r="G73" s="598"/>
      <c r="O73"/>
      <c r="AX73" s="6" t="s">
        <v>746</v>
      </c>
      <c r="AY73" s="133">
        <v>4</v>
      </c>
    </row>
    <row r="74" spans="2:51" x14ac:dyDescent="0.3">
      <c r="B74" s="598"/>
      <c r="C74" s="598"/>
      <c r="D74" s="598"/>
      <c r="E74" s="598"/>
      <c r="F74" s="598"/>
      <c r="O74"/>
      <c r="AX74" s="6" t="s">
        <v>1134</v>
      </c>
      <c r="AY74" s="133">
        <v>3</v>
      </c>
    </row>
    <row r="75" spans="2:51" ht="18" x14ac:dyDescent="0.35">
      <c r="B75" s="673" t="s">
        <v>1702</v>
      </c>
      <c r="C75" s="598"/>
      <c r="D75" s="598"/>
      <c r="E75" s="598"/>
      <c r="F75" s="598"/>
      <c r="O75"/>
      <c r="AX75" s="6" t="s">
        <v>309</v>
      </c>
      <c r="AY75" s="133">
        <v>24</v>
      </c>
    </row>
    <row r="76" spans="2:51" x14ac:dyDescent="0.3">
      <c r="B76" s="598"/>
      <c r="C76" s="598"/>
      <c r="D76" s="598"/>
      <c r="E76" s="598"/>
      <c r="F76" s="598"/>
      <c r="M76"/>
      <c r="N76"/>
      <c r="O76"/>
      <c r="AX76" s="6" t="s">
        <v>411</v>
      </c>
      <c r="AY76" s="133">
        <v>169</v>
      </c>
    </row>
    <row r="77" spans="2:51" x14ac:dyDescent="0.3">
      <c r="B77" s="137" t="s">
        <v>458</v>
      </c>
      <c r="C77" s="301" t="s">
        <v>1692</v>
      </c>
      <c r="M77"/>
      <c r="N77"/>
      <c r="O77"/>
    </row>
    <row r="78" spans="2:51" x14ac:dyDescent="0.3">
      <c r="B78" s="137" t="s">
        <v>457</v>
      </c>
      <c r="C78" s="301" t="s">
        <v>464</v>
      </c>
      <c r="M78"/>
      <c r="N78"/>
      <c r="O78"/>
    </row>
    <row r="79" spans="2:51" ht="15.75" customHeight="1" x14ac:dyDescent="0.4">
      <c r="B79" s="673"/>
      <c r="C79" s="671"/>
      <c r="D79" s="671"/>
      <c r="E79" s="671"/>
    </row>
    <row r="80" spans="2:51" ht="21" x14ac:dyDescent="0.4">
      <c r="B80" s="137" t="s">
        <v>410</v>
      </c>
      <c r="C80" t="s">
        <v>1703</v>
      </c>
      <c r="D80"/>
      <c r="E80" s="671"/>
    </row>
    <row r="81" spans="2:5" x14ac:dyDescent="0.3">
      <c r="B81" s="6" t="s">
        <v>507</v>
      </c>
      <c r="C81" s="36">
        <v>0.80666666666666664</v>
      </c>
      <c r="D81"/>
      <c r="E81"/>
    </row>
    <row r="82" spans="2:5" x14ac:dyDescent="0.3">
      <c r="B82" s="6" t="s">
        <v>1376</v>
      </c>
      <c r="C82" s="36">
        <v>0.12666666666666668</v>
      </c>
      <c r="D82"/>
      <c r="E82"/>
    </row>
    <row r="83" spans="2:5" x14ac:dyDescent="0.3">
      <c r="B83" s="6" t="s">
        <v>1898</v>
      </c>
      <c r="C83" s="36">
        <v>6.6666666666666666E-2</v>
      </c>
      <c r="D83"/>
      <c r="E83" s="598"/>
    </row>
    <row r="84" spans="2:5" x14ac:dyDescent="0.3">
      <c r="B84" s="6" t="s">
        <v>411</v>
      </c>
      <c r="C84" s="36">
        <v>1</v>
      </c>
      <c r="D84"/>
      <c r="E84" s="598"/>
    </row>
    <row r="85" spans="2:5" x14ac:dyDescent="0.3">
      <c r="B85"/>
      <c r="C85"/>
      <c r="D85" s="301"/>
      <c r="E85" s="598"/>
    </row>
    <row r="86" spans="2:5" ht="23.25" customHeight="1" x14ac:dyDescent="0.3">
      <c r="B86" s="674" t="s">
        <v>1704</v>
      </c>
      <c r="C86" s="36"/>
      <c r="D86" s="301"/>
      <c r="E86" s="598"/>
    </row>
    <row r="87" spans="2:5" x14ac:dyDescent="0.3">
      <c r="B87" s="137" t="s">
        <v>458</v>
      </c>
      <c r="C87" s="301" t="s">
        <v>1692</v>
      </c>
      <c r="D87"/>
      <c r="E87" s="598"/>
    </row>
    <row r="88" spans="2:5" x14ac:dyDescent="0.3">
      <c r="B88" s="137" t="s">
        <v>1034</v>
      </c>
      <c r="C88" s="301" t="s">
        <v>537</v>
      </c>
      <c r="D88"/>
      <c r="E88" s="598"/>
    </row>
    <row r="89" spans="2:5" x14ac:dyDescent="0.3">
      <c r="B89"/>
      <c r="C89"/>
      <c r="D89"/>
      <c r="E89" s="598"/>
    </row>
    <row r="90" spans="2:5" x14ac:dyDescent="0.3">
      <c r="B90" s="137" t="s">
        <v>410</v>
      </c>
      <c r="C90" s="301" t="s">
        <v>1706</v>
      </c>
      <c r="D90" s="301" t="s">
        <v>788</v>
      </c>
      <c r="E90" s="301" t="s">
        <v>1436</v>
      </c>
    </row>
    <row r="91" spans="2:5" x14ac:dyDescent="0.3">
      <c r="B91" s="6" t="s">
        <v>378</v>
      </c>
      <c r="C91" s="133">
        <v>136</v>
      </c>
      <c r="D91" s="133">
        <v>97514</v>
      </c>
      <c r="E91" s="36">
        <v>0.91530641936604185</v>
      </c>
    </row>
    <row r="92" spans="2:5" x14ac:dyDescent="0.3">
      <c r="B92" s="659" t="s">
        <v>464</v>
      </c>
      <c r="C92" s="133">
        <v>117</v>
      </c>
      <c r="D92" s="133">
        <v>57716</v>
      </c>
      <c r="E92" s="36">
        <v>0.54174606005425341</v>
      </c>
    </row>
    <row r="93" spans="2:5" x14ac:dyDescent="0.3">
      <c r="B93" s="659" t="s">
        <v>466</v>
      </c>
      <c r="C93" s="133">
        <v>19</v>
      </c>
      <c r="D93" s="133">
        <v>39798</v>
      </c>
      <c r="E93" s="36">
        <v>0.37356035931178838</v>
      </c>
    </row>
    <row r="94" spans="2:5" x14ac:dyDescent="0.3">
      <c r="B94" s="6" t="s">
        <v>506</v>
      </c>
      <c r="C94" s="133">
        <v>33</v>
      </c>
      <c r="D94" s="133">
        <v>9023</v>
      </c>
      <c r="E94" s="36">
        <v>8.4693580633958154E-2</v>
      </c>
    </row>
    <row r="95" spans="2:5" x14ac:dyDescent="0.3">
      <c r="B95" s="659" t="s">
        <v>464</v>
      </c>
      <c r="C95" s="133">
        <v>33</v>
      </c>
      <c r="D95" s="133">
        <v>9023</v>
      </c>
      <c r="E95" s="36">
        <v>8.4693580633958154E-2</v>
      </c>
    </row>
    <row r="96" spans="2:5" x14ac:dyDescent="0.3">
      <c r="B96" s="6" t="s">
        <v>411</v>
      </c>
      <c r="C96" s="133">
        <v>169</v>
      </c>
      <c r="D96" s="133">
        <v>106537</v>
      </c>
      <c r="E96" s="672">
        <v>1</v>
      </c>
    </row>
    <row r="97" spans="2:5" x14ac:dyDescent="0.3">
      <c r="B97"/>
      <c r="C97"/>
      <c r="D97"/>
      <c r="E97"/>
    </row>
    <row r="98" spans="2:5" x14ac:dyDescent="0.3">
      <c r="B98"/>
      <c r="C98"/>
      <c r="D98"/>
      <c r="E98" s="598"/>
    </row>
    <row r="99" spans="2:5" x14ac:dyDescent="0.3">
      <c r="B99"/>
      <c r="C99"/>
      <c r="D99"/>
      <c r="E99" s="598"/>
    </row>
    <row r="100" spans="2:5" x14ac:dyDescent="0.3">
      <c r="B100"/>
      <c r="C100"/>
      <c r="D100"/>
      <c r="E100" s="598"/>
    </row>
    <row r="101" spans="2:5" x14ac:dyDescent="0.3">
      <c r="B101"/>
      <c r="C101"/>
      <c r="D101"/>
      <c r="E101" s="598"/>
    </row>
    <row r="102" spans="2:5" x14ac:dyDescent="0.3">
      <c r="B102"/>
      <c r="C102"/>
      <c r="D102"/>
      <c r="E102" s="598"/>
    </row>
    <row r="103" spans="2:5" x14ac:dyDescent="0.3">
      <c r="B103"/>
      <c r="C103"/>
      <c r="D103"/>
      <c r="E103" s="598"/>
    </row>
    <row r="104" spans="2:5" x14ac:dyDescent="0.3">
      <c r="B104"/>
      <c r="C104"/>
      <c r="D104"/>
      <c r="E104" s="598"/>
    </row>
    <row r="105" spans="2:5" x14ac:dyDescent="0.3">
      <c r="B105"/>
      <c r="C105"/>
      <c r="D105"/>
      <c r="E105" s="598"/>
    </row>
    <row r="106" spans="2:5" x14ac:dyDescent="0.3">
      <c r="B106"/>
      <c r="C106"/>
      <c r="D106"/>
      <c r="E106" s="598"/>
    </row>
    <row r="107" spans="2:5" x14ac:dyDescent="0.3">
      <c r="B107"/>
      <c r="C107"/>
      <c r="D107"/>
      <c r="E107" s="598"/>
    </row>
    <row r="108" spans="2:5" x14ac:dyDescent="0.3">
      <c r="B108"/>
      <c r="C108"/>
      <c r="D108" s="598"/>
      <c r="E108" s="598"/>
    </row>
    <row r="109" spans="2:5" x14ac:dyDescent="0.3">
      <c r="B109"/>
      <c r="C109"/>
      <c r="D109" s="598"/>
      <c r="E109" s="598"/>
    </row>
    <row r="110" spans="2:5" x14ac:dyDescent="0.3">
      <c r="B110"/>
      <c r="C110"/>
      <c r="D110" s="598"/>
      <c r="E110" s="598"/>
    </row>
    <row r="111" spans="2:5" x14ac:dyDescent="0.3">
      <c r="B111"/>
      <c r="C111"/>
      <c r="D111" s="598"/>
      <c r="E111" s="598"/>
    </row>
    <row r="112" spans="2:5" x14ac:dyDescent="0.3">
      <c r="B112"/>
      <c r="C112"/>
      <c r="D112" s="598"/>
      <c r="E112" s="598"/>
    </row>
    <row r="113" spans="2:5" x14ac:dyDescent="0.3">
      <c r="B113"/>
      <c r="C113"/>
      <c r="D113" s="598"/>
      <c r="E113" s="598"/>
    </row>
    <row r="114" spans="2:5" x14ac:dyDescent="0.3">
      <c r="B114" s="598"/>
      <c r="C114" s="598"/>
      <c r="D114" s="598"/>
      <c r="E114" s="598"/>
    </row>
    <row r="115" spans="2:5" x14ac:dyDescent="0.3">
      <c r="B115" s="598"/>
      <c r="C115" s="598"/>
      <c r="D115" s="598"/>
      <c r="E115" s="598"/>
    </row>
    <row r="116" spans="2:5" x14ac:dyDescent="0.3">
      <c r="B116" s="598"/>
      <c r="C116" s="598"/>
      <c r="D116" s="598"/>
      <c r="E116" s="598"/>
    </row>
    <row r="117" spans="2:5" x14ac:dyDescent="0.3">
      <c r="B117" s="598"/>
      <c r="C117" s="598"/>
      <c r="D117" s="598"/>
      <c r="E117" s="598"/>
    </row>
    <row r="118" spans="2:5" x14ac:dyDescent="0.3">
      <c r="B118" s="598"/>
      <c r="C118" s="598"/>
      <c r="D118" s="598"/>
      <c r="E118" s="598"/>
    </row>
    <row r="119" spans="2:5" x14ac:dyDescent="0.3">
      <c r="B119" s="598"/>
      <c r="C119" s="598"/>
      <c r="D119" s="598"/>
      <c r="E119" s="598"/>
    </row>
    <row r="120" spans="2:5" x14ac:dyDescent="0.3">
      <c r="B120" s="598"/>
      <c r="C120" s="598"/>
      <c r="D120" s="598"/>
      <c r="E120" s="598"/>
    </row>
    <row r="121" spans="2:5" x14ac:dyDescent="0.3">
      <c r="B121" s="598"/>
      <c r="C121" s="598"/>
      <c r="D121" s="598"/>
      <c r="E121" s="598"/>
    </row>
    <row r="122" spans="2:5" x14ac:dyDescent="0.3">
      <c r="B122" s="598"/>
      <c r="C122" s="598"/>
      <c r="D122" s="598"/>
      <c r="E122" s="598"/>
    </row>
    <row r="123" spans="2:5" x14ac:dyDescent="0.3">
      <c r="B123" s="598"/>
      <c r="C123" s="598"/>
      <c r="D123" s="598"/>
      <c r="E123" s="598"/>
    </row>
    <row r="124" spans="2:5" x14ac:dyDescent="0.3">
      <c r="B124" s="598"/>
      <c r="C124" s="598"/>
      <c r="D124" s="598"/>
      <c r="E124" s="598"/>
    </row>
    <row r="125" spans="2:5" x14ac:dyDescent="0.3">
      <c r="B125" s="598"/>
      <c r="C125" s="598"/>
      <c r="D125" s="598"/>
      <c r="E125" s="598"/>
    </row>
    <row r="126" spans="2:5" x14ac:dyDescent="0.3">
      <c r="B126" s="598"/>
      <c r="C126" s="598"/>
      <c r="D126" s="598"/>
      <c r="E126" s="598"/>
    </row>
    <row r="127" spans="2:5" x14ac:dyDescent="0.3">
      <c r="B127" s="598"/>
      <c r="C127" s="598"/>
      <c r="D127" s="598"/>
      <c r="E127" s="598"/>
    </row>
    <row r="128" spans="2:5" x14ac:dyDescent="0.3">
      <c r="B128" s="598"/>
      <c r="C128" s="598"/>
      <c r="D128" s="598"/>
      <c r="E128" s="598"/>
    </row>
    <row r="129" spans="2:5" x14ac:dyDescent="0.3">
      <c r="B129" s="598"/>
      <c r="C129" s="598"/>
      <c r="D129" s="598"/>
      <c r="E129" s="598"/>
    </row>
    <row r="130" spans="2:5" x14ac:dyDescent="0.3">
      <c r="B130" s="598"/>
      <c r="C130" s="598"/>
      <c r="D130" s="598"/>
      <c r="E130" s="598"/>
    </row>
    <row r="131" spans="2:5" x14ac:dyDescent="0.3">
      <c r="B131" s="598"/>
      <c r="C131" s="598"/>
      <c r="D131" s="598"/>
      <c r="E131" s="598"/>
    </row>
    <row r="132" spans="2:5" x14ac:dyDescent="0.3">
      <c r="B132" s="598"/>
      <c r="C132" s="598"/>
      <c r="D132" s="598"/>
      <c r="E132" s="598"/>
    </row>
    <row r="133" spans="2:5" x14ac:dyDescent="0.3">
      <c r="B133" s="598"/>
      <c r="C133" s="598"/>
      <c r="D133" s="598"/>
      <c r="E133" s="598"/>
    </row>
    <row r="134" spans="2:5" x14ac:dyDescent="0.3">
      <c r="B134" s="598"/>
      <c r="C134" s="598"/>
      <c r="D134" s="598"/>
      <c r="E134" s="598"/>
    </row>
    <row r="135" spans="2:5" x14ac:dyDescent="0.3">
      <c r="B135" s="598"/>
      <c r="C135" s="598"/>
      <c r="D135" s="598"/>
      <c r="E135" s="598"/>
    </row>
    <row r="136" spans="2:5" x14ac:dyDescent="0.3">
      <c r="B136" s="598"/>
      <c r="C136" s="598"/>
      <c r="D136" s="598"/>
      <c r="E136" s="598"/>
    </row>
    <row r="137" spans="2:5" x14ac:dyDescent="0.3">
      <c r="B137" s="598"/>
      <c r="C137" s="598"/>
      <c r="D137" s="598"/>
      <c r="E137" s="598"/>
    </row>
    <row r="138" spans="2:5" x14ac:dyDescent="0.3">
      <c r="B138" s="598"/>
      <c r="C138" s="598"/>
      <c r="D138" s="598"/>
      <c r="E138" s="598"/>
    </row>
    <row r="139" spans="2:5" x14ac:dyDescent="0.3">
      <c r="B139" s="598"/>
      <c r="C139" s="598"/>
      <c r="D139" s="598"/>
      <c r="E139" s="598"/>
    </row>
    <row r="140" spans="2:5" x14ac:dyDescent="0.3">
      <c r="B140" s="598"/>
      <c r="C140" s="598"/>
      <c r="D140" s="598"/>
      <c r="E140" s="598"/>
    </row>
    <row r="141" spans="2:5" x14ac:dyDescent="0.3">
      <c r="B141" s="598"/>
      <c r="C141" s="598"/>
      <c r="D141" s="598"/>
      <c r="E141" s="598"/>
    </row>
    <row r="142" spans="2:5" x14ac:dyDescent="0.3">
      <c r="B142" s="598"/>
      <c r="C142" s="598"/>
      <c r="D142" s="598"/>
      <c r="E142" s="598"/>
    </row>
    <row r="143" spans="2:5" x14ac:dyDescent="0.3">
      <c r="B143" s="598"/>
      <c r="C143" s="598"/>
      <c r="D143" s="598"/>
      <c r="E143" s="598"/>
    </row>
    <row r="144" spans="2:5" x14ac:dyDescent="0.3">
      <c r="B144" s="598"/>
      <c r="C144" s="598"/>
      <c r="D144" s="598"/>
      <c r="E144" s="598"/>
    </row>
    <row r="145" spans="2:5" x14ac:dyDescent="0.3">
      <c r="B145" s="598"/>
      <c r="C145" s="598"/>
      <c r="D145" s="598"/>
      <c r="E145" s="598"/>
    </row>
    <row r="146" spans="2:5" x14ac:dyDescent="0.3">
      <c r="B146" s="598"/>
      <c r="C146" s="598"/>
      <c r="D146" s="598"/>
      <c r="E146" s="598"/>
    </row>
    <row r="147" spans="2:5" x14ac:dyDescent="0.3">
      <c r="B147" s="598"/>
      <c r="C147" s="598"/>
      <c r="D147" s="598"/>
      <c r="E147" s="598"/>
    </row>
    <row r="148" spans="2:5" x14ac:dyDescent="0.3">
      <c r="B148" s="598"/>
      <c r="C148" s="598"/>
      <c r="D148" s="598"/>
      <c r="E148" s="598"/>
    </row>
    <row r="149" spans="2:5" x14ac:dyDescent="0.3">
      <c r="B149" s="598"/>
      <c r="C149" s="598"/>
      <c r="D149" s="598"/>
      <c r="E149" s="598"/>
    </row>
    <row r="150" spans="2:5" x14ac:dyDescent="0.3">
      <c r="B150" s="598"/>
      <c r="C150" s="598"/>
      <c r="D150" s="598"/>
      <c r="E150" s="598"/>
    </row>
    <row r="151" spans="2:5" x14ac:dyDescent="0.3">
      <c r="B151" s="598"/>
      <c r="C151" s="598"/>
      <c r="D151" s="598"/>
      <c r="E151" s="598"/>
    </row>
    <row r="152" spans="2:5" x14ac:dyDescent="0.3">
      <c r="B152" s="598"/>
      <c r="C152" s="598"/>
      <c r="D152" s="598"/>
      <c r="E152" s="598"/>
    </row>
    <row r="153" spans="2:5" x14ac:dyDescent="0.3">
      <c r="B153" s="598"/>
      <c r="C153" s="598"/>
      <c r="D153" s="598"/>
      <c r="E153" s="598"/>
    </row>
    <row r="154" spans="2:5" x14ac:dyDescent="0.3">
      <c r="B154" s="598"/>
      <c r="C154" s="598"/>
      <c r="D154" s="598"/>
      <c r="E154" s="598"/>
    </row>
    <row r="155" spans="2:5" x14ac:dyDescent="0.3">
      <c r="B155" s="598"/>
      <c r="C155" s="598"/>
      <c r="D155" s="598"/>
      <c r="E155" s="598"/>
    </row>
    <row r="156" spans="2:5" x14ac:dyDescent="0.3">
      <c r="B156" s="598"/>
      <c r="C156" s="598"/>
      <c r="D156" s="598"/>
      <c r="E156" s="598"/>
    </row>
    <row r="157" spans="2:5" x14ac:dyDescent="0.3">
      <c r="B157" s="598"/>
      <c r="C157" s="598"/>
      <c r="D157" s="598"/>
      <c r="E157" s="598"/>
    </row>
    <row r="158" spans="2:5" x14ac:dyDescent="0.3">
      <c r="B158" s="598"/>
      <c r="C158" s="598"/>
      <c r="D158" s="598"/>
      <c r="E158" s="598"/>
    </row>
    <row r="159" spans="2:5" x14ac:dyDescent="0.3">
      <c r="B159" s="598"/>
      <c r="C159" s="598"/>
      <c r="D159" s="598"/>
      <c r="E159" s="598"/>
    </row>
    <row r="160" spans="2:5" x14ac:dyDescent="0.3">
      <c r="B160" s="598"/>
      <c r="C160" s="598"/>
      <c r="D160" s="598"/>
      <c r="E160" s="598"/>
    </row>
    <row r="161" spans="2:5" x14ac:dyDescent="0.3">
      <c r="B161" s="598"/>
      <c r="C161" s="598"/>
      <c r="D161" s="598"/>
      <c r="E161" s="598"/>
    </row>
    <row r="162" spans="2:5" x14ac:dyDescent="0.3">
      <c r="B162" s="598"/>
      <c r="C162" s="598"/>
      <c r="D162" s="598"/>
      <c r="E162" s="598"/>
    </row>
    <row r="163" spans="2:5" x14ac:dyDescent="0.3">
      <c r="B163" s="598"/>
      <c r="C163" s="598"/>
      <c r="D163" s="598"/>
      <c r="E163" s="598"/>
    </row>
    <row r="164" spans="2:5" x14ac:dyDescent="0.3">
      <c r="B164" s="598"/>
      <c r="C164" s="598"/>
      <c r="D164" s="598"/>
      <c r="E164" s="598"/>
    </row>
    <row r="165" spans="2:5" x14ac:dyDescent="0.3">
      <c r="B165" s="598"/>
      <c r="C165" s="598"/>
      <c r="D165" s="598"/>
      <c r="E165" s="598"/>
    </row>
    <row r="166" spans="2:5" x14ac:dyDescent="0.3">
      <c r="B166" s="598"/>
      <c r="C166" s="598"/>
      <c r="D166" s="598"/>
      <c r="E166" s="598"/>
    </row>
    <row r="167" spans="2:5" x14ac:dyDescent="0.3">
      <c r="B167" s="598"/>
      <c r="C167" s="598"/>
      <c r="D167" s="598"/>
      <c r="E167" s="598"/>
    </row>
    <row r="168" spans="2:5" x14ac:dyDescent="0.3">
      <c r="B168" s="598"/>
      <c r="C168" s="598"/>
      <c r="D168" s="598"/>
      <c r="E168" s="598"/>
    </row>
    <row r="169" spans="2:5" x14ac:dyDescent="0.3">
      <c r="B169" s="598"/>
      <c r="C169" s="598"/>
      <c r="D169" s="598"/>
      <c r="E169" s="598"/>
    </row>
    <row r="170" spans="2:5" x14ac:dyDescent="0.3">
      <c r="B170" s="598"/>
      <c r="C170" s="598"/>
      <c r="D170" s="598"/>
      <c r="E170" s="598"/>
    </row>
    <row r="171" spans="2:5" x14ac:dyDescent="0.3">
      <c r="B171" s="598"/>
      <c r="C171" s="598"/>
      <c r="D171" s="598"/>
      <c r="E171" s="598"/>
    </row>
    <row r="172" spans="2:5" x14ac:dyDescent="0.3">
      <c r="B172" s="598"/>
      <c r="C172" s="598"/>
      <c r="D172" s="598"/>
      <c r="E172" s="598"/>
    </row>
    <row r="173" spans="2:5" x14ac:dyDescent="0.3">
      <c r="B173" s="598"/>
      <c r="C173" s="598"/>
      <c r="D173" s="598"/>
      <c r="E173" s="598"/>
    </row>
    <row r="174" spans="2:5" x14ac:dyDescent="0.3">
      <c r="B174" s="598"/>
      <c r="C174" s="598"/>
      <c r="D174" s="598"/>
      <c r="E174" s="598"/>
    </row>
    <row r="175" spans="2:5" x14ac:dyDescent="0.3">
      <c r="B175" s="598"/>
      <c r="C175" s="598"/>
      <c r="D175" s="598"/>
      <c r="E175" s="598"/>
    </row>
    <row r="176" spans="2:5" x14ac:dyDescent="0.3">
      <c r="B176" s="598"/>
      <c r="C176" s="598"/>
      <c r="D176" s="598"/>
      <c r="E176" s="598"/>
    </row>
    <row r="177" spans="2:5" x14ac:dyDescent="0.3">
      <c r="B177" s="598"/>
      <c r="C177" s="598"/>
      <c r="D177" s="598"/>
      <c r="E177" s="598"/>
    </row>
    <row r="178" spans="2:5" x14ac:dyDescent="0.3">
      <c r="B178" s="598"/>
      <c r="C178" s="598"/>
      <c r="D178" s="598"/>
      <c r="E178" s="598"/>
    </row>
    <row r="179" spans="2:5" x14ac:dyDescent="0.3">
      <c r="B179" s="598"/>
      <c r="C179" s="598"/>
      <c r="D179" s="598"/>
      <c r="E179" s="598"/>
    </row>
    <row r="180" spans="2:5" x14ac:dyDescent="0.3">
      <c r="B180" s="598"/>
      <c r="C180" s="598"/>
      <c r="D180" s="598"/>
      <c r="E180" s="598"/>
    </row>
    <row r="181" spans="2:5" x14ac:dyDescent="0.3">
      <c r="B181" s="598"/>
      <c r="C181" s="598"/>
      <c r="D181" s="598"/>
      <c r="E181" s="598"/>
    </row>
    <row r="182" spans="2:5" x14ac:dyDescent="0.3">
      <c r="B182" s="598"/>
      <c r="C182" s="598"/>
      <c r="D182" s="598"/>
      <c r="E182" s="598"/>
    </row>
    <row r="183" spans="2:5" x14ac:dyDescent="0.3">
      <c r="B183" s="598"/>
      <c r="C183" s="598"/>
      <c r="D183" s="598"/>
      <c r="E183" s="598"/>
    </row>
    <row r="184" spans="2:5" x14ac:dyDescent="0.3">
      <c r="B184" s="598"/>
      <c r="C184" s="598"/>
      <c r="D184" s="598"/>
      <c r="E184" s="598"/>
    </row>
    <row r="185" spans="2:5" x14ac:dyDescent="0.3">
      <c r="B185" s="598"/>
      <c r="C185" s="598"/>
      <c r="D185" s="598"/>
      <c r="E185" s="598"/>
    </row>
    <row r="186" spans="2:5" x14ac:dyDescent="0.3">
      <c r="B186" s="598"/>
      <c r="C186" s="598"/>
      <c r="D186" s="598"/>
      <c r="E186" s="598"/>
    </row>
    <row r="187" spans="2:5" x14ac:dyDescent="0.3">
      <c r="B187" s="598"/>
      <c r="C187" s="598"/>
      <c r="D187" s="598"/>
      <c r="E187" s="598"/>
    </row>
    <row r="188" spans="2:5" x14ac:dyDescent="0.3">
      <c r="B188" s="598"/>
      <c r="C188" s="598"/>
      <c r="D188" s="598"/>
      <c r="E188" s="598"/>
    </row>
    <row r="189" spans="2:5" x14ac:dyDescent="0.3">
      <c r="B189" s="598"/>
      <c r="C189" s="598"/>
      <c r="D189" s="598"/>
      <c r="E189" s="598"/>
    </row>
    <row r="190" spans="2:5" x14ac:dyDescent="0.3">
      <c r="B190" s="598"/>
      <c r="C190" s="598"/>
      <c r="D190" s="598"/>
      <c r="E190" s="598"/>
    </row>
    <row r="191" spans="2:5" x14ac:dyDescent="0.3">
      <c r="B191" s="598"/>
      <c r="C191" s="598"/>
      <c r="D191" s="598"/>
      <c r="E191" s="598"/>
    </row>
    <row r="192" spans="2:5" x14ac:dyDescent="0.3">
      <c r="B192" s="598"/>
      <c r="C192" s="598"/>
      <c r="D192" s="598"/>
      <c r="E192" s="598"/>
    </row>
    <row r="193" spans="2:5" x14ac:dyDescent="0.3">
      <c r="B193" s="598"/>
      <c r="C193" s="598"/>
      <c r="D193" s="598"/>
      <c r="E193" s="598"/>
    </row>
    <row r="194" spans="2:5" x14ac:dyDescent="0.3">
      <c r="B194" s="598"/>
      <c r="C194" s="598"/>
      <c r="D194" s="598"/>
      <c r="E194" s="598"/>
    </row>
    <row r="195" spans="2:5" x14ac:dyDescent="0.3">
      <c r="B195" s="598"/>
      <c r="C195" s="598"/>
      <c r="D195" s="598"/>
      <c r="E195" s="598"/>
    </row>
    <row r="196" spans="2:5" x14ac:dyDescent="0.3">
      <c r="B196" s="598"/>
      <c r="C196" s="598"/>
      <c r="D196" s="598"/>
      <c r="E196" s="598"/>
    </row>
    <row r="197" spans="2:5" x14ac:dyDescent="0.3">
      <c r="B197" s="598"/>
      <c r="C197" s="598"/>
      <c r="D197" s="598"/>
      <c r="E197" s="598"/>
    </row>
    <row r="198" spans="2:5" x14ac:dyDescent="0.3">
      <c r="B198" s="598"/>
      <c r="C198" s="598"/>
      <c r="D198" s="598"/>
      <c r="E198" s="598"/>
    </row>
    <row r="199" spans="2:5" x14ac:dyDescent="0.3">
      <c r="B199" s="598"/>
      <c r="C199" s="598"/>
      <c r="D199" s="598"/>
      <c r="E199" s="598"/>
    </row>
    <row r="200" spans="2:5" x14ac:dyDescent="0.3">
      <c r="B200" s="598"/>
      <c r="C200" s="598"/>
      <c r="D200" s="598"/>
      <c r="E200" s="598"/>
    </row>
    <row r="201" spans="2:5" x14ac:dyDescent="0.3">
      <c r="B201" s="598"/>
      <c r="C201" s="598"/>
      <c r="D201" s="598"/>
      <c r="E201" s="598"/>
    </row>
    <row r="202" spans="2:5" x14ac:dyDescent="0.3">
      <c r="B202" s="598"/>
      <c r="C202" s="598"/>
      <c r="D202" s="598"/>
      <c r="E202" s="598"/>
    </row>
    <row r="203" spans="2:5" x14ac:dyDescent="0.3">
      <c r="B203" s="598"/>
      <c r="C203" s="598"/>
      <c r="D203" s="598"/>
      <c r="E203" s="598"/>
    </row>
    <row r="204" spans="2:5" x14ac:dyDescent="0.3">
      <c r="B204" s="598"/>
      <c r="C204" s="598"/>
      <c r="D204" s="598"/>
      <c r="E204" s="598"/>
    </row>
    <row r="205" spans="2:5" x14ac:dyDescent="0.3">
      <c r="B205" s="598"/>
      <c r="C205" s="598"/>
      <c r="D205" s="598"/>
      <c r="E205" s="598"/>
    </row>
    <row r="206" spans="2:5" x14ac:dyDescent="0.3">
      <c r="B206" s="598"/>
      <c r="C206" s="598"/>
      <c r="D206" s="598"/>
      <c r="E206" s="598"/>
    </row>
    <row r="207" spans="2:5" x14ac:dyDescent="0.3">
      <c r="B207" s="598"/>
      <c r="C207" s="598"/>
      <c r="D207" s="598"/>
      <c r="E207" s="598"/>
    </row>
    <row r="208" spans="2:5" x14ac:dyDescent="0.3">
      <c r="B208" s="598"/>
      <c r="C208" s="598"/>
      <c r="D208" s="598"/>
      <c r="E208" s="598"/>
    </row>
    <row r="209" spans="2:5" x14ac:dyDescent="0.3">
      <c r="B209" s="598"/>
      <c r="C209" s="598"/>
      <c r="D209" s="598"/>
      <c r="E209" s="598"/>
    </row>
    <row r="210" spans="2:5" x14ac:dyDescent="0.3">
      <c r="B210" s="598"/>
      <c r="C210" s="598"/>
      <c r="D210" s="598"/>
      <c r="E210" s="598"/>
    </row>
    <row r="211" spans="2:5" x14ac:dyDescent="0.3">
      <c r="B211" s="598"/>
      <c r="C211" s="598"/>
      <c r="D211" s="598"/>
      <c r="E211" s="598"/>
    </row>
    <row r="212" spans="2:5" x14ac:dyDescent="0.3">
      <c r="B212" s="598"/>
      <c r="C212" s="598"/>
      <c r="D212" s="598"/>
      <c r="E212" s="598"/>
    </row>
    <row r="213" spans="2:5" x14ac:dyDescent="0.3">
      <c r="B213" s="598"/>
      <c r="C213" s="598"/>
      <c r="D213" s="598"/>
      <c r="E213" s="598"/>
    </row>
    <row r="214" spans="2:5" x14ac:dyDescent="0.3">
      <c r="B214" s="598"/>
      <c r="C214" s="598"/>
      <c r="D214" s="598"/>
      <c r="E214" s="598"/>
    </row>
    <row r="215" spans="2:5" x14ac:dyDescent="0.3">
      <c r="B215" s="598"/>
      <c r="C215" s="598"/>
      <c r="D215" s="598"/>
      <c r="E215" s="598"/>
    </row>
    <row r="216" spans="2:5" x14ac:dyDescent="0.3">
      <c r="B216" s="598"/>
      <c r="C216" s="598"/>
      <c r="D216" s="598"/>
      <c r="E216" s="598"/>
    </row>
    <row r="217" spans="2:5" x14ac:dyDescent="0.3">
      <c r="B217" s="598"/>
      <c r="C217" s="598"/>
      <c r="D217" s="598"/>
      <c r="E217" s="598"/>
    </row>
    <row r="218" spans="2:5" x14ac:dyDescent="0.3">
      <c r="B218" s="598"/>
      <c r="C218" s="598"/>
      <c r="D218" s="598"/>
      <c r="E218" s="598"/>
    </row>
    <row r="219" spans="2:5" x14ac:dyDescent="0.3">
      <c r="B219" s="598"/>
      <c r="C219" s="598"/>
      <c r="D219" s="598"/>
      <c r="E219" s="598"/>
    </row>
    <row r="220" spans="2:5" x14ac:dyDescent="0.3">
      <c r="B220" s="598"/>
      <c r="C220" s="598"/>
      <c r="D220" s="598"/>
      <c r="E220" s="598"/>
    </row>
    <row r="221" spans="2:5" x14ac:dyDescent="0.3">
      <c r="B221" s="598"/>
      <c r="C221" s="598"/>
      <c r="D221" s="598"/>
      <c r="E221" s="598"/>
    </row>
    <row r="222" spans="2:5" x14ac:dyDescent="0.3">
      <c r="B222" s="598"/>
      <c r="C222" s="598"/>
      <c r="D222" s="598"/>
      <c r="E222" s="598"/>
    </row>
    <row r="223" spans="2:5" x14ac:dyDescent="0.3">
      <c r="B223" s="598"/>
      <c r="C223" s="598"/>
      <c r="D223" s="598"/>
      <c r="E223" s="598"/>
    </row>
    <row r="224" spans="2:5" x14ac:dyDescent="0.3">
      <c r="B224" s="598"/>
      <c r="C224" s="598"/>
      <c r="D224" s="598"/>
      <c r="E224" s="598"/>
    </row>
    <row r="225" spans="2:5" x14ac:dyDescent="0.3">
      <c r="B225" s="598"/>
      <c r="C225" s="598"/>
      <c r="D225" s="598"/>
      <c r="E225" s="598"/>
    </row>
    <row r="226" spans="2:5" x14ac:dyDescent="0.3">
      <c r="B226" s="598"/>
      <c r="C226" s="598"/>
      <c r="D226" s="598"/>
      <c r="E226" s="598"/>
    </row>
    <row r="227" spans="2:5" x14ac:dyDescent="0.3">
      <c r="B227" s="598"/>
      <c r="C227" s="598"/>
      <c r="D227" s="598"/>
      <c r="E227" s="598"/>
    </row>
    <row r="228" spans="2:5" x14ac:dyDescent="0.3">
      <c r="B228" s="598"/>
      <c r="C228" s="598"/>
      <c r="D228" s="598"/>
      <c r="E228" s="598"/>
    </row>
    <row r="229" spans="2:5" x14ac:dyDescent="0.3">
      <c r="B229" s="598"/>
      <c r="C229" s="598"/>
      <c r="D229" s="598"/>
      <c r="E229" s="598"/>
    </row>
    <row r="230" spans="2:5" x14ac:dyDescent="0.3">
      <c r="B230" s="598"/>
      <c r="C230" s="598"/>
      <c r="D230" s="598"/>
      <c r="E230" s="598"/>
    </row>
    <row r="231" spans="2:5" x14ac:dyDescent="0.3">
      <c r="B231" s="598"/>
      <c r="C231" s="598"/>
      <c r="D231" s="598"/>
      <c r="E231" s="598"/>
    </row>
    <row r="232" spans="2:5" x14ac:dyDescent="0.3">
      <c r="B232" s="598"/>
      <c r="C232" s="598"/>
      <c r="D232" s="598"/>
      <c r="E232" s="598"/>
    </row>
    <row r="233" spans="2:5" x14ac:dyDescent="0.3">
      <c r="B233" s="598"/>
      <c r="C233" s="598"/>
      <c r="D233" s="598"/>
      <c r="E233" s="598"/>
    </row>
    <row r="234" spans="2:5" x14ac:dyDescent="0.3">
      <c r="B234" s="598"/>
      <c r="C234" s="598"/>
      <c r="D234" s="598"/>
      <c r="E234" s="598"/>
    </row>
    <row r="235" spans="2:5" x14ac:dyDescent="0.3">
      <c r="B235" s="598"/>
      <c r="C235" s="598"/>
      <c r="D235" s="598"/>
      <c r="E235" s="598"/>
    </row>
    <row r="236" spans="2:5" x14ac:dyDescent="0.3">
      <c r="B236" s="598"/>
      <c r="C236" s="598"/>
      <c r="D236" s="598"/>
      <c r="E236" s="598"/>
    </row>
    <row r="237" spans="2:5" x14ac:dyDescent="0.3">
      <c r="B237" s="598"/>
      <c r="C237" s="598"/>
      <c r="D237" s="598"/>
      <c r="E237" s="598"/>
    </row>
    <row r="238" spans="2:5" x14ac:dyDescent="0.3">
      <c r="B238" s="598"/>
      <c r="C238" s="598"/>
      <c r="D238" s="598"/>
      <c r="E238" s="598"/>
    </row>
    <row r="239" spans="2:5" x14ac:dyDescent="0.3">
      <c r="B239" s="598"/>
      <c r="C239" s="598"/>
      <c r="D239" s="598"/>
      <c r="E239" s="598"/>
    </row>
    <row r="240" spans="2:5" x14ac:dyDescent="0.3">
      <c r="B240" s="598"/>
      <c r="C240" s="598"/>
      <c r="D240" s="598"/>
      <c r="E240" s="598"/>
    </row>
    <row r="241" spans="2:5" x14ac:dyDescent="0.3">
      <c r="B241" s="598"/>
      <c r="C241" s="598"/>
      <c r="D241" s="598"/>
      <c r="E241" s="598"/>
    </row>
    <row r="242" spans="2:5" x14ac:dyDescent="0.3">
      <c r="B242" s="598"/>
      <c r="C242" s="598"/>
      <c r="D242" s="598"/>
      <c r="E242" s="598"/>
    </row>
    <row r="243" spans="2:5" x14ac:dyDescent="0.3">
      <c r="B243" s="598"/>
      <c r="C243" s="598"/>
      <c r="D243" s="598"/>
      <c r="E243" s="598"/>
    </row>
    <row r="244" spans="2:5" x14ac:dyDescent="0.3">
      <c r="B244" s="598"/>
      <c r="C244" s="598"/>
      <c r="D244" s="598"/>
      <c r="E244" s="598"/>
    </row>
    <row r="245" spans="2:5" x14ac:dyDescent="0.3">
      <c r="B245" s="598"/>
      <c r="C245" s="598"/>
      <c r="D245" s="598"/>
      <c r="E245" s="598"/>
    </row>
    <row r="246" spans="2:5" x14ac:dyDescent="0.3">
      <c r="B246" s="598"/>
      <c r="C246" s="598"/>
      <c r="D246" s="598"/>
      <c r="E246" s="598"/>
    </row>
    <row r="247" spans="2:5" x14ac:dyDescent="0.3">
      <c r="B247" s="598"/>
      <c r="C247" s="598"/>
      <c r="D247" s="598"/>
      <c r="E247" s="598"/>
    </row>
    <row r="248" spans="2:5" x14ac:dyDescent="0.3">
      <c r="B248" s="598"/>
      <c r="C248" s="598"/>
      <c r="D248" s="598"/>
      <c r="E248" s="598"/>
    </row>
    <row r="249" spans="2:5" x14ac:dyDescent="0.3">
      <c r="B249" s="598"/>
      <c r="C249" s="598"/>
      <c r="D249" s="598"/>
      <c r="E249" s="598"/>
    </row>
    <row r="250" spans="2:5" x14ac:dyDescent="0.3">
      <c r="B250" s="598"/>
      <c r="C250" s="598"/>
      <c r="D250" s="598"/>
      <c r="E250" s="598"/>
    </row>
    <row r="251" spans="2:5" x14ac:dyDescent="0.3">
      <c r="B251" s="598"/>
      <c r="C251" s="598"/>
      <c r="D251" s="598"/>
      <c r="E251" s="598"/>
    </row>
    <row r="252" spans="2:5" x14ac:dyDescent="0.3">
      <c r="B252" s="598"/>
      <c r="C252" s="598"/>
      <c r="D252" s="598"/>
      <c r="E252" s="598"/>
    </row>
    <row r="253" spans="2:5" x14ac:dyDescent="0.3">
      <c r="B253" s="598"/>
      <c r="C253" s="598"/>
      <c r="D253" s="598"/>
      <c r="E253" s="598"/>
    </row>
  </sheetData>
  <mergeCells count="11">
    <mergeCell ref="B3:D3"/>
    <mergeCell ref="M4:N4"/>
    <mergeCell ref="B52:E53"/>
    <mergeCell ref="B65:E66"/>
    <mergeCell ref="O4:T4"/>
    <mergeCell ref="M9:U9"/>
    <mergeCell ref="Z7:Z8"/>
    <mergeCell ref="Z5:Z6"/>
    <mergeCell ref="M5:U6"/>
    <mergeCell ref="M7:U8"/>
    <mergeCell ref="X4:Z4"/>
  </mergeCells>
  <dataValidations count="1">
    <dataValidation type="list" allowBlank="1" showInputMessage="1" showErrorMessage="1" sqref="O4">
      <formula1>"All,Kachin,Shan_North"</formula1>
    </dataValidation>
  </dataValidations>
  <printOptions horizontalCentered="1"/>
  <pageMargins left="0" right="0" top="0" bottom="0" header="0.3" footer="0.3"/>
  <pageSetup paperSize="9" scale="76" fitToWidth="0" orientation="portrait" r:id="rId9"/>
  <drawing r:id="rId10"/>
  <legacyDrawing r:id="rId11"/>
  <mc:AlternateContent xmlns:mc="http://schemas.openxmlformats.org/markup-compatibility/2006">
    <mc:Choice Requires="x14">
      <controls>
        <mc:AlternateContent xmlns:mc="http://schemas.openxmlformats.org/markup-compatibility/2006">
          <mc:Choice Requires="x14">
            <control shapeId="2062" r:id="rId12" name="Drop Down 14">
              <controlPr defaultSize="0" autoLine="0" autoPict="0" macro="[1]!DropDown14_Change">
                <anchor moveWithCells="1">
                  <from>
                    <xdr:col>20</xdr:col>
                    <xdr:colOff>76200</xdr:colOff>
                    <xdr:row>3</xdr:row>
                    <xdr:rowOff>236220</xdr:rowOff>
                  </from>
                  <to>
                    <xdr:col>20</xdr:col>
                    <xdr:colOff>236220</xdr:colOff>
                    <xdr:row>3</xdr:row>
                    <xdr:rowOff>441960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1:CB100"/>
  <sheetViews>
    <sheetView showZeros="0" view="pageBreakPreview" zoomScaleNormal="90" zoomScaleSheetLayoutView="100" workbookViewId="0">
      <selection activeCell="G49" sqref="G49"/>
    </sheetView>
  </sheetViews>
  <sheetFormatPr defaultColWidth="9.109375" defaultRowHeight="14.4" x14ac:dyDescent="0.3"/>
  <cols>
    <col min="1" max="1" width="1.109375" style="179" customWidth="1"/>
    <col min="2" max="2" width="21.109375" style="179" customWidth="1"/>
    <col min="3" max="3" width="10" style="179" customWidth="1"/>
    <col min="4" max="4" width="9.88671875" style="179" customWidth="1"/>
    <col min="5" max="5" width="9.6640625" style="179" customWidth="1"/>
    <col min="6" max="6" width="10.88671875" style="179" customWidth="1"/>
    <col min="7" max="7" width="11.109375" style="179" customWidth="1"/>
    <col min="8" max="8" width="11.5546875" style="179" customWidth="1"/>
    <col min="9" max="9" width="13.6640625" style="179" customWidth="1"/>
    <col min="10" max="10" width="8.33203125" style="179" customWidth="1"/>
    <col min="11" max="11" width="7.6640625" style="179" customWidth="1"/>
    <col min="12" max="12" width="9.6640625" style="179" customWidth="1"/>
    <col min="13" max="13" width="5.109375" style="179" customWidth="1"/>
    <col min="14" max="15" width="9.6640625" style="179" customWidth="1"/>
    <col min="16" max="16" width="9" style="179" customWidth="1"/>
    <col min="17" max="17" width="0.6640625" style="179" customWidth="1"/>
    <col min="18" max="18" width="26.44140625" style="179" customWidth="1"/>
    <col min="19" max="19" width="1" style="179" customWidth="1"/>
    <col min="20" max="20" width="2.88671875" style="179" customWidth="1"/>
    <col min="21" max="21" width="7.109375" style="266" customWidth="1"/>
    <col min="22" max="22" width="16.6640625" style="266" customWidth="1"/>
    <col min="23" max="25" width="7.109375" style="266" customWidth="1"/>
    <col min="26" max="26" width="13" style="266" customWidth="1"/>
    <col min="27" max="27" width="12" style="266" customWidth="1"/>
    <col min="28" max="28" width="14.109375" style="266" customWidth="1"/>
    <col min="29" max="33" width="7.109375" style="266" customWidth="1"/>
    <col min="34" max="34" width="3.88671875" style="181" customWidth="1"/>
    <col min="35" max="35" width="14.5546875" style="181" bestFit="1" customWidth="1"/>
    <col min="36" max="36" width="31.44140625" style="181" bestFit="1" customWidth="1"/>
    <col min="37" max="39" width="8" style="181" bestFit="1" customWidth="1"/>
    <col min="40" max="40" width="9.6640625" style="181" bestFit="1" customWidth="1"/>
    <col min="41" max="46" width="9.109375" style="181"/>
    <col min="47" max="80" width="9.109375" style="266"/>
    <col min="81" max="16384" width="9.109375" style="179"/>
  </cols>
  <sheetData>
    <row r="1" spans="1:80" ht="4.5" customHeight="1" thickBot="1" x14ac:dyDescent="0.35"/>
    <row r="2" spans="1:80" ht="6" customHeight="1" x14ac:dyDescent="0.3">
      <c r="A2" s="385"/>
      <c r="B2" s="386"/>
      <c r="C2" s="386"/>
      <c r="D2" s="386"/>
      <c r="E2" s="386"/>
      <c r="F2" s="386"/>
      <c r="G2" s="386"/>
      <c r="H2" s="386"/>
      <c r="I2" s="386"/>
      <c r="J2" s="386"/>
      <c r="K2" s="386"/>
      <c r="L2" s="386"/>
      <c r="M2" s="386"/>
      <c r="N2" s="386"/>
      <c r="O2" s="386"/>
      <c r="P2" s="386"/>
      <c r="Q2" s="386"/>
      <c r="R2" s="386"/>
      <c r="S2" s="387"/>
    </row>
    <row r="3" spans="1:80" s="175" customFormat="1" ht="4.5" customHeight="1" x14ac:dyDescent="0.3">
      <c r="A3" s="388"/>
      <c r="B3" s="392"/>
      <c r="C3" s="392"/>
      <c r="D3" s="392"/>
      <c r="E3" s="392"/>
      <c r="F3" s="392"/>
      <c r="G3" s="392"/>
      <c r="H3" s="392"/>
      <c r="I3" s="392"/>
      <c r="J3" s="392"/>
      <c r="K3" s="392"/>
      <c r="L3" s="392"/>
      <c r="M3" s="392"/>
      <c r="N3" s="392"/>
      <c r="O3" s="392"/>
      <c r="P3" s="392"/>
      <c r="Q3" s="389"/>
      <c r="R3" s="389"/>
      <c r="S3" s="390"/>
      <c r="U3" s="267"/>
      <c r="V3" s="267"/>
      <c r="W3" s="267"/>
      <c r="X3" s="267"/>
      <c r="Y3" s="267"/>
      <c r="Z3" s="267"/>
      <c r="AA3" s="267"/>
      <c r="AB3" s="267"/>
      <c r="AC3" s="267"/>
      <c r="AD3" s="267"/>
      <c r="AE3" s="267"/>
      <c r="AF3" s="267"/>
      <c r="AG3" s="267"/>
      <c r="AH3" s="181"/>
      <c r="AI3" s="181"/>
      <c r="AJ3" s="181"/>
      <c r="AK3" s="181"/>
      <c r="AL3" s="181"/>
      <c r="AM3" s="181"/>
      <c r="AN3" s="181"/>
      <c r="AO3" s="181"/>
      <c r="AP3" s="181"/>
      <c r="AQ3" s="181"/>
      <c r="AR3" s="181"/>
      <c r="AS3" s="181"/>
      <c r="AT3" s="181"/>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row>
    <row r="4" spans="1:80" s="175" customFormat="1" ht="26.25" customHeight="1" x14ac:dyDescent="0.3">
      <c r="A4" s="388"/>
      <c r="B4" s="828" t="s">
        <v>1402</v>
      </c>
      <c r="C4" s="828"/>
      <c r="D4" s="828"/>
      <c r="E4" s="828"/>
      <c r="F4" s="828"/>
      <c r="G4" s="828"/>
      <c r="H4" s="828"/>
      <c r="I4" s="828"/>
      <c r="J4" s="85"/>
      <c r="K4" s="85"/>
      <c r="L4" s="85"/>
      <c r="M4" s="85"/>
      <c r="N4" s="85"/>
      <c r="O4" s="85"/>
      <c r="P4" s="85"/>
      <c r="Q4" s="389"/>
      <c r="R4" s="389"/>
      <c r="S4" s="390"/>
      <c r="U4" s="267"/>
      <c r="V4" s="266"/>
      <c r="W4" s="266"/>
      <c r="X4" s="266"/>
      <c r="Y4" s="266"/>
      <c r="Z4" s="266"/>
      <c r="AA4" s="266"/>
      <c r="AB4" s="266"/>
      <c r="AC4" s="266"/>
      <c r="AD4" s="266"/>
      <c r="AE4" s="266"/>
      <c r="AF4" s="266"/>
      <c r="AG4" s="266"/>
      <c r="AH4" s="181"/>
      <c r="AI4" s="181"/>
      <c r="AJ4" s="181"/>
      <c r="AK4" s="181"/>
      <c r="AL4" s="181"/>
      <c r="AM4" s="181"/>
      <c r="AN4" s="181"/>
      <c r="AO4" s="181"/>
      <c r="AP4" s="181"/>
      <c r="AQ4" s="181"/>
      <c r="AR4" s="181"/>
      <c r="AS4" s="181"/>
      <c r="AT4" s="181"/>
      <c r="AU4" s="267"/>
      <c r="AV4" s="267"/>
      <c r="AW4" s="267"/>
      <c r="AX4" s="267"/>
      <c r="AY4" s="267"/>
      <c r="AZ4" s="267"/>
      <c r="BA4" s="267"/>
      <c r="BB4" s="267"/>
      <c r="BC4" s="267"/>
      <c r="BD4" s="267"/>
      <c r="BE4" s="267"/>
      <c r="BF4" s="267"/>
      <c r="BG4" s="267"/>
      <c r="BH4" s="267"/>
      <c r="BI4" s="267"/>
      <c r="BJ4" s="267"/>
      <c r="BK4" s="267"/>
      <c r="BL4" s="267"/>
      <c r="BM4" s="267"/>
      <c r="BN4" s="267"/>
      <c r="BO4" s="267"/>
      <c r="BP4" s="267"/>
      <c r="BQ4" s="267"/>
      <c r="BR4" s="267"/>
      <c r="BS4" s="267"/>
      <c r="BT4" s="267"/>
      <c r="BU4" s="267"/>
      <c r="BV4" s="267"/>
      <c r="BW4" s="267"/>
      <c r="BX4" s="267"/>
      <c r="BY4" s="267"/>
      <c r="BZ4" s="267"/>
      <c r="CA4" s="267"/>
      <c r="CB4" s="267"/>
    </row>
    <row r="5" spans="1:80" s="302" customFormat="1" ht="23.25" customHeight="1" x14ac:dyDescent="0.3">
      <c r="A5" s="388"/>
      <c r="B5" s="829">
        <f>Definition!B23</f>
        <v>43585</v>
      </c>
      <c r="C5" s="829"/>
      <c r="D5" s="829"/>
      <c r="E5" s="829"/>
      <c r="F5" s="829"/>
      <c r="G5" s="829"/>
      <c r="H5" s="829"/>
      <c r="I5" s="829"/>
      <c r="J5" s="85"/>
      <c r="K5" s="85"/>
      <c r="L5" s="85"/>
      <c r="M5" s="85"/>
      <c r="N5" s="85"/>
      <c r="O5" s="85"/>
      <c r="P5" s="85"/>
      <c r="Q5" s="389"/>
      <c r="R5" s="389"/>
      <c r="S5" s="390"/>
      <c r="U5" s="181"/>
      <c r="V5" s="181"/>
      <c r="W5" s="266"/>
      <c r="X5" s="266"/>
      <c r="Y5" s="266"/>
      <c r="Z5" s="266"/>
      <c r="AA5" s="266"/>
      <c r="AB5" s="266"/>
      <c r="AC5" s="266"/>
      <c r="AD5" s="266"/>
      <c r="AE5" s="266"/>
      <c r="AF5" s="266"/>
      <c r="AG5" s="266"/>
      <c r="AH5" s="181"/>
      <c r="AI5" s="181"/>
      <c r="AJ5" s="181"/>
      <c r="AK5" s="181"/>
      <c r="AL5" s="181"/>
      <c r="AM5" s="181"/>
      <c r="AN5" s="181"/>
      <c r="AO5" s="181"/>
      <c r="AP5" s="181"/>
      <c r="AQ5" s="181"/>
      <c r="AR5" s="181"/>
      <c r="AS5" s="181"/>
      <c r="AT5" s="181"/>
      <c r="AU5" s="181"/>
      <c r="AV5" s="181"/>
      <c r="AW5" s="181"/>
      <c r="AX5" s="181"/>
      <c r="AY5" s="181"/>
      <c r="AZ5" s="181"/>
      <c r="BA5" s="181"/>
      <c r="BB5" s="181"/>
      <c r="BC5" s="181"/>
      <c r="BD5" s="181"/>
      <c r="BE5" s="181"/>
      <c r="BF5" s="181"/>
      <c r="BG5" s="181"/>
      <c r="BH5" s="181"/>
      <c r="BI5" s="181"/>
      <c r="BJ5" s="181"/>
      <c r="BK5" s="181"/>
      <c r="BL5" s="181"/>
      <c r="BM5" s="181"/>
      <c r="BN5" s="181"/>
      <c r="BO5" s="181"/>
      <c r="BP5" s="181"/>
      <c r="BQ5" s="181"/>
      <c r="BR5" s="181"/>
      <c r="BS5" s="181"/>
      <c r="BT5" s="181"/>
      <c r="BU5" s="181"/>
      <c r="BV5" s="181"/>
      <c r="BW5" s="181"/>
      <c r="BX5" s="181"/>
      <c r="BY5" s="181"/>
      <c r="BZ5" s="181"/>
      <c r="CA5" s="181"/>
      <c r="CB5" s="181"/>
    </row>
    <row r="6" spans="1:80" ht="12" customHeight="1" x14ac:dyDescent="0.3">
      <c r="A6" s="393"/>
      <c r="B6" s="394"/>
      <c r="C6" s="394"/>
      <c r="D6" s="394"/>
      <c r="E6" s="394"/>
      <c r="F6" s="394"/>
      <c r="G6" s="394"/>
      <c r="H6" s="394"/>
      <c r="I6" s="394"/>
      <c r="J6" s="394"/>
      <c r="K6" s="394"/>
      <c r="L6" s="394"/>
      <c r="M6" s="188"/>
      <c r="N6" s="188"/>
      <c r="O6" s="188"/>
      <c r="P6" s="188"/>
      <c r="Q6" s="188"/>
      <c r="R6" s="188"/>
      <c r="S6" s="395"/>
      <c r="T6" s="396"/>
      <c r="U6" s="396"/>
      <c r="V6" s="396"/>
      <c r="W6" s="396"/>
      <c r="X6" s="396"/>
      <c r="Y6" s="396"/>
      <c r="Z6" s="396"/>
      <c r="AA6" s="396"/>
      <c r="AB6" s="396"/>
      <c r="AC6" s="396"/>
      <c r="AD6" s="396"/>
      <c r="AE6" s="396"/>
      <c r="AF6" s="396"/>
      <c r="AI6" s="181" t="s">
        <v>0</v>
      </c>
      <c r="AJ6" s="181" t="s">
        <v>1403</v>
      </c>
      <c r="AK6" s="181" t="s">
        <v>1404</v>
      </c>
      <c r="AL6" s="181" t="s">
        <v>1405</v>
      </c>
      <c r="AM6" s="181" t="s">
        <v>1406</v>
      </c>
    </row>
    <row r="7" spans="1:80" ht="12" customHeight="1" x14ac:dyDescent="0.3">
      <c r="A7" s="393"/>
      <c r="B7" s="394"/>
      <c r="C7" s="394"/>
      <c r="D7" s="394"/>
      <c r="E7" s="394"/>
      <c r="F7" s="394"/>
      <c r="G7" s="394"/>
      <c r="H7" s="394"/>
      <c r="I7" s="394"/>
      <c r="J7" s="394"/>
      <c r="K7" s="394"/>
      <c r="L7" s="394"/>
      <c r="M7" s="188"/>
      <c r="N7" s="188"/>
      <c r="O7" s="188"/>
      <c r="P7" s="188"/>
      <c r="Q7" s="188"/>
      <c r="R7" s="188"/>
      <c r="S7" s="397"/>
      <c r="AI7" s="181" t="s">
        <v>5</v>
      </c>
      <c r="AJ7" s="662" t="e">
        <v>#REF!</v>
      </c>
      <c r="AK7" s="662" t="e">
        <v>#REF!</v>
      </c>
      <c r="AL7" s="662" t="e">
        <v>#REF!</v>
      </c>
      <c r="AM7" s="662" t="e">
        <v>#REF!</v>
      </c>
    </row>
    <row r="8" spans="1:80" ht="12" customHeight="1" x14ac:dyDescent="0.3">
      <c r="A8" s="393"/>
      <c r="B8" s="394"/>
      <c r="C8" s="394"/>
      <c r="D8" s="394"/>
      <c r="E8" s="394"/>
      <c r="F8" s="394"/>
      <c r="G8" s="394"/>
      <c r="H8" s="394"/>
      <c r="I8" s="394"/>
      <c r="J8" s="394"/>
      <c r="K8" s="394"/>
      <c r="L8" s="394"/>
      <c r="M8" s="188"/>
      <c r="N8" s="188"/>
      <c r="O8" s="188"/>
      <c r="P8" s="188"/>
      <c r="Q8" s="188"/>
      <c r="R8" s="188"/>
      <c r="S8" s="397"/>
      <c r="AI8" s="181" t="s">
        <v>27</v>
      </c>
      <c r="AJ8" s="662" t="e">
        <v>#REF!</v>
      </c>
      <c r="AK8" s="662" t="e">
        <v>#REF!</v>
      </c>
      <c r="AL8" s="662" t="e">
        <v>#REF!</v>
      </c>
      <c r="AM8" s="662" t="e">
        <v>#REF!</v>
      </c>
    </row>
    <row r="9" spans="1:80" ht="12" customHeight="1" x14ac:dyDescent="0.3">
      <c r="A9" s="393"/>
      <c r="B9" s="394"/>
      <c r="C9" s="394"/>
      <c r="D9" s="394"/>
      <c r="E9" s="394"/>
      <c r="F9" s="394"/>
      <c r="G9" s="394"/>
      <c r="H9" s="394"/>
      <c r="I9" s="394"/>
      <c r="J9" s="394"/>
      <c r="K9" s="394"/>
      <c r="L9" s="394"/>
      <c r="M9" s="188"/>
      <c r="N9" s="188"/>
      <c r="O9" s="188"/>
      <c r="P9" s="188"/>
      <c r="Q9" s="188"/>
      <c r="R9" s="188"/>
      <c r="S9" s="397"/>
      <c r="AJ9" s="662" t="e">
        <v>#REF!</v>
      </c>
      <c r="AK9" s="662" t="e">
        <v>#REF!</v>
      </c>
      <c r="AL9" s="662" t="e">
        <v>#REF!</v>
      </c>
      <c r="AM9" s="662" t="e">
        <v>#REF!</v>
      </c>
    </row>
    <row r="10" spans="1:80" ht="12" customHeight="1" x14ac:dyDescent="0.3">
      <c r="A10" s="393"/>
      <c r="B10" s="394"/>
      <c r="C10" s="394"/>
      <c r="D10" s="394"/>
      <c r="E10" s="394"/>
      <c r="F10" s="394"/>
      <c r="G10" s="394"/>
      <c r="H10" s="394"/>
      <c r="I10" s="394"/>
      <c r="J10" s="394"/>
      <c r="K10" s="394"/>
      <c r="L10" s="394"/>
      <c r="M10" s="188"/>
      <c r="N10" s="188"/>
      <c r="O10" s="188"/>
      <c r="P10" s="188"/>
      <c r="Q10" s="188"/>
      <c r="R10" s="188"/>
      <c r="S10" s="397"/>
      <c r="AJ10" s="662" t="e">
        <v>#REF!</v>
      </c>
      <c r="AK10" s="662" t="e">
        <v>#REF!</v>
      </c>
      <c r="AL10" s="662" t="e">
        <v>#REF!</v>
      </c>
      <c r="AM10" s="662" t="e">
        <v>#REF!</v>
      </c>
    </row>
    <row r="11" spans="1:80" ht="8.25" customHeight="1" x14ac:dyDescent="0.3">
      <c r="A11" s="393"/>
      <c r="B11" s="394"/>
      <c r="C11" s="394"/>
      <c r="D11" s="394"/>
      <c r="E11" s="394"/>
      <c r="F11" s="394"/>
      <c r="G11" s="394"/>
      <c r="H11" s="394"/>
      <c r="I11" s="394"/>
      <c r="J11" s="394"/>
      <c r="K11" s="394"/>
      <c r="L11" s="394"/>
      <c r="M11" s="188"/>
      <c r="N11" s="188"/>
      <c r="O11" s="188"/>
      <c r="P11" s="188"/>
      <c r="Q11" s="188"/>
      <c r="R11" s="188"/>
      <c r="S11" s="397"/>
      <c r="AI11" s="181" t="s">
        <v>480</v>
      </c>
      <c r="AJ11" s="662" t="e">
        <v>#REF!</v>
      </c>
      <c r="AK11" s="662" t="e">
        <v>#REF!</v>
      </c>
      <c r="AL11" s="662" t="e">
        <v>#REF!</v>
      </c>
      <c r="AM11" s="662" t="e">
        <v>#REF!</v>
      </c>
    </row>
    <row r="12" spans="1:80" ht="8.25" customHeight="1" x14ac:dyDescent="0.3">
      <c r="A12" s="393"/>
      <c r="B12" s="394"/>
      <c r="C12" s="394"/>
      <c r="D12" s="394"/>
      <c r="E12" s="394"/>
      <c r="F12" s="394"/>
      <c r="G12" s="394"/>
      <c r="H12" s="394"/>
      <c r="I12" s="394"/>
      <c r="J12" s="394"/>
      <c r="K12" s="394"/>
      <c r="L12" s="394"/>
      <c r="M12" s="188"/>
      <c r="N12" s="188"/>
      <c r="O12" s="188"/>
      <c r="P12" s="188"/>
      <c r="Q12" s="188"/>
      <c r="R12" s="188"/>
      <c r="S12" s="397"/>
      <c r="AI12" s="181" t="s">
        <v>719</v>
      </c>
      <c r="AJ12" s="662" t="e">
        <v>#REF!</v>
      </c>
      <c r="AK12" s="662" t="e">
        <v>#REF!</v>
      </c>
      <c r="AL12" s="662" t="e">
        <v>#REF!</v>
      </c>
      <c r="AM12" s="662" t="e">
        <v>#REF!</v>
      </c>
    </row>
    <row r="13" spans="1:80" ht="18.75" customHeight="1" x14ac:dyDescent="0.3">
      <c r="A13" s="393"/>
      <c r="B13" s="255" t="s">
        <v>1147</v>
      </c>
      <c r="C13" s="256" t="s">
        <v>1407</v>
      </c>
      <c r="D13" s="256" t="s">
        <v>1408</v>
      </c>
      <c r="E13" s="256" t="s">
        <v>1027</v>
      </c>
      <c r="F13" s="394"/>
      <c r="G13" s="394"/>
      <c r="H13" s="394"/>
      <c r="I13" s="394"/>
      <c r="J13" s="394"/>
      <c r="K13" s="394"/>
      <c r="L13" s="394"/>
      <c r="M13" s="188"/>
      <c r="N13" s="188"/>
      <c r="O13" s="188"/>
      <c r="P13" s="188"/>
      <c r="Q13" s="188"/>
      <c r="R13" s="188"/>
      <c r="S13" s="397"/>
      <c r="AJ13" s="662" t="e">
        <v>#REF!</v>
      </c>
      <c r="AK13" s="662" t="e">
        <v>#REF!</v>
      </c>
      <c r="AL13" s="662" t="e">
        <v>#REF!</v>
      </c>
      <c r="AM13" s="662" t="e">
        <v>#REF!</v>
      </c>
    </row>
    <row r="14" spans="1:80" ht="18.75" customHeight="1" x14ac:dyDescent="0.3">
      <c r="A14" s="393"/>
      <c r="B14" s="257" t="s">
        <v>378</v>
      </c>
      <c r="C14" s="258"/>
      <c r="D14" s="258"/>
      <c r="E14" s="258"/>
      <c r="F14" s="188"/>
      <c r="G14" s="188"/>
      <c r="H14" s="188"/>
      <c r="I14" s="188"/>
      <c r="J14" s="188"/>
      <c r="K14" s="188"/>
      <c r="L14" s="188"/>
      <c r="M14" s="188"/>
      <c r="N14" s="188"/>
      <c r="O14" s="188"/>
      <c r="P14" s="188"/>
      <c r="Q14" s="398"/>
      <c r="R14" s="188"/>
      <c r="S14" s="397"/>
      <c r="AI14" s="663" t="s">
        <v>361</v>
      </c>
      <c r="AJ14" s="662" t="e">
        <v>#REF!</v>
      </c>
      <c r="AK14" s="662" t="e">
        <v>#REF!</v>
      </c>
      <c r="AL14" s="662" t="e">
        <v>#REF!</v>
      </c>
      <c r="AM14" s="662" t="e">
        <v>#REF!</v>
      </c>
    </row>
    <row r="15" spans="1:80" ht="12.9" customHeight="1" x14ac:dyDescent="0.3">
      <c r="A15" s="393"/>
      <c r="B15" s="259" t="s">
        <v>5</v>
      </c>
      <c r="C15" s="399">
        <f>SUMIFS(CampList[HH],CampList[Township],$B15,CampList[Status],Definition!X$3,CampList[Affected Population],Definition!Y$3,CampList[State],Definition!J$2)</f>
        <v>1392</v>
      </c>
      <c r="D15" s="399">
        <f>SUMIFS(CampList[Total],CampList[Township],$B15,CampList[Status],Definition!X$3,CampList[Affected Population],Definition!Y$3,CampList[State],Definition!J$2)</f>
        <v>7899</v>
      </c>
      <c r="E15" s="260">
        <f>COUNTIFS(CampList[Township],$B15,CampList[Status],Definition!X$3,CampList[Affected Population],Definition!Y$3,CampList[State],Definition!J$2)</f>
        <v>8</v>
      </c>
      <c r="F15" s="188"/>
      <c r="G15" s="400"/>
      <c r="H15" s="188"/>
      <c r="I15" s="188"/>
      <c r="J15" s="188"/>
      <c r="K15" s="188"/>
      <c r="L15" s="188"/>
      <c r="M15" s="188"/>
      <c r="N15" s="188"/>
      <c r="O15" s="188"/>
      <c r="P15" s="188"/>
      <c r="Q15" s="398"/>
      <c r="R15" s="188"/>
      <c r="S15" s="397"/>
      <c r="AI15" s="181" t="s">
        <v>144</v>
      </c>
      <c r="AJ15" s="662" t="e">
        <v>#REF!</v>
      </c>
      <c r="AK15" s="662" t="e">
        <v>#REF!</v>
      </c>
      <c r="AL15" s="662" t="e">
        <v>#REF!</v>
      </c>
      <c r="AM15" s="662" t="e">
        <v>#REF!</v>
      </c>
    </row>
    <row r="16" spans="1:80" ht="12.9" customHeight="1" x14ac:dyDescent="0.3">
      <c r="A16" s="393"/>
      <c r="B16" s="259" t="s">
        <v>27</v>
      </c>
      <c r="C16" s="399">
        <f>SUMIFS(CampList[HH],CampList[Township],$B16,CampList[Status],Definition!X$3,CampList[Affected Population],Definition!Y$3,CampList[State],Definition!J$2)</f>
        <v>621</v>
      </c>
      <c r="D16" s="399">
        <f>SUMIFS(CampList[Total],CampList[Township],$B16,CampList[Status],Definition!X$3,CampList[Affected Population],Definition!Y$3,CampList[State],Definition!J$2)</f>
        <v>3094</v>
      </c>
      <c r="E16" s="260">
        <f>COUNTIFS(CampList[Township],$B16,CampList[Status],Definition!X$3,CampList[Affected Population],Definition!Y$3,CampList[State],Definition!J$2)</f>
        <v>5</v>
      </c>
      <c r="F16" s="188"/>
      <c r="G16" s="400"/>
      <c r="H16" s="188"/>
      <c r="I16" s="188"/>
      <c r="J16" s="188"/>
      <c r="K16" s="188"/>
      <c r="L16" s="188"/>
      <c r="M16" s="188"/>
      <c r="N16" s="188"/>
      <c r="O16" s="188"/>
      <c r="P16" s="188"/>
      <c r="Q16" s="188"/>
      <c r="R16" s="188"/>
      <c r="S16" s="397"/>
      <c r="AI16" s="181" t="s">
        <v>146</v>
      </c>
      <c r="AJ16" s="662" t="e">
        <v>#REF!</v>
      </c>
      <c r="AK16" s="662" t="e">
        <v>#REF!</v>
      </c>
      <c r="AL16" s="662" t="e">
        <v>#REF!</v>
      </c>
      <c r="AM16" s="662" t="e">
        <v>#REF!</v>
      </c>
    </row>
    <row r="17" spans="1:40" ht="12.9" customHeight="1" x14ac:dyDescent="0.3">
      <c r="A17" s="393"/>
      <c r="B17" s="259" t="s">
        <v>480</v>
      </c>
      <c r="C17" s="399">
        <f>SUMIFS(CampList[HH],CampList[Township],$B17,CampList[Status],Definition!X$3,CampList[Affected Population],Definition!Y$3,CampList[State],Definition!J$2)</f>
        <v>799</v>
      </c>
      <c r="D17" s="399">
        <f>SUMIFS(CampList[Total],CampList[Township],$B17,CampList[Status],Definition!X$3,CampList[Affected Population],Definition!Y$3,CampList[State],Definition!J$2)</f>
        <v>4038</v>
      </c>
      <c r="E17" s="260">
        <f>COUNTIFS(CampList[Township],$B17,CampList[Status],Definition!X$3,CampList[Affected Population],Definition!Y$3,CampList[State],Definition!J$2)</f>
        <v>23</v>
      </c>
      <c r="F17" s="188"/>
      <c r="G17" s="400"/>
      <c r="H17" s="188"/>
      <c r="I17" s="188"/>
      <c r="J17" s="188"/>
      <c r="K17" s="188"/>
      <c r="L17" s="188"/>
      <c r="M17" s="188"/>
      <c r="N17" s="188"/>
      <c r="O17" s="188"/>
      <c r="P17" s="188"/>
      <c r="Q17" s="188"/>
      <c r="R17" s="188"/>
      <c r="S17" s="397"/>
      <c r="AI17" s="181" t="s">
        <v>817</v>
      </c>
      <c r="AJ17" s="662" t="e">
        <v>#REF!</v>
      </c>
      <c r="AK17" s="662" t="e">
        <v>#REF!</v>
      </c>
      <c r="AL17" s="662" t="e">
        <v>#REF!</v>
      </c>
      <c r="AM17" s="662" t="e">
        <v>#REF!</v>
      </c>
    </row>
    <row r="18" spans="1:40" ht="12.9" customHeight="1" x14ac:dyDescent="0.3">
      <c r="A18" s="393"/>
      <c r="B18" s="259" t="s">
        <v>361</v>
      </c>
      <c r="C18" s="399">
        <f>SUMIFS(CampList[HH],CampList[Township],$B18,CampList[Status],Definition!X$3,CampList[Affected Population],Definition!Y$3,CampList[State],Definition!J$2)</f>
        <v>0</v>
      </c>
      <c r="D18" s="399">
        <f>SUMIFS(CampList[Total],CampList[Township],$B18,CampList[Status],Definition!X$3,CampList[Affected Population],Definition!Y$3,CampList[State],Definition!J$2)</f>
        <v>0</v>
      </c>
      <c r="E18" s="260">
        <f>COUNTIFS(CampList[Township],$B18,CampList[Status],Definition!X$3,CampList[Affected Population],Definition!Y$3,CampList[State],Definition!J$2)</f>
        <v>0</v>
      </c>
      <c r="F18" s="188"/>
      <c r="G18" s="188"/>
      <c r="H18" s="188"/>
      <c r="I18" s="188"/>
      <c r="J18" s="188"/>
      <c r="K18" s="188"/>
      <c r="L18" s="188"/>
      <c r="M18" s="188"/>
      <c r="N18" s="188"/>
      <c r="O18" s="188"/>
      <c r="P18" s="188"/>
      <c r="Q18" s="188"/>
      <c r="R18" s="188"/>
      <c r="S18" s="397"/>
      <c r="AI18" s="181" t="s">
        <v>151</v>
      </c>
      <c r="AJ18" s="662" t="e">
        <v>#REF!</v>
      </c>
      <c r="AK18" s="662" t="e">
        <v>#REF!</v>
      </c>
      <c r="AL18" s="662" t="e">
        <v>#REF!</v>
      </c>
      <c r="AM18" s="662" t="e">
        <v>#REF!</v>
      </c>
    </row>
    <row r="19" spans="1:40" ht="12.9" customHeight="1" x14ac:dyDescent="0.3">
      <c r="A19" s="393"/>
      <c r="B19" s="259" t="s">
        <v>144</v>
      </c>
      <c r="C19" s="399">
        <f>SUMIFS(CampList[HH],CampList[Township],$B19,CampList[Status],Definition!X$3,CampList[Affected Population],Definition!Y$3,CampList[State],Definition!J$2)</f>
        <v>0</v>
      </c>
      <c r="D19" s="399">
        <f>SUMIFS(CampList[Total],CampList[Township],$B19,CampList[Status],Definition!X$3,CampList[Affected Population],Definition!Y$3,CampList[State],Definition!J$2)</f>
        <v>0</v>
      </c>
      <c r="E19" s="260">
        <f>COUNTIFS(CampList[Township],$B19,CampList[Status],Definition!X$3,CampList[Affected Population],Definition!Y$3,CampList[State],Definition!J$2)</f>
        <v>0</v>
      </c>
      <c r="F19" s="188"/>
      <c r="G19" s="188"/>
      <c r="H19" s="188"/>
      <c r="I19" s="188"/>
      <c r="J19" s="188"/>
      <c r="K19" s="188"/>
      <c r="L19" s="188"/>
      <c r="M19" s="188"/>
      <c r="N19" s="188"/>
      <c r="O19" s="188"/>
      <c r="P19" s="188"/>
      <c r="Q19" s="188"/>
      <c r="R19" s="188"/>
      <c r="S19" s="397"/>
      <c r="T19" s="179">
        <f>V25</f>
        <v>0</v>
      </c>
      <c r="AI19" s="181" t="s">
        <v>166</v>
      </c>
      <c r="AJ19" s="662" t="e">
        <v>#REF!</v>
      </c>
      <c r="AK19" s="662" t="e">
        <v>#REF!</v>
      </c>
      <c r="AL19" s="662" t="e">
        <v>#REF!</v>
      </c>
      <c r="AM19" s="662" t="e">
        <v>#REF!</v>
      </c>
    </row>
    <row r="20" spans="1:40" ht="12.9" customHeight="1" x14ac:dyDescent="0.3">
      <c r="A20" s="393"/>
      <c r="B20" s="259" t="s">
        <v>817</v>
      </c>
      <c r="C20" s="399">
        <f>SUMIFS(CampList[HH],CampList[Township],$B20,CampList[Status],Definition!X$3,CampList[Affected Population],Definition!Y$3,CampList[State],Definition!J$2)</f>
        <v>0</v>
      </c>
      <c r="D20" s="399">
        <f>SUMIFS(CampList[Total],CampList[Township],$B20,CampList[Status],Definition!X$3,CampList[Affected Population],Definition!Y$3,CampList[State],Definition!J$2)</f>
        <v>0</v>
      </c>
      <c r="E20" s="260">
        <f>COUNTIFS(CampList[Township],$B20,CampList[Status],Definition!X$3,CampList[Affected Population],Definition!Y$3,CampList[State],Definition!J$2)</f>
        <v>0</v>
      </c>
      <c r="F20" s="188"/>
      <c r="G20" s="188"/>
      <c r="H20" s="188"/>
      <c r="I20" s="188"/>
      <c r="J20" s="188"/>
      <c r="K20" s="188"/>
      <c r="L20" s="188"/>
      <c r="M20" s="188"/>
      <c r="N20" s="188"/>
      <c r="O20" s="188"/>
      <c r="P20" s="188"/>
      <c r="Q20" s="188"/>
      <c r="R20" s="188"/>
      <c r="S20" s="397"/>
      <c r="U20" s="401"/>
      <c r="AI20" s="181" t="s">
        <v>173</v>
      </c>
      <c r="AJ20" s="662" t="e">
        <v>#REF!</v>
      </c>
      <c r="AK20" s="662" t="e">
        <v>#REF!</v>
      </c>
      <c r="AL20" s="662" t="e">
        <v>#REF!</v>
      </c>
      <c r="AM20" s="662" t="e">
        <v>#REF!</v>
      </c>
    </row>
    <row r="21" spans="1:40" ht="12.9" customHeight="1" x14ac:dyDescent="0.3">
      <c r="A21" s="393"/>
      <c r="B21" s="259" t="s">
        <v>151</v>
      </c>
      <c r="C21" s="399">
        <f>SUMIFS(CampList[HH],CampList[Township],$B21,CampList[Status],Definition!X$3,CampList[Affected Population],Definition!Y$3,CampList[State],Definition!J$2)</f>
        <v>2757</v>
      </c>
      <c r="D21" s="399">
        <f>SUMIFS(CampList[Total],CampList[Township],$B21,CampList[Status],Definition!X$3,CampList[Affected Population],Definition!Y$3,CampList[State],Definition!J$2)</f>
        <v>13812</v>
      </c>
      <c r="E21" s="260">
        <f>COUNTIFS(CampList[Township],$B21,CampList[Status],Definition!X$3,CampList[Affected Population],Definition!Y$3,CampList[State],Definition!J$2)</f>
        <v>11</v>
      </c>
      <c r="F21" s="188"/>
      <c r="G21" s="188"/>
      <c r="H21" s="188"/>
      <c r="I21" s="188"/>
      <c r="J21" s="188"/>
      <c r="K21" s="188"/>
      <c r="L21" s="188"/>
      <c r="M21" s="188"/>
      <c r="N21" s="188"/>
      <c r="O21" s="188"/>
      <c r="P21" s="188"/>
      <c r="Q21" s="188"/>
      <c r="R21" s="188"/>
      <c r="S21" s="397"/>
      <c r="AI21" s="181" t="s">
        <v>180</v>
      </c>
      <c r="AJ21" s="662" t="e">
        <v>#REF!</v>
      </c>
      <c r="AK21" s="662" t="e">
        <v>#REF!</v>
      </c>
      <c r="AL21" s="662" t="e">
        <v>#REF!</v>
      </c>
      <c r="AM21" s="662" t="e">
        <v>#REF!</v>
      </c>
    </row>
    <row r="22" spans="1:40" ht="12.9" customHeight="1" x14ac:dyDescent="0.3">
      <c r="A22" s="393"/>
      <c r="B22" s="259" t="s">
        <v>173</v>
      </c>
      <c r="C22" s="399">
        <f>SUMIFS(CampList[HH],CampList[Township],$B22,CampList[Status],Definition!X$3,CampList[Affected Population],Definition!Y$3,CampList[State],Definition!J$2)</f>
        <v>304</v>
      </c>
      <c r="D22" s="399">
        <f>SUMIFS(CampList[Total],CampList[Township],$B22,CampList[Status],Definition!X$3,CampList[Affected Population],Definition!Y$3,CampList[State],Definition!J$2)</f>
        <v>1459</v>
      </c>
      <c r="E22" s="260">
        <f>COUNTIFS(CampList[Township],$B22,CampList[Status],Definition!X$3,CampList[Affected Population],Definition!Y$3,CampList[State],Definition!J$2)</f>
        <v>8</v>
      </c>
      <c r="F22" s="188"/>
      <c r="G22" s="188"/>
      <c r="H22" s="188"/>
      <c r="I22" s="188"/>
      <c r="J22" s="188"/>
      <c r="K22" s="188"/>
      <c r="L22" s="188"/>
      <c r="M22" s="188"/>
      <c r="N22" s="188"/>
      <c r="O22" s="188"/>
      <c r="P22" s="188"/>
      <c r="Q22" s="188"/>
      <c r="R22" s="188"/>
      <c r="S22" s="397"/>
      <c r="AI22" s="181" t="s">
        <v>185</v>
      </c>
      <c r="AJ22" s="662" t="e">
        <v>#REF!</v>
      </c>
      <c r="AK22" s="662" t="e">
        <v>#REF!</v>
      </c>
      <c r="AL22" s="662" t="e">
        <v>#REF!</v>
      </c>
      <c r="AM22" s="662" t="e">
        <v>#REF!</v>
      </c>
    </row>
    <row r="23" spans="1:40" ht="12.9" customHeight="1" x14ac:dyDescent="0.3">
      <c r="A23" s="393"/>
      <c r="B23" s="259" t="s">
        <v>180</v>
      </c>
      <c r="C23" s="399">
        <f>SUMIFS(CampList[HH],CampList[Township],$B23,CampList[Status],Definition!X$3,CampList[Affected Population],Definition!Y$3,CampList[State],Definition!J$2)</f>
        <v>79</v>
      </c>
      <c r="D23" s="399">
        <f>SUMIFS(CampList[Total],CampList[Township],$B23,CampList[Status],Definition!X$3,CampList[Affected Population],Definition!Y$3,CampList[State],Definition!J$2)</f>
        <v>382</v>
      </c>
      <c r="E23" s="260">
        <f>COUNTIFS(CampList[Township],$B23,CampList[Status],Definition!X$3,CampList[Affected Population],Definition!Y$3,CampList[State],Definition!J$2)</f>
        <v>4</v>
      </c>
      <c r="F23" s="188"/>
      <c r="G23" s="188"/>
      <c r="H23" s="188"/>
      <c r="I23" s="188"/>
      <c r="J23" s="188"/>
      <c r="K23" s="188"/>
      <c r="L23" s="188"/>
      <c r="M23" s="188"/>
      <c r="N23" s="188"/>
      <c r="O23" s="188"/>
      <c r="P23" s="188"/>
      <c r="Q23" s="188"/>
      <c r="R23" s="188"/>
      <c r="S23" s="397"/>
      <c r="AI23" s="181" t="s">
        <v>230</v>
      </c>
      <c r="AJ23" s="662" t="e">
        <v>#REF!</v>
      </c>
      <c r="AK23" s="662" t="e">
        <v>#REF!</v>
      </c>
      <c r="AL23" s="662" t="e">
        <v>#REF!</v>
      </c>
      <c r="AM23" s="662" t="e">
        <v>#REF!</v>
      </c>
    </row>
    <row r="24" spans="1:40" ht="12.9" customHeight="1" x14ac:dyDescent="0.3">
      <c r="A24" s="393"/>
      <c r="B24" s="259" t="s">
        <v>185</v>
      </c>
      <c r="C24" s="399">
        <f>SUMIFS(CampList[HH],CampList[Township],$B24,CampList[Status],Definition!X$3,CampList[Affected Population],Definition!Y$3,CampList[State],Definition!J$2)</f>
        <v>4758</v>
      </c>
      <c r="D24" s="399">
        <f>SUMIFS(CampList[Total],CampList[Township],$B24,CampList[Status],Definition!X$3,CampList[Affected Population],Definition!Y$3,CampList[State],Definition!J$2)</f>
        <v>25132</v>
      </c>
      <c r="E24" s="260">
        <f>COUNTIFS(CampList[Township],$B24,CampList[Status],Definition!X$3,CampList[Affected Population],Definition!Y$3,CampList[State],Definition!J$2)</f>
        <v>15</v>
      </c>
      <c r="F24" s="188"/>
      <c r="G24" s="175"/>
      <c r="H24" s="175"/>
      <c r="I24" s="175"/>
      <c r="J24" s="175"/>
      <c r="K24" s="175"/>
      <c r="L24" s="175"/>
      <c r="M24" s="188"/>
      <c r="N24" s="188"/>
      <c r="O24" s="188"/>
      <c r="P24" s="188"/>
      <c r="Q24" s="188"/>
      <c r="R24" s="188"/>
      <c r="S24" s="397"/>
      <c r="AI24" s="181" t="s">
        <v>237</v>
      </c>
      <c r="AJ24" s="662" t="e">
        <v>#REF!</v>
      </c>
      <c r="AK24" s="662" t="e">
        <v>#REF!</v>
      </c>
      <c r="AL24" s="662" t="e">
        <v>#REF!</v>
      </c>
      <c r="AM24" s="662" t="e">
        <v>#REF!</v>
      </c>
    </row>
    <row r="25" spans="1:40" ht="12.9" customHeight="1" x14ac:dyDescent="0.3">
      <c r="A25" s="393"/>
      <c r="B25" s="259" t="s">
        <v>237</v>
      </c>
      <c r="C25" s="399">
        <f>SUMIFS(CampList[HH],CampList[Township],$B25,CampList[Status],Definition!X$3,CampList[Affected Population],Definition!Y$3,CampList[State],Definition!J$2)</f>
        <v>2209</v>
      </c>
      <c r="D25" s="399">
        <f>SUMIFS(CampList[Total],CampList[Township],$B25,CampList[Status],Definition!X$3,CampList[Affected Population],Definition!Y$3,CampList[State],Definition!J$2)</f>
        <v>11374</v>
      </c>
      <c r="E25" s="260">
        <f>COUNTIFS(CampList[Township],$B25,CampList[Status],Definition!X$3,CampList[Affected Population],Definition!Y$3,CampList[State],Definition!J$2)</f>
        <v>25</v>
      </c>
      <c r="F25" s="188"/>
      <c r="G25" s="175"/>
      <c r="H25" s="175"/>
      <c r="I25" s="175"/>
      <c r="J25" s="175"/>
      <c r="K25" s="175"/>
      <c r="L25" s="175"/>
      <c r="M25" s="188"/>
      <c r="N25" s="188"/>
      <c r="O25" s="188"/>
      <c r="P25" s="188"/>
      <c r="Q25" s="188"/>
      <c r="R25" s="188"/>
      <c r="S25" s="397"/>
      <c r="AI25" s="181" t="s">
        <v>288</v>
      </c>
      <c r="AJ25" s="662" t="e">
        <v>#REF!</v>
      </c>
      <c r="AK25" s="662" t="e">
        <v>#REF!</v>
      </c>
      <c r="AL25" s="662" t="e">
        <v>#REF!</v>
      </c>
      <c r="AM25" s="662" t="e">
        <v>#REF!</v>
      </c>
    </row>
    <row r="26" spans="1:40" ht="12.9" customHeight="1" x14ac:dyDescent="0.3">
      <c r="A26" s="393"/>
      <c r="B26" s="259" t="s">
        <v>299</v>
      </c>
      <c r="C26" s="399">
        <f>SUMIFS(CampList[HH],CampList[Township],$B26,CampList[Status],Definition!X$3,CampList[Affected Population],Definition!Y$3,CampList[State],Definition!J$2)</f>
        <v>88</v>
      </c>
      <c r="D26" s="399">
        <f>SUMIFS(CampList[Total],CampList[Township],$B26,CampList[Status],Definition!X$3,CampList[Affected Population],Definition!Y$3,CampList[State],Definition!J$2)</f>
        <v>429</v>
      </c>
      <c r="E26" s="260">
        <f>COUNTIFS(CampList[Township],$B26,CampList[Status],Definition!X$3,CampList[Affected Population],Definition!Y$3,CampList[State],Definition!J$2)</f>
        <v>3</v>
      </c>
      <c r="F26" s="188"/>
      <c r="G26" s="175"/>
      <c r="H26" s="175"/>
      <c r="I26" s="175"/>
      <c r="J26" s="175"/>
      <c r="K26" s="175"/>
      <c r="L26" s="175"/>
      <c r="M26" s="188"/>
      <c r="N26" s="188"/>
      <c r="O26" s="188"/>
      <c r="P26" s="188"/>
      <c r="Q26" s="188"/>
      <c r="R26" s="188"/>
      <c r="S26" s="397"/>
      <c r="AI26" s="181" t="s">
        <v>297</v>
      </c>
      <c r="AJ26" s="662" t="e">
        <v>#REF!</v>
      </c>
      <c r="AK26" s="662" t="e">
        <v>#REF!</v>
      </c>
      <c r="AL26" s="662" t="e">
        <v>#REF!</v>
      </c>
      <c r="AM26" s="662" t="e">
        <v>#REF!</v>
      </c>
    </row>
    <row r="27" spans="1:40" ht="12.9" customHeight="1" x14ac:dyDescent="0.3">
      <c r="A27" s="393"/>
      <c r="B27" s="259" t="s">
        <v>301</v>
      </c>
      <c r="C27" s="399">
        <f>SUMIFS(CampList[HH],CampList[Township],$B27,CampList[Status],Definition!X$3,CampList[Affected Population],Definition!Y$3,CampList[State],Definition!J$2)</f>
        <v>455</v>
      </c>
      <c r="D27" s="399">
        <f>SUMIFS(CampList[Total],CampList[Township],$B27,CampList[Status],Definition!X$3,CampList[Affected Population],Definition!Y$3,CampList[State],Definition!J$2)</f>
        <v>1867</v>
      </c>
      <c r="E27" s="260">
        <f>COUNTIFS(CampList[Township],$B27,CampList[Status],Definition!X$3,CampList[Affected Population],Definition!Y$3,CampList[State],Definition!J$2)</f>
        <v>3</v>
      </c>
      <c r="F27" s="188"/>
      <c r="G27" s="175"/>
      <c r="H27" s="175"/>
      <c r="I27" s="175"/>
      <c r="J27" s="175"/>
      <c r="K27" s="175"/>
      <c r="L27" s="175"/>
      <c r="M27" s="188"/>
      <c r="N27" s="188"/>
      <c r="O27" s="188"/>
      <c r="P27" s="188"/>
      <c r="Q27" s="188"/>
      <c r="R27" s="188"/>
      <c r="S27" s="397"/>
      <c r="AI27" s="181" t="s">
        <v>299</v>
      </c>
      <c r="AJ27" s="662" t="e">
        <v>#REF!</v>
      </c>
      <c r="AK27" s="662" t="e">
        <v>#REF!</v>
      </c>
      <c r="AL27" s="662" t="e">
        <v>#REF!</v>
      </c>
      <c r="AM27" s="662" t="e">
        <v>#REF!</v>
      </c>
    </row>
    <row r="28" spans="1:40" ht="12.9" customHeight="1" x14ac:dyDescent="0.3">
      <c r="A28" s="393"/>
      <c r="B28" s="259" t="s">
        <v>746</v>
      </c>
      <c r="C28" s="399">
        <f>SUMIFS(CampList[HH],CampList[Township],$B28,CampList[Status],Definition!X$3,CampList[Affected Population],Definition!Y$3,CampList[State],Definition!J$2)</f>
        <v>212</v>
      </c>
      <c r="D28" s="399">
        <f>SUMIFS(CampList[Total],CampList[Township],$B28,CampList[Status],Definition!X$3,CampList[Affected Population],Definition!Y$3,CampList[State],Definition!J$2)</f>
        <v>1047</v>
      </c>
      <c r="E28" s="260">
        <f>COUNTIFS(CampList[Township],$B28,CampList[Status],Definition!X$3,CampList[Affected Population],Definition!Y$3,CampList[State],Definition!J$2)</f>
        <v>4</v>
      </c>
      <c r="F28" s="175"/>
      <c r="G28" s="175"/>
      <c r="H28" s="175"/>
      <c r="I28" s="175"/>
      <c r="J28" s="175"/>
      <c r="K28" s="175"/>
      <c r="L28" s="175"/>
      <c r="M28" s="188"/>
      <c r="N28" s="188"/>
      <c r="O28" s="188"/>
      <c r="P28" s="188"/>
      <c r="Q28" s="188"/>
      <c r="R28" s="188"/>
      <c r="S28" s="397"/>
      <c r="AI28" s="181" t="s">
        <v>301</v>
      </c>
      <c r="AJ28" s="662" t="e">
        <v>#REF!</v>
      </c>
      <c r="AK28" s="662" t="e">
        <v>#REF!</v>
      </c>
      <c r="AL28" s="662" t="e">
        <v>#REF!</v>
      </c>
      <c r="AM28" s="662" t="e">
        <v>#REF!</v>
      </c>
    </row>
    <row r="29" spans="1:40" ht="12.9" customHeight="1" x14ac:dyDescent="0.3">
      <c r="A29" s="393"/>
      <c r="B29" s="259" t="s">
        <v>1134</v>
      </c>
      <c r="C29" s="399">
        <f>SUMIFS(CampList[HH],CampList[Township],$B29,CampList[Status],Definition!X$3,CampList[Affected Population],Definition!Y$3,CampList[State],Definition!J$2)</f>
        <v>276</v>
      </c>
      <c r="D29" s="399">
        <f>SUMIFS(CampList[Total],CampList[Township],$B29,CampList[Status],Definition!X$3,CampList[Affected Population],Definition!Y$3,CampList[State],Definition!J$2)</f>
        <v>1156</v>
      </c>
      <c r="E29" s="260">
        <f>COUNTIFS(CampList[Township],$B29,CampList[Status],Definition!X$3,CampList[Affected Population],Definition!Y$3,CampList[State],Definition!J$2)</f>
        <v>3</v>
      </c>
      <c r="F29" s="175"/>
      <c r="G29" s="175"/>
      <c r="H29" s="175"/>
      <c r="I29" s="175"/>
      <c r="J29" s="175"/>
      <c r="K29" s="175"/>
      <c r="L29" s="175"/>
      <c r="M29" s="188"/>
      <c r="N29" s="188"/>
      <c r="O29" s="188"/>
      <c r="P29" s="188"/>
      <c r="Q29" s="188"/>
      <c r="R29" s="188"/>
      <c r="S29" s="397"/>
      <c r="AI29" s="181" t="s">
        <v>1198</v>
      </c>
      <c r="AJ29" s="662" t="e">
        <v>#REF!</v>
      </c>
      <c r="AK29" s="662" t="e">
        <v>#REF!</v>
      </c>
      <c r="AL29" s="662" t="e">
        <v>#REF!</v>
      </c>
      <c r="AM29" s="662" t="e">
        <v>#REF!</v>
      </c>
    </row>
    <row r="30" spans="1:40" ht="12.9" customHeight="1" x14ac:dyDescent="0.3">
      <c r="A30" s="393"/>
      <c r="B30" s="259" t="s">
        <v>309</v>
      </c>
      <c r="C30" s="399">
        <f>SUMIFS(CampList[HH],CampList[Township],$B30,CampList[Status],Definition!X$3,CampList[Affected Population],Definition!Y$3,CampList[State],Definition!J$2)</f>
        <v>4851</v>
      </c>
      <c r="D30" s="399">
        <f>SUMIFS(CampList[Total],CampList[Township],$B30,CampList[Status],Definition!X$3,CampList[Affected Population],Definition!Y$3,CampList[State],Definition!J$2)</f>
        <v>25825</v>
      </c>
      <c r="E30" s="260">
        <f>COUNTIFS(CampList[Township],$B30,CampList[Status],Definition!X$3,CampList[Affected Population],Definition!Y$3,CampList[State],Definition!J$2)</f>
        <v>24</v>
      </c>
      <c r="F30" s="175"/>
      <c r="G30" s="175"/>
      <c r="H30" s="175"/>
      <c r="I30" s="175"/>
      <c r="J30" s="175"/>
      <c r="K30" s="175"/>
      <c r="L30" s="175"/>
      <c r="M30" s="188"/>
      <c r="N30" s="188"/>
      <c r="O30" s="188"/>
      <c r="P30" s="188"/>
      <c r="Q30" s="188"/>
      <c r="R30" s="188"/>
      <c r="S30" s="397"/>
      <c r="AI30" s="181" t="s">
        <v>746</v>
      </c>
      <c r="AJ30" s="662" t="e">
        <v>#REF!</v>
      </c>
      <c r="AK30" s="662" t="e">
        <v>#REF!</v>
      </c>
      <c r="AL30" s="662" t="e">
        <v>#REF!</v>
      </c>
      <c r="AM30" s="662" t="e">
        <v>#REF!</v>
      </c>
      <c r="AN30" s="664" t="e">
        <f>AM40+AJ40+AK40+AL40</f>
        <v>#REF!</v>
      </c>
    </row>
    <row r="31" spans="1:40" ht="15.75" customHeight="1" x14ac:dyDescent="0.3">
      <c r="A31" s="413" t="s">
        <v>378</v>
      </c>
      <c r="B31" s="261" t="s">
        <v>779</v>
      </c>
      <c r="C31" s="402">
        <f>SUM(C15:C30)</f>
        <v>18801</v>
      </c>
      <c r="D31" s="402">
        <f>SUM(D15:D30)</f>
        <v>97514</v>
      </c>
      <c r="E31" s="262">
        <f>SUM(E15:E30)</f>
        <v>136</v>
      </c>
      <c r="F31" s="175"/>
      <c r="G31" s="175"/>
      <c r="H31" s="175"/>
      <c r="I31" s="175"/>
      <c r="J31" s="175"/>
      <c r="K31" s="175"/>
      <c r="L31" s="175"/>
      <c r="M31" s="188"/>
      <c r="N31" s="188"/>
      <c r="O31" s="188"/>
      <c r="P31" s="188"/>
      <c r="Q31" s="188"/>
      <c r="R31" s="188"/>
      <c r="S31" s="397"/>
      <c r="AI31" s="181" t="s">
        <v>1134</v>
      </c>
      <c r="AJ31" s="662" t="e">
        <v>#REF!</v>
      </c>
      <c r="AK31" s="662" t="e">
        <v>#REF!</v>
      </c>
      <c r="AL31" s="662" t="e">
        <v>#REF!</v>
      </c>
      <c r="AM31" s="662" t="e">
        <v>#REF!</v>
      </c>
      <c r="AN31" s="664"/>
    </row>
    <row r="32" spans="1:40" ht="15.75" customHeight="1" x14ac:dyDescent="0.3">
      <c r="A32" s="393"/>
      <c r="B32" s="257" t="s">
        <v>1148</v>
      </c>
      <c r="C32" s="258"/>
      <c r="D32" s="258"/>
      <c r="E32" s="258"/>
      <c r="F32" s="175"/>
      <c r="G32" s="175"/>
      <c r="H32" s="175"/>
      <c r="I32" s="175"/>
      <c r="J32" s="175"/>
      <c r="K32" s="175"/>
      <c r="L32" s="175"/>
      <c r="M32" s="188"/>
      <c r="N32" s="188"/>
      <c r="O32" s="188"/>
      <c r="P32" s="188"/>
      <c r="Q32" s="188"/>
      <c r="R32" s="188"/>
      <c r="S32" s="397"/>
      <c r="AJ32" s="662" t="e">
        <v>#REF!</v>
      </c>
      <c r="AK32" s="662" t="e">
        <v>#REF!</v>
      </c>
      <c r="AL32" s="662" t="e">
        <v>#REF!</v>
      </c>
      <c r="AM32" s="662" t="e">
        <v>#REF!</v>
      </c>
      <c r="AN32" s="664"/>
    </row>
    <row r="33" spans="1:80" ht="14.1" customHeight="1" x14ac:dyDescent="0.3">
      <c r="A33" s="393"/>
      <c r="B33" s="263" t="s">
        <v>719</v>
      </c>
      <c r="C33" s="399">
        <f>SUMIFS(CampList[HH],CampList[Township],$B33,CampList[Status],Definition!X$3,CampList[Affected Population],Definition!Y$3,CampList[State],Definition!J$4)</f>
        <v>35</v>
      </c>
      <c r="D33" s="399">
        <f>SUMIFS(CampList[Total],CampList[Township],$B33,CampList[Status],Definition!X$3,CampList[Affected Population],Definition!Y$3,CampList[State],Definition!J$4)</f>
        <v>183</v>
      </c>
      <c r="E33" s="260">
        <f>COUNTIFS(CampList[Township],$B33,CampList[Status],Definition!X$3,CampList[Affected Population],Definition!Y$3,CampList[State],Definition!J$4)</f>
        <v>1</v>
      </c>
      <c r="F33" s="175"/>
      <c r="G33" s="175"/>
      <c r="H33" s="175"/>
      <c r="I33" s="175"/>
      <c r="J33" s="175"/>
      <c r="K33" s="175"/>
      <c r="L33" s="175"/>
      <c r="M33" s="188"/>
      <c r="N33" s="188"/>
      <c r="O33" s="188"/>
      <c r="P33" s="188"/>
      <c r="Q33" s="188"/>
      <c r="R33" s="188"/>
      <c r="S33" s="397"/>
      <c r="AJ33" s="662" t="e">
        <v>#REF!</v>
      </c>
      <c r="AK33" s="662" t="e">
        <v>#REF!</v>
      </c>
      <c r="AL33" s="662" t="e">
        <v>#REF!</v>
      </c>
      <c r="AM33" s="662" t="e">
        <v>#REF!</v>
      </c>
      <c r="AN33" s="664"/>
    </row>
    <row r="34" spans="1:80" ht="14.1" customHeight="1" x14ac:dyDescent="0.3">
      <c r="A34" s="393"/>
      <c r="B34" s="263" t="s">
        <v>146</v>
      </c>
      <c r="C34" s="399">
        <f>SUMIFS(CampList[HH],CampList[Township],$B34,CampList[Status],Definition!X$3,CampList[Affected Population],Definition!Y$3,CampList[State],Definition!J$4)</f>
        <v>927</v>
      </c>
      <c r="D34" s="399">
        <f>SUMIFS(CampList[Total],CampList[Township],$B34,CampList[Status],Definition!X$3,CampList[Affected Population],Definition!Y$3,CampList[State],Definition!J$4)</f>
        <v>4732</v>
      </c>
      <c r="E34" s="260">
        <f>COUNTIFS(CampList[Township],$B34,CampList[Status],Definition!X$3,CampList[Affected Population],Definition!Y$3,CampList[State],Definition!J$4)</f>
        <v>16</v>
      </c>
      <c r="F34" s="175"/>
      <c r="G34" s="175"/>
      <c r="H34" s="175"/>
      <c r="I34" s="175"/>
      <c r="J34" s="175"/>
      <c r="K34" s="175"/>
      <c r="L34" s="175"/>
      <c r="M34" s="188"/>
      <c r="N34" s="188"/>
      <c r="O34" s="188"/>
      <c r="P34" s="188"/>
      <c r="Q34" s="188"/>
      <c r="R34" s="188"/>
      <c r="S34" s="397"/>
      <c r="AJ34" s="662" t="e">
        <v>#REF!</v>
      </c>
      <c r="AK34" s="662" t="e">
        <v>#REF!</v>
      </c>
      <c r="AL34" s="662" t="e">
        <v>#REF!</v>
      </c>
      <c r="AM34" s="662" t="e">
        <v>#REF!</v>
      </c>
      <c r="AN34" s="664"/>
    </row>
    <row r="35" spans="1:80" ht="14.1" customHeight="1" x14ac:dyDescent="0.3">
      <c r="A35" s="393"/>
      <c r="B35" s="263" t="s">
        <v>166</v>
      </c>
      <c r="C35" s="399">
        <f>SUMIFS(CampList[HH],CampList[Township],$B35,CampList[Status],Definition!X$3,CampList[Affected Population],Definition!Y$3,CampList[State],Definition!J$4)</f>
        <v>59</v>
      </c>
      <c r="D35" s="399">
        <f>SUMIFS(CampList[Total],CampList[Township],$B35,CampList[Status],Definition!X$3,CampList[Affected Population],Definition!Y$3,CampList[State],Definition!J$4)</f>
        <v>313</v>
      </c>
      <c r="E35" s="260">
        <f>COUNTIFS(CampList[Township],$B35,CampList[Status],Definition!X$3,CampList[Affected Population],Definition!Y$3,CampList[State],Definition!J$4)</f>
        <v>2</v>
      </c>
      <c r="F35" s="175"/>
      <c r="G35" s="175"/>
      <c r="H35" s="175"/>
      <c r="I35" s="175"/>
      <c r="J35" s="175"/>
      <c r="K35" s="175"/>
      <c r="L35" s="175"/>
      <c r="M35" s="188"/>
      <c r="N35" s="188"/>
      <c r="O35" s="188"/>
      <c r="P35" s="188"/>
      <c r="Q35" s="188"/>
      <c r="R35" s="188"/>
      <c r="S35" s="397"/>
      <c r="AJ35" s="662" t="e">
        <v>#REF!</v>
      </c>
      <c r="AK35" s="662" t="e">
        <v>#REF!</v>
      </c>
      <c r="AL35" s="662" t="e">
        <v>#REF!</v>
      </c>
      <c r="AM35" s="662" t="e">
        <v>#REF!</v>
      </c>
      <c r="AN35" s="664"/>
    </row>
    <row r="36" spans="1:80" ht="14.1" customHeight="1" x14ac:dyDescent="0.3">
      <c r="A36" s="393"/>
      <c r="B36" s="259" t="s">
        <v>230</v>
      </c>
      <c r="C36" s="399">
        <f>SUMIFS(CampList[HH],CampList[Township],$B36,CampList[Status],Definition!X$3,CampList[Affected Population],Definition!Y$3,CampList[State],Definition!J$4)</f>
        <v>209</v>
      </c>
      <c r="D36" s="399">
        <f>SUMIFS(CampList[Total],CampList[Township],$B36,CampList[Status],Definition!X$3,CampList[Affected Population],Definition!Y$3,CampList[State],Definition!J$4)</f>
        <v>1048</v>
      </c>
      <c r="E36" s="260">
        <f>COUNTIFS(CampList[Township],$B36,CampList[Status],Definition!X$3,CampList[Affected Population],Definition!Y$3,CampList[State],Definition!J$4)</f>
        <v>3</v>
      </c>
      <c r="F36" s="175"/>
      <c r="G36" s="175"/>
      <c r="H36" s="175"/>
      <c r="I36" s="175"/>
      <c r="J36" s="175"/>
      <c r="K36" s="175"/>
      <c r="L36" s="175"/>
      <c r="M36" s="188"/>
      <c r="N36" s="188"/>
      <c r="O36" s="188"/>
      <c r="P36" s="188"/>
      <c r="Q36" s="188"/>
      <c r="R36" s="188"/>
      <c r="S36" s="397"/>
      <c r="AJ36" s="662" t="e">
        <v>#REF!</v>
      </c>
      <c r="AK36" s="662" t="e">
        <v>#REF!</v>
      </c>
      <c r="AL36" s="662" t="e">
        <v>#REF!</v>
      </c>
      <c r="AM36" s="662" t="e">
        <v>#REF!</v>
      </c>
      <c r="AN36" s="664"/>
    </row>
    <row r="37" spans="1:80" ht="14.1" customHeight="1" x14ac:dyDescent="0.3">
      <c r="A37" s="393"/>
      <c r="B37" s="259" t="s">
        <v>288</v>
      </c>
      <c r="C37" s="399">
        <f>SUMIFS(CampList[HH],CampList[Township],$B37,CampList[Status],Definition!X$3,CampList[Affected Population],Definition!Y$3,CampList[State],Definition!J$4)</f>
        <v>395</v>
      </c>
      <c r="D37" s="399">
        <f>SUMIFS(CampList[Total],CampList[Township],$B37,CampList[Status],Definition!X$3,CampList[Affected Population],Definition!Y$3,CampList[State],Definition!J$4)</f>
        <v>2018</v>
      </c>
      <c r="E37" s="260">
        <f>COUNTIFS(CampList[Township],$B37,CampList[Status],Definition!X$3,CampList[Affected Population],Definition!Y$3,CampList[State],Definition!J$4)</f>
        <v>6</v>
      </c>
      <c r="F37" s="175"/>
      <c r="G37" s="175"/>
      <c r="H37" s="175"/>
      <c r="I37" s="175"/>
      <c r="J37" s="175"/>
      <c r="K37" s="175"/>
      <c r="L37" s="175"/>
      <c r="M37" s="188"/>
      <c r="N37" s="188"/>
      <c r="O37" s="188"/>
      <c r="P37" s="188"/>
      <c r="Q37" s="188"/>
      <c r="R37" s="188"/>
      <c r="S37" s="397"/>
      <c r="AJ37" s="662" t="e">
        <v>#REF!</v>
      </c>
      <c r="AK37" s="662" t="e">
        <v>#REF!</v>
      </c>
      <c r="AL37" s="662" t="e">
        <v>#REF!</v>
      </c>
      <c r="AM37" s="662" t="e">
        <v>#REF!</v>
      </c>
      <c r="AN37" s="664"/>
    </row>
    <row r="38" spans="1:80" ht="14.1" customHeight="1" x14ac:dyDescent="0.3">
      <c r="A38" s="393"/>
      <c r="B38" s="259" t="s">
        <v>1198</v>
      </c>
      <c r="C38" s="399">
        <f>SUMIFS(CampList[HH],CampList[Township],$B38,CampList[Status],Definition!X$3,CampList[Affected Population],Definition!Y$3,CampList[State],Definition!J$4)</f>
        <v>37</v>
      </c>
      <c r="D38" s="399">
        <f>SUMIFS(CampList[Total],CampList[Township],$B38,CampList[Status],Definition!X$3,CampList[Affected Population],Definition!Y$3,CampList[State],Definition!J$4)</f>
        <v>120</v>
      </c>
      <c r="E38" s="260">
        <f>COUNTIFS(CampList[Township],$B38,CampList[Status],Definition!X$3,CampList[Affected Population],Definition!Y$3,CampList[State],Definition!J$4)</f>
        <v>1</v>
      </c>
      <c r="F38" s="175"/>
      <c r="G38" s="175"/>
      <c r="H38" s="175"/>
      <c r="I38" s="175"/>
      <c r="J38" s="175"/>
      <c r="K38" s="175"/>
      <c r="L38" s="175"/>
      <c r="M38" s="188"/>
      <c r="N38" s="188"/>
      <c r="O38" s="188"/>
      <c r="P38" s="188"/>
      <c r="Q38" s="188"/>
      <c r="R38" s="188"/>
      <c r="S38" s="397"/>
      <c r="AJ38" s="662"/>
      <c r="AK38" s="662"/>
      <c r="AL38" s="662"/>
      <c r="AM38" s="662"/>
      <c r="AN38" s="664"/>
    </row>
    <row r="39" spans="1:80" ht="14.1" customHeight="1" x14ac:dyDescent="0.3">
      <c r="A39" s="393"/>
      <c r="B39" s="259" t="s">
        <v>297</v>
      </c>
      <c r="C39" s="399">
        <f>SUMIFS(CampList[HH],CampList[Township],$B39,CampList[Status],Definition!X$3,CampList[Affected Population],Definition!Y$3,CampList[State],Definition!J$4)</f>
        <v>133</v>
      </c>
      <c r="D39" s="399">
        <f>SUMIFS(CampList[Total],CampList[Township],$B39,CampList[Status],Definition!X$3,CampList[Affected Population],Definition!Y$3,CampList[State],Definition!J$4)</f>
        <v>609</v>
      </c>
      <c r="E39" s="260">
        <f>COUNTIFS(CampList[Township],$B39,CampList[Status],Definition!X$3,CampList[Affected Population],Definition!Y$3,CampList[State],Definition!J$4)</f>
        <v>4</v>
      </c>
      <c r="F39" s="175"/>
      <c r="G39" s="175"/>
      <c r="H39" s="175"/>
      <c r="I39" s="175"/>
      <c r="J39" s="175"/>
      <c r="K39" s="175"/>
      <c r="L39" s="175"/>
      <c r="M39" s="175"/>
      <c r="N39" s="175"/>
      <c r="O39" s="175"/>
      <c r="P39" s="175"/>
      <c r="Q39" s="175"/>
      <c r="R39" s="175"/>
      <c r="S39" s="397"/>
      <c r="AI39" s="181" t="s">
        <v>309</v>
      </c>
      <c r="AJ39" s="662" t="e">
        <v>#REF!</v>
      </c>
      <c r="AK39" s="662" t="e">
        <v>#REF!</v>
      </c>
      <c r="AL39" s="662" t="e">
        <v>#REF!</v>
      </c>
      <c r="AM39" s="662" t="e">
        <v>#REF!</v>
      </c>
      <c r="AN39" s="665"/>
    </row>
    <row r="40" spans="1:80" ht="15" customHeight="1" x14ac:dyDescent="0.3">
      <c r="A40" s="413" t="s">
        <v>1148</v>
      </c>
      <c r="B40" s="264" t="s">
        <v>1149</v>
      </c>
      <c r="C40" s="399">
        <f>SUM(C33:C39)</f>
        <v>1795</v>
      </c>
      <c r="D40" s="402">
        <f>SUM(D33:D39)</f>
        <v>9023</v>
      </c>
      <c r="E40" s="262">
        <f>SUM(E33:E39)</f>
        <v>33</v>
      </c>
      <c r="F40" s="175"/>
      <c r="G40" s="175"/>
      <c r="H40" s="175"/>
      <c r="I40" s="175"/>
      <c r="J40" s="175"/>
      <c r="K40" s="175"/>
      <c r="L40" s="175"/>
      <c r="M40" s="175"/>
      <c r="N40" s="175"/>
      <c r="O40" s="175"/>
      <c r="P40" s="175"/>
      <c r="Q40" s="175"/>
      <c r="R40" s="175"/>
      <c r="S40" s="397"/>
      <c r="AI40" s="181" t="s">
        <v>3</v>
      </c>
      <c r="AJ40" s="210" t="e">
        <f>SUM(AJ7:AJ39)</f>
        <v>#REF!</v>
      </c>
      <c r="AK40" s="210" t="e">
        <f>SUM(AK7:AK39)</f>
        <v>#REF!</v>
      </c>
      <c r="AL40" s="210" t="e">
        <f>SUM(AL7:AL39)</f>
        <v>#REF!</v>
      </c>
      <c r="AM40" s="210" t="e">
        <f>SUM(AM7:AM39)</f>
        <v>#REF!</v>
      </c>
      <c r="AN40" s="666"/>
      <c r="AO40" s="665"/>
    </row>
    <row r="41" spans="1:80" ht="15.75" customHeight="1" x14ac:dyDescent="0.3">
      <c r="A41" s="403"/>
      <c r="B41" s="255" t="s">
        <v>411</v>
      </c>
      <c r="C41" s="609">
        <f>C31+C40</f>
        <v>20596</v>
      </c>
      <c r="D41" s="609">
        <f>D31+D40</f>
        <v>106537</v>
      </c>
      <c r="E41" s="609">
        <f>E31+E40</f>
        <v>169</v>
      </c>
      <c r="F41" s="175"/>
      <c r="G41" s="175"/>
      <c r="H41" s="175"/>
      <c r="I41" s="175"/>
      <c r="J41" s="175"/>
      <c r="K41" s="175"/>
      <c r="L41" s="175"/>
      <c r="M41" s="188"/>
      <c r="N41" s="188"/>
      <c r="O41" s="188"/>
      <c r="P41" s="188"/>
      <c r="Q41" s="188"/>
      <c r="R41" s="188"/>
      <c r="S41" s="397"/>
      <c r="AO41" s="665"/>
    </row>
    <row r="42" spans="1:80" ht="9" customHeight="1" x14ac:dyDescent="0.3">
      <c r="A42" s="393"/>
      <c r="B42" s="175"/>
      <c r="C42" s="175"/>
      <c r="D42" s="175"/>
      <c r="E42" s="175"/>
      <c r="F42" s="175"/>
      <c r="G42" s="175"/>
      <c r="H42" s="175"/>
      <c r="I42" s="175"/>
      <c r="J42" s="175"/>
      <c r="K42" s="175"/>
      <c r="L42" s="175"/>
      <c r="M42" s="188"/>
      <c r="N42" s="188"/>
      <c r="O42" s="188"/>
      <c r="P42" s="188"/>
      <c r="Q42" s="188"/>
      <c r="R42" s="188"/>
      <c r="S42" s="397"/>
      <c r="AJ42" s="587" t="s">
        <v>1410</v>
      </c>
      <c r="AK42" s="587"/>
      <c r="AL42" s="587"/>
      <c r="AN42" s="181" t="s">
        <v>1409</v>
      </c>
      <c r="AO42" s="665">
        <f>SUM(AK42:AN42)</f>
        <v>0</v>
      </c>
    </row>
    <row r="43" spans="1:80" ht="14.1" customHeight="1" x14ac:dyDescent="0.3">
      <c r="A43" s="393"/>
      <c r="B43" s="830" t="s">
        <v>1433</v>
      </c>
      <c r="C43" s="831" t="s">
        <v>464</v>
      </c>
      <c r="D43" s="832"/>
      <c r="E43" s="833" t="s">
        <v>466</v>
      </c>
      <c r="F43" s="832"/>
      <c r="G43" s="833" t="s">
        <v>3</v>
      </c>
      <c r="H43" s="831"/>
      <c r="I43" s="832"/>
      <c r="J43" s="175"/>
      <c r="K43" s="175"/>
      <c r="L43" s="175"/>
      <c r="M43" s="188"/>
      <c r="N43" s="188"/>
      <c r="O43" s="188"/>
      <c r="P43" s="188"/>
      <c r="Q43" s="188"/>
      <c r="R43" s="188"/>
      <c r="S43" s="397"/>
      <c r="AJ43" s="587"/>
      <c r="AK43" s="587"/>
      <c r="AL43" s="587"/>
      <c r="AO43" s="665"/>
    </row>
    <row r="44" spans="1:80" ht="18.75" customHeight="1" x14ac:dyDescent="0.3">
      <c r="A44" s="393"/>
      <c r="B44" s="830"/>
      <c r="C44" s="179" t="s">
        <v>1412</v>
      </c>
      <c r="D44" s="411" t="s">
        <v>788</v>
      </c>
      <c r="E44" s="179" t="s">
        <v>1412</v>
      </c>
      <c r="F44" s="411" t="s">
        <v>788</v>
      </c>
      <c r="G44" s="287" t="s">
        <v>1412</v>
      </c>
      <c r="H44" s="412" t="s">
        <v>788</v>
      </c>
      <c r="I44" s="417" t="s">
        <v>1418</v>
      </c>
      <c r="J44" s="175"/>
      <c r="K44" s="175"/>
      <c r="L44" s="175"/>
      <c r="M44" s="188"/>
      <c r="N44" s="188"/>
      <c r="O44" s="188"/>
      <c r="P44" s="188"/>
      <c r="Q44" s="188"/>
      <c r="R44" s="188"/>
      <c r="S44" s="397"/>
      <c r="AJ44" s="587"/>
      <c r="AK44" s="587"/>
      <c r="AL44" s="587"/>
      <c r="AO44" s="665"/>
    </row>
    <row r="45" spans="1:80" ht="18.75" customHeight="1" x14ac:dyDescent="0.3">
      <c r="A45" s="393"/>
      <c r="B45" s="404" t="s">
        <v>507</v>
      </c>
      <c r="C45" s="399">
        <f>COUNTIFS(CampList[Status],Definition!$X$3,CampList[Type of Accomodation],$B45,CampList[Accessibility],Definition!$AA$2)</f>
        <v>121</v>
      </c>
      <c r="D45" s="411">
        <f>SUMIFS(CampList[Total],CampList[Status],Definition!$X$3,CampList[Type of Accomodation],$B45,CampList[Accessibility],Definition!$AA$2)</f>
        <v>60421</v>
      </c>
      <c r="E45" s="399">
        <f>COUNTIFS(CampList[Status],Definition!$X$3,CampList[Type of Accomodation],$B45,CampList[Accessibility],Definition!$AA$3)</f>
        <v>17</v>
      </c>
      <c r="F45" s="411">
        <f>SUMIFS(CampList[Total],CampList[Status],Definition!$X$3,CampList[Type of Accomodation],$B45,CampList[Accessibility],Definition!$AA$3)</f>
        <v>37529</v>
      </c>
      <c r="G45" s="179">
        <f>C45+E45</f>
        <v>138</v>
      </c>
      <c r="H45" s="411">
        <f>F45+D45</f>
        <v>97950</v>
      </c>
      <c r="I45" s="416">
        <f t="shared" ref="I45:I50" si="0">H45/$H$49</f>
        <v>0.91939889428086019</v>
      </c>
      <c r="J45" s="175"/>
      <c r="K45" s="175"/>
      <c r="L45" s="175"/>
      <c r="M45" s="188"/>
      <c r="N45" s="188"/>
      <c r="O45" s="188"/>
      <c r="P45" s="188"/>
      <c r="Q45" s="188"/>
      <c r="R45" s="188"/>
      <c r="S45" s="397"/>
      <c r="AI45" s="181" t="s">
        <v>0</v>
      </c>
      <c r="AJ45" s="181" t="s">
        <v>1403</v>
      </c>
      <c r="AK45" s="181" t="s">
        <v>1404</v>
      </c>
      <c r="AL45" s="181" t="s">
        <v>1411</v>
      </c>
      <c r="AM45" s="181" t="s">
        <v>1406</v>
      </c>
      <c r="AN45" s="181" t="s">
        <v>1409</v>
      </c>
      <c r="AO45" s="665">
        <f>SUM(AJ45:AN45)</f>
        <v>0</v>
      </c>
    </row>
    <row r="46" spans="1:80" ht="18.75" customHeight="1" x14ac:dyDescent="0.3">
      <c r="A46" s="393"/>
      <c r="B46" s="404" t="s">
        <v>1881</v>
      </c>
      <c r="C46" s="399">
        <f>COUNTIFS(CampList[Status],Definition!$X$3,CampList[Type of Accomodation],$B46,CampList[Accessibility],Definition!$AA$2)</f>
        <v>10</v>
      </c>
      <c r="D46" s="411">
        <f>SUMIFS(CampList[Total],CampList[Status],Definition!$X$3,CampList[Type of Accomodation],$B46,CampList[Accessibility],Definition!$AA$2)</f>
        <v>3631</v>
      </c>
      <c r="E46" s="399">
        <f>COUNTIFS(CampList[Status],Definition!$X$3,CampList[Type of Accomodation],$B46,CampList[Accessibility],Definition!$AA$3)</f>
        <v>0</v>
      </c>
      <c r="F46" s="411">
        <f>SUMIFS(CampList[Total],CampList[Status],Definition!$X$3,CampList[Type of Accomodation],$B46,CampList[Accessibility],Definition!$AA$3)</f>
        <v>0</v>
      </c>
      <c r="G46" s="179">
        <f t="shared" ref="G46:G48" si="1">C46+E46</f>
        <v>10</v>
      </c>
      <c r="H46" s="411">
        <f t="shared" ref="H46:H48" si="2">F46+D46</f>
        <v>3631</v>
      </c>
      <c r="I46" s="416">
        <f t="shared" si="0"/>
        <v>3.4082055999324179E-2</v>
      </c>
      <c r="J46" s="175"/>
      <c r="K46" s="175"/>
      <c r="L46" s="175"/>
      <c r="M46" s="188"/>
      <c r="N46" s="188"/>
      <c r="O46" s="188"/>
      <c r="P46" s="188"/>
      <c r="Q46" s="188"/>
      <c r="R46" s="188"/>
      <c r="S46" s="397"/>
      <c r="AI46" s="181" t="s">
        <v>5</v>
      </c>
      <c r="AJ46" s="662" t="e">
        <v>#REF!</v>
      </c>
      <c r="AK46" s="662" t="e">
        <v>#REF!</v>
      </c>
      <c r="AL46" s="662" t="e">
        <v>#REF!</v>
      </c>
      <c r="AM46" s="662" t="e">
        <v>#REF!</v>
      </c>
      <c r="AN46" s="181" t="e">
        <v>#REF!</v>
      </c>
      <c r="AO46" s="667" t="e">
        <f>SUM(AJ46:AN46)</f>
        <v>#REF!</v>
      </c>
    </row>
    <row r="47" spans="1:80" s="384" customFormat="1" ht="18.75" customHeight="1" x14ac:dyDescent="0.3">
      <c r="A47" s="393"/>
      <c r="B47" s="404" t="s">
        <v>847</v>
      </c>
      <c r="C47" s="399">
        <f>COUNTIFS(CampList[Status],Definition!$X$3,CampList[Type of Accomodation],$B47,CampList[Accessibility],Definition!$AA$2)</f>
        <v>0</v>
      </c>
      <c r="D47" s="411">
        <f>SUMIFS(CampList[Total],CampList[Status],Definition!$X$3,CampList[Type of Accomodation],$B47,CampList[Accessibility],Definition!$AA$2)</f>
        <v>0</v>
      </c>
      <c r="E47" s="399">
        <f>COUNTIFS(CampList[Status],Definition!$X$3,CampList[Type of Accomodation],$B47,CampList[Accessibility],Definition!$AA$3)</f>
        <v>1</v>
      </c>
      <c r="F47" s="411">
        <f>SUMIFS(CampList[Total],CampList[Status],Definition!$X$3,CampList[Type of Accomodation],$B47,CampList[Accessibility],Definition!$AA$3)</f>
        <v>872</v>
      </c>
      <c r="G47" s="179">
        <f t="shared" si="1"/>
        <v>1</v>
      </c>
      <c r="H47" s="411">
        <f t="shared" si="2"/>
        <v>872</v>
      </c>
      <c r="I47" s="416">
        <f t="shared" si="0"/>
        <v>8.1849498296366514E-3</v>
      </c>
      <c r="J47" s="175"/>
      <c r="K47" s="175"/>
      <c r="L47" s="175"/>
      <c r="M47" s="188"/>
      <c r="N47" s="188"/>
      <c r="O47" s="188"/>
      <c r="P47" s="188"/>
      <c r="Q47" s="188"/>
      <c r="R47" s="188"/>
      <c r="S47" s="397"/>
      <c r="T47" s="179"/>
      <c r="U47" s="266"/>
      <c r="V47" s="266"/>
      <c r="W47" s="266"/>
      <c r="X47" s="266"/>
      <c r="Y47" s="266"/>
      <c r="Z47" s="266"/>
      <c r="AA47" s="266"/>
      <c r="AB47" s="266"/>
      <c r="AC47" s="266"/>
      <c r="AD47" s="266"/>
      <c r="AE47" s="266"/>
      <c r="AF47" s="266"/>
      <c r="AG47" s="266"/>
      <c r="AH47" s="181"/>
      <c r="AI47" s="181" t="s">
        <v>27</v>
      </c>
      <c r="AJ47" s="662" t="e">
        <v>#REF!</v>
      </c>
      <c r="AK47" s="662" t="e">
        <v>#REF!</v>
      </c>
      <c r="AL47" s="662" t="e">
        <v>#REF!</v>
      </c>
      <c r="AM47" s="662" t="e">
        <v>#REF!</v>
      </c>
      <c r="AN47" s="181" t="e">
        <v>#REF!</v>
      </c>
      <c r="AO47" s="667" t="e">
        <f t="shared" ref="AO47:AO65" si="3">SUM(AJ47:AN47)</f>
        <v>#REF!</v>
      </c>
      <c r="AP47" s="181"/>
      <c r="AQ47" s="181"/>
      <c r="AR47" s="181"/>
      <c r="AS47" s="181"/>
      <c r="AT47" s="181"/>
      <c r="AU47" s="266"/>
      <c r="AV47" s="266"/>
      <c r="AW47" s="266"/>
      <c r="AX47" s="266"/>
      <c r="AY47" s="266"/>
      <c r="AZ47" s="266"/>
      <c r="BA47" s="266"/>
      <c r="BB47" s="181"/>
      <c r="BC47" s="181"/>
      <c r="BD47" s="181"/>
      <c r="BE47" s="181"/>
      <c r="BF47" s="181"/>
      <c r="BG47" s="181"/>
      <c r="BH47" s="181"/>
      <c r="BI47" s="181"/>
      <c r="BJ47" s="181"/>
      <c r="BK47" s="181"/>
      <c r="BL47" s="181"/>
      <c r="BM47" s="181"/>
      <c r="BN47" s="181"/>
      <c r="BO47" s="181"/>
      <c r="BP47" s="181"/>
      <c r="BQ47" s="181"/>
      <c r="BR47" s="181"/>
      <c r="BS47" s="181"/>
      <c r="BT47" s="181"/>
      <c r="BU47" s="181"/>
      <c r="BV47" s="181"/>
      <c r="BW47" s="181"/>
      <c r="BX47" s="181"/>
      <c r="BY47" s="181"/>
      <c r="BZ47" s="181"/>
      <c r="CA47" s="181"/>
      <c r="CB47" s="181"/>
    </row>
    <row r="48" spans="1:80" s="384" customFormat="1" ht="18.75" customHeight="1" x14ac:dyDescent="0.3">
      <c r="A48" s="393"/>
      <c r="B48" s="404" t="s">
        <v>1376</v>
      </c>
      <c r="C48" s="399">
        <f>COUNTIFS(CampList[Status],Definition!$X$3,CampList[Type of Accomodation],$B48,CampList[Accessibility],Definition!$AA$2)</f>
        <v>19</v>
      </c>
      <c r="D48" s="411">
        <f>SUMIFS(CampList[Total],CampList[Status],Definition!$X$3,CampList[Type of Accomodation],$B48,CampList[Accessibility],Definition!$AA$2)</f>
        <v>2687</v>
      </c>
      <c r="E48" s="399">
        <f>COUNTIFS(CampList[Status],Definition!$X$3,CampList[Type of Accomodation],$B48,CampList[Accessibility],Definition!$AA$3)</f>
        <v>1</v>
      </c>
      <c r="F48" s="411">
        <f>SUMIFS(CampList[Total],CampList[Status],Definition!$X$3,CampList[Type of Accomodation],$B48,CampList[Accessibility],Definition!$AA$3)</f>
        <v>1397</v>
      </c>
      <c r="G48" s="179">
        <f t="shared" si="1"/>
        <v>20</v>
      </c>
      <c r="H48" s="411">
        <f t="shared" si="2"/>
        <v>4084</v>
      </c>
      <c r="I48" s="416">
        <f t="shared" si="0"/>
        <v>3.8334099890178996E-2</v>
      </c>
      <c r="J48" s="175"/>
      <c r="K48" s="175"/>
      <c r="L48" s="175"/>
      <c r="M48" s="188"/>
      <c r="N48" s="188"/>
      <c r="O48" s="188"/>
      <c r="P48" s="188"/>
      <c r="Q48" s="188"/>
      <c r="R48" s="188"/>
      <c r="S48" s="397"/>
      <c r="T48" s="179"/>
      <c r="U48" s="266"/>
      <c r="V48" s="266"/>
      <c r="W48" s="266"/>
      <c r="X48" s="266"/>
      <c r="Y48" s="266"/>
      <c r="Z48" s="266"/>
      <c r="AA48" s="266"/>
      <c r="AB48" s="266"/>
      <c r="AC48" s="266"/>
      <c r="AD48" s="266"/>
      <c r="AE48" s="266"/>
      <c r="AF48" s="266"/>
      <c r="AG48" s="266"/>
      <c r="AH48" s="181"/>
      <c r="AI48" s="181"/>
      <c r="AJ48" s="662"/>
      <c r="AK48" s="662"/>
      <c r="AL48" s="662"/>
      <c r="AM48" s="662"/>
      <c r="AN48" s="181"/>
      <c r="AO48" s="667"/>
      <c r="AP48" s="181"/>
      <c r="AQ48" s="181"/>
      <c r="AR48" s="181"/>
      <c r="AS48" s="181"/>
      <c r="AT48" s="181"/>
      <c r="AU48" s="266"/>
      <c r="AV48" s="266"/>
      <c r="AW48" s="266"/>
      <c r="AX48" s="266"/>
      <c r="AY48" s="266"/>
      <c r="AZ48" s="266"/>
      <c r="BA48" s="266"/>
      <c r="BB48" s="181"/>
      <c r="BC48" s="181"/>
      <c r="BD48" s="181"/>
      <c r="BE48" s="181"/>
      <c r="BF48" s="181"/>
      <c r="BG48" s="181"/>
      <c r="BH48" s="181"/>
      <c r="BI48" s="181"/>
      <c r="BJ48" s="181"/>
      <c r="BK48" s="181"/>
      <c r="BL48" s="181"/>
      <c r="BM48" s="181"/>
      <c r="BN48" s="181"/>
      <c r="BO48" s="181"/>
      <c r="BP48" s="181"/>
      <c r="BQ48" s="181"/>
      <c r="BR48" s="181"/>
      <c r="BS48" s="181"/>
      <c r="BT48" s="181"/>
      <c r="BU48" s="181"/>
      <c r="BV48" s="181"/>
      <c r="BW48" s="181"/>
      <c r="BX48" s="181"/>
      <c r="BY48" s="181"/>
      <c r="BZ48" s="181"/>
      <c r="CA48" s="181"/>
      <c r="CB48" s="181"/>
    </row>
    <row r="49" spans="1:80" s="384" customFormat="1" ht="14.25" customHeight="1" x14ac:dyDescent="0.3">
      <c r="A49" s="393"/>
      <c r="B49" s="405" t="s">
        <v>3</v>
      </c>
      <c r="C49" s="402">
        <f t="shared" ref="C49:H49" si="4">SUM(C45:C48)</f>
        <v>150</v>
      </c>
      <c r="D49" s="412">
        <f t="shared" si="4"/>
        <v>66739</v>
      </c>
      <c r="E49" s="402">
        <f t="shared" si="4"/>
        <v>19</v>
      </c>
      <c r="F49" s="412">
        <f t="shared" si="4"/>
        <v>39798</v>
      </c>
      <c r="G49" s="287">
        <f t="shared" si="4"/>
        <v>169</v>
      </c>
      <c r="H49" s="412">
        <f t="shared" si="4"/>
        <v>106537</v>
      </c>
      <c r="I49" s="440">
        <f t="shared" si="0"/>
        <v>1</v>
      </c>
      <c r="J49" s="175"/>
      <c r="K49" s="175"/>
      <c r="L49" s="175"/>
      <c r="M49" s="188"/>
      <c r="N49" s="188"/>
      <c r="O49" s="188"/>
      <c r="P49" s="188"/>
      <c r="Q49" s="188"/>
      <c r="R49" s="188"/>
      <c r="S49" s="397"/>
      <c r="T49" s="179"/>
      <c r="U49" s="266"/>
      <c r="V49" s="266"/>
      <c r="W49" s="266"/>
      <c r="X49" s="266"/>
      <c r="Y49" s="266"/>
      <c r="Z49" s="266"/>
      <c r="AA49" s="266"/>
      <c r="AB49" s="266"/>
      <c r="AC49" s="266"/>
      <c r="AD49" s="266"/>
      <c r="AE49" s="266"/>
      <c r="AF49" s="266"/>
      <c r="AG49" s="266"/>
      <c r="AH49" s="181"/>
      <c r="AI49" s="181" t="s">
        <v>480</v>
      </c>
      <c r="AJ49" s="662" t="e">
        <v>#REF!</v>
      </c>
      <c r="AK49" s="662" t="e">
        <v>#REF!</v>
      </c>
      <c r="AL49" s="662" t="e">
        <v>#REF!</v>
      </c>
      <c r="AM49" s="662" t="e">
        <v>#REF!</v>
      </c>
      <c r="AN49" s="181" t="e">
        <v>#REF!</v>
      </c>
      <c r="AO49" s="667" t="e">
        <f t="shared" si="3"/>
        <v>#REF!</v>
      </c>
      <c r="AP49" s="181"/>
      <c r="AQ49" s="181"/>
      <c r="AR49" s="181"/>
      <c r="AS49" s="181"/>
      <c r="AT49" s="181"/>
      <c r="AU49" s="266"/>
      <c r="AV49" s="266"/>
      <c r="AW49" s="266"/>
      <c r="AX49" s="266"/>
      <c r="AY49" s="266"/>
      <c r="AZ49" s="266"/>
      <c r="BA49" s="266"/>
      <c r="BB49" s="181"/>
      <c r="BC49" s="181"/>
      <c r="BD49" s="181"/>
      <c r="BE49" s="181"/>
      <c r="BF49" s="181"/>
      <c r="BG49" s="181"/>
      <c r="BH49" s="181"/>
      <c r="BI49" s="181"/>
      <c r="BJ49" s="181"/>
      <c r="BK49" s="181"/>
      <c r="BL49" s="181"/>
      <c r="BM49" s="181"/>
      <c r="BN49" s="181"/>
      <c r="BO49" s="181"/>
      <c r="BP49" s="181"/>
      <c r="BQ49" s="181"/>
      <c r="BR49" s="181"/>
      <c r="BS49" s="181"/>
      <c r="BT49" s="181"/>
      <c r="BU49" s="181"/>
      <c r="BV49" s="181"/>
      <c r="BW49" s="181"/>
      <c r="BX49" s="181"/>
      <c r="BY49" s="181"/>
      <c r="BZ49" s="181"/>
      <c r="CA49" s="181"/>
      <c r="CB49" s="181"/>
    </row>
    <row r="50" spans="1:80" s="384" customFormat="1" ht="3.75" customHeight="1" x14ac:dyDescent="0.3">
      <c r="A50" s="393"/>
      <c r="B50" s="175"/>
      <c r="C50" s="175"/>
      <c r="D50" s="175"/>
      <c r="E50" s="175"/>
      <c r="F50" s="188"/>
      <c r="G50" s="188"/>
      <c r="H50" s="188"/>
      <c r="I50" s="416">
        <f t="shared" si="0"/>
        <v>0</v>
      </c>
      <c r="J50" s="188"/>
      <c r="K50" s="188"/>
      <c r="L50" s="188"/>
      <c r="M50" s="188"/>
      <c r="N50" s="188"/>
      <c r="O50" s="188"/>
      <c r="P50" s="188"/>
      <c r="Q50" s="188"/>
      <c r="R50" s="188"/>
      <c r="S50" s="397"/>
      <c r="T50" s="179"/>
      <c r="U50" s="266"/>
      <c r="V50" s="266"/>
      <c r="W50" s="266"/>
      <c r="X50" s="266"/>
      <c r="Y50" s="266"/>
      <c r="Z50" s="266"/>
      <c r="AA50" s="266"/>
      <c r="AB50" s="266"/>
      <c r="AC50" s="266"/>
      <c r="AD50" s="266"/>
      <c r="AE50" s="266"/>
      <c r="AF50" s="266"/>
      <c r="AG50" s="266"/>
      <c r="AH50" s="181"/>
      <c r="AI50" s="181" t="s">
        <v>144</v>
      </c>
      <c r="AJ50" s="662" t="e">
        <v>#REF!</v>
      </c>
      <c r="AK50" s="662" t="e">
        <v>#REF!</v>
      </c>
      <c r="AL50" s="662" t="e">
        <v>#REF!</v>
      </c>
      <c r="AM50" s="662" t="e">
        <v>#REF!</v>
      </c>
      <c r="AN50" s="181" t="e">
        <v>#REF!</v>
      </c>
      <c r="AO50" s="667" t="e">
        <f t="shared" si="3"/>
        <v>#REF!</v>
      </c>
      <c r="AP50" s="181"/>
      <c r="AQ50" s="181"/>
      <c r="AR50" s="181"/>
      <c r="AS50" s="181"/>
      <c r="AT50" s="181"/>
      <c r="AU50" s="266"/>
      <c r="AV50" s="266"/>
      <c r="AW50" s="266"/>
      <c r="AX50" s="266"/>
      <c r="AY50" s="266"/>
      <c r="AZ50" s="266"/>
      <c r="BA50" s="266"/>
      <c r="BB50" s="181"/>
      <c r="BC50" s="181"/>
      <c r="BD50" s="181"/>
      <c r="BE50" s="181"/>
      <c r="BF50" s="181"/>
      <c r="BG50" s="181"/>
      <c r="BH50" s="181"/>
      <c r="BI50" s="181"/>
      <c r="BJ50" s="181"/>
      <c r="BK50" s="181"/>
      <c r="BL50" s="181"/>
      <c r="BM50" s="181"/>
      <c r="BN50" s="181"/>
      <c r="BO50" s="181"/>
      <c r="BP50" s="181"/>
      <c r="BQ50" s="181"/>
      <c r="BR50" s="181"/>
      <c r="BS50" s="181"/>
      <c r="BT50" s="181"/>
      <c r="BU50" s="181"/>
      <c r="BV50" s="181"/>
      <c r="BW50" s="181"/>
      <c r="BX50" s="181"/>
      <c r="BY50" s="181"/>
      <c r="BZ50" s="181"/>
      <c r="CA50" s="181"/>
      <c r="CB50" s="181"/>
    </row>
    <row r="51" spans="1:80" s="384" customFormat="1" ht="48" customHeight="1" x14ac:dyDescent="0.3">
      <c r="A51" s="393"/>
      <c r="B51" s="175"/>
      <c r="C51" s="175"/>
      <c r="D51" s="175"/>
      <c r="E51" s="175"/>
      <c r="F51" s="188"/>
      <c r="G51" s="188"/>
      <c r="H51" s="188"/>
      <c r="I51" s="188"/>
      <c r="J51" s="188"/>
      <c r="K51" s="188"/>
      <c r="L51" s="188"/>
      <c r="M51" s="188"/>
      <c r="N51" s="188"/>
      <c r="O51" s="188"/>
      <c r="P51" s="188"/>
      <c r="Q51" s="188"/>
      <c r="R51" s="188"/>
      <c r="S51" s="397"/>
      <c r="T51" s="179"/>
      <c r="U51" s="266"/>
      <c r="V51" s="266"/>
      <c r="W51" s="266"/>
      <c r="X51" s="266"/>
      <c r="Y51" s="266"/>
      <c r="Z51" s="266"/>
      <c r="AA51" s="266"/>
      <c r="AB51" s="266"/>
      <c r="AC51" s="266"/>
      <c r="AD51" s="266"/>
      <c r="AE51" s="266"/>
      <c r="AF51" s="266"/>
      <c r="AG51" s="266"/>
      <c r="AH51" s="181"/>
      <c r="AI51" s="181" t="s">
        <v>146</v>
      </c>
      <c r="AJ51" s="662" t="e">
        <v>#REF!</v>
      </c>
      <c r="AK51" s="662" t="e">
        <v>#REF!</v>
      </c>
      <c r="AL51" s="662" t="e">
        <v>#REF!</v>
      </c>
      <c r="AM51" s="662" t="e">
        <v>#REF!</v>
      </c>
      <c r="AN51" s="181" t="e">
        <v>#REF!</v>
      </c>
      <c r="AO51" s="667" t="e">
        <f t="shared" si="3"/>
        <v>#REF!</v>
      </c>
      <c r="AP51" s="181"/>
      <c r="AQ51" s="181"/>
      <c r="AR51" s="181"/>
      <c r="AS51" s="181"/>
      <c r="AT51" s="181"/>
      <c r="AU51" s="266"/>
      <c r="AV51" s="266"/>
      <c r="AW51" s="266"/>
      <c r="AX51" s="266"/>
      <c r="AY51" s="266"/>
      <c r="AZ51" s="266"/>
      <c r="BA51" s="266"/>
      <c r="BB51" s="181"/>
      <c r="BC51" s="181"/>
      <c r="BD51" s="181"/>
      <c r="BE51" s="181"/>
      <c r="BF51" s="181"/>
      <c r="BG51" s="181"/>
      <c r="BH51" s="181"/>
      <c r="BI51" s="181"/>
      <c r="BJ51" s="181"/>
      <c r="BK51" s="181"/>
      <c r="BL51" s="181"/>
      <c r="BM51" s="181"/>
      <c r="BN51" s="181"/>
      <c r="BO51" s="181"/>
      <c r="BP51" s="181"/>
      <c r="BQ51" s="181"/>
      <c r="BR51" s="181"/>
      <c r="BS51" s="181"/>
      <c r="BT51" s="181"/>
      <c r="BU51" s="181"/>
      <c r="BV51" s="181"/>
      <c r="BW51" s="181"/>
      <c r="BX51" s="181"/>
      <c r="BY51" s="181"/>
      <c r="BZ51" s="181"/>
      <c r="CA51" s="181"/>
      <c r="CB51" s="181"/>
    </row>
    <row r="52" spans="1:80" s="384" customFormat="1" ht="1.5" customHeight="1" thickBot="1" x14ac:dyDescent="0.35">
      <c r="A52" s="406"/>
      <c r="B52" s="407"/>
      <c r="C52" s="407"/>
      <c r="D52" s="407"/>
      <c r="E52" s="407"/>
      <c r="F52" s="407"/>
      <c r="G52" s="407"/>
      <c r="H52" s="407"/>
      <c r="I52" s="407"/>
      <c r="J52" s="407"/>
      <c r="K52" s="407"/>
      <c r="L52" s="407"/>
      <c r="M52" s="407"/>
      <c r="N52" s="407"/>
      <c r="O52" s="407"/>
      <c r="P52" s="407"/>
      <c r="Q52" s="408"/>
      <c r="R52" s="408"/>
      <c r="S52" s="409"/>
      <c r="T52" s="179"/>
      <c r="U52" s="266"/>
      <c r="V52" s="266"/>
      <c r="W52" s="266"/>
      <c r="X52" s="266"/>
      <c r="Y52" s="266"/>
      <c r="Z52" s="266"/>
      <c r="AA52" s="266"/>
      <c r="AB52" s="266"/>
      <c r="AC52" s="266"/>
      <c r="AD52" s="266"/>
      <c r="AE52" s="266"/>
      <c r="AF52" s="266"/>
      <c r="AG52" s="266"/>
      <c r="AH52" s="181"/>
      <c r="AI52" s="181" t="s">
        <v>151</v>
      </c>
      <c r="AJ52" s="662" t="e">
        <v>#REF!</v>
      </c>
      <c r="AK52" s="662" t="e">
        <v>#REF!</v>
      </c>
      <c r="AL52" s="662" t="e">
        <v>#REF!</v>
      </c>
      <c r="AM52" s="662" t="e">
        <v>#REF!</v>
      </c>
      <c r="AN52" s="181" t="e">
        <v>#REF!</v>
      </c>
      <c r="AO52" s="667" t="e">
        <f t="shared" si="3"/>
        <v>#REF!</v>
      </c>
      <c r="AP52" s="181"/>
      <c r="AQ52" s="181"/>
      <c r="AR52" s="181"/>
      <c r="AS52" s="181"/>
      <c r="AT52" s="181"/>
      <c r="AU52" s="266"/>
      <c r="AV52" s="266"/>
      <c r="AW52" s="266"/>
      <c r="AX52" s="266"/>
      <c r="AY52" s="266"/>
      <c r="AZ52" s="266"/>
      <c r="BA52" s="266"/>
      <c r="BB52" s="181"/>
      <c r="BC52" s="181"/>
      <c r="BD52" s="181"/>
      <c r="BE52" s="181"/>
      <c r="BF52" s="181"/>
      <c r="BG52" s="181"/>
      <c r="BH52" s="181"/>
      <c r="BI52" s="181"/>
      <c r="BJ52" s="181"/>
      <c r="BK52" s="181"/>
      <c r="BL52" s="181"/>
      <c r="BM52" s="181"/>
      <c r="BN52" s="181"/>
      <c r="BO52" s="181"/>
      <c r="BP52" s="181"/>
      <c r="BQ52" s="181"/>
      <c r="BR52" s="181"/>
      <c r="BS52" s="181"/>
      <c r="BT52" s="181"/>
      <c r="BU52" s="181"/>
      <c r="BV52" s="181"/>
      <c r="BW52" s="181"/>
      <c r="BX52" s="181"/>
      <c r="BY52" s="181"/>
      <c r="BZ52" s="181"/>
      <c r="CA52" s="181"/>
      <c r="CB52" s="181"/>
    </row>
    <row r="53" spans="1:80" s="384" customFormat="1" ht="18.600000000000001" customHeight="1" x14ac:dyDescent="0.3">
      <c r="A53" s="394"/>
      <c r="B53" s="394"/>
      <c r="C53" s="394"/>
      <c r="D53" s="394"/>
      <c r="E53" s="394"/>
      <c r="F53" s="394"/>
      <c r="G53" s="394"/>
      <c r="H53" s="394"/>
      <c r="I53" s="394"/>
      <c r="J53" s="394"/>
      <c r="K53" s="394"/>
      <c r="L53" s="394"/>
      <c r="M53" s="394"/>
      <c r="N53" s="394"/>
      <c r="O53" s="394"/>
      <c r="P53" s="394"/>
      <c r="Q53" s="188"/>
      <c r="R53" s="188"/>
      <c r="S53" s="394"/>
      <c r="T53" s="179"/>
      <c r="U53" s="266"/>
      <c r="V53" s="266"/>
      <c r="W53" s="266"/>
      <c r="X53" s="266"/>
      <c r="Y53" s="266"/>
      <c r="Z53" s="266"/>
      <c r="AA53" s="266"/>
      <c r="AB53" s="266"/>
      <c r="AC53" s="266"/>
      <c r="AD53" s="266"/>
      <c r="AE53" s="266"/>
      <c r="AF53" s="266"/>
      <c r="AG53" s="266"/>
      <c r="AH53" s="181"/>
      <c r="AI53" s="181" t="s">
        <v>361</v>
      </c>
      <c r="AJ53" s="662" t="e">
        <v>#REF!</v>
      </c>
      <c r="AK53" s="662" t="e">
        <v>#REF!</v>
      </c>
      <c r="AL53" s="662" t="e">
        <v>#REF!</v>
      </c>
      <c r="AM53" s="662" t="e">
        <v>#REF!</v>
      </c>
      <c r="AN53" s="181" t="e">
        <v>#REF!</v>
      </c>
      <c r="AO53" s="667" t="e">
        <f t="shared" si="3"/>
        <v>#REF!</v>
      </c>
      <c r="AP53" s="181"/>
      <c r="AQ53" s="181"/>
      <c r="AR53" s="181"/>
      <c r="AS53" s="181"/>
      <c r="AT53" s="181"/>
      <c r="AU53" s="266"/>
      <c r="AV53" s="266"/>
      <c r="AW53" s="266"/>
      <c r="AX53" s="266"/>
      <c r="AY53" s="266"/>
      <c r="AZ53" s="266"/>
      <c r="BA53" s="266"/>
      <c r="BB53" s="181"/>
      <c r="BC53" s="181"/>
      <c r="BD53" s="181"/>
      <c r="BE53" s="181"/>
      <c r="BF53" s="181"/>
      <c r="BG53" s="181"/>
      <c r="BH53" s="181"/>
      <c r="BI53" s="181"/>
      <c r="BJ53" s="181"/>
      <c r="BK53" s="181"/>
      <c r="BL53" s="181"/>
      <c r="BM53" s="181"/>
      <c r="BN53" s="181"/>
      <c r="BO53" s="181"/>
      <c r="BP53" s="181"/>
      <c r="BQ53" s="181"/>
      <c r="BR53" s="181"/>
      <c r="BS53" s="181"/>
      <c r="BT53" s="181"/>
      <c r="BU53" s="181"/>
      <c r="BV53" s="181"/>
      <c r="BW53" s="181"/>
      <c r="BX53" s="181"/>
      <c r="BY53" s="181"/>
      <c r="BZ53" s="181"/>
      <c r="CA53" s="181"/>
      <c r="CB53" s="181"/>
    </row>
    <row r="54" spans="1:80" s="384" customFormat="1" x14ac:dyDescent="0.3">
      <c r="A54" s="179"/>
      <c r="B54" s="179"/>
      <c r="C54" s="179"/>
      <c r="D54" s="179"/>
      <c r="E54" s="179"/>
      <c r="F54" s="179"/>
      <c r="G54" s="179"/>
      <c r="H54" s="179"/>
      <c r="I54" s="179"/>
      <c r="J54" s="179"/>
      <c r="K54" s="179"/>
      <c r="L54" s="179"/>
      <c r="M54" s="179"/>
      <c r="N54" s="179"/>
      <c r="O54" s="179"/>
      <c r="P54" s="179"/>
      <c r="Q54" s="179"/>
      <c r="R54" s="179"/>
      <c r="S54" s="179"/>
      <c r="T54" s="179"/>
      <c r="U54" s="266"/>
      <c r="V54" s="266"/>
      <c r="W54" s="266"/>
      <c r="X54" s="266"/>
      <c r="Y54" s="266"/>
      <c r="Z54" s="266"/>
      <c r="AA54" s="266"/>
      <c r="AB54" s="266"/>
      <c r="AC54" s="266"/>
      <c r="AD54" s="266"/>
      <c r="AE54" s="266"/>
      <c r="AF54" s="266"/>
      <c r="AG54" s="266"/>
      <c r="AH54" s="181"/>
      <c r="AI54" s="181" t="s">
        <v>166</v>
      </c>
      <c r="AJ54" s="662" t="e">
        <v>#REF!</v>
      </c>
      <c r="AK54" s="662" t="e">
        <v>#REF!</v>
      </c>
      <c r="AL54" s="662" t="e">
        <v>#REF!</v>
      </c>
      <c r="AM54" s="662" t="e">
        <v>#REF!</v>
      </c>
      <c r="AN54" s="181" t="e">
        <v>#REF!</v>
      </c>
      <c r="AO54" s="667" t="e">
        <f t="shared" si="3"/>
        <v>#REF!</v>
      </c>
      <c r="AP54" s="181"/>
      <c r="AQ54" s="181"/>
      <c r="AR54" s="181"/>
      <c r="AS54" s="181"/>
      <c r="AT54" s="181"/>
      <c r="AU54" s="266"/>
      <c r="AV54" s="266"/>
      <c r="AW54" s="266"/>
      <c r="AX54" s="266"/>
      <c r="AY54" s="266"/>
      <c r="AZ54" s="266"/>
      <c r="BA54" s="266"/>
      <c r="BB54" s="181"/>
      <c r="BC54" s="181"/>
      <c r="BD54" s="181"/>
      <c r="BE54" s="181"/>
      <c r="BF54" s="181"/>
      <c r="BG54" s="181"/>
      <c r="BH54" s="181"/>
      <c r="BI54" s="181"/>
      <c r="BJ54" s="181"/>
      <c r="BK54" s="181"/>
      <c r="BL54" s="181"/>
      <c r="BM54" s="181"/>
      <c r="BN54" s="181"/>
      <c r="BO54" s="181"/>
      <c r="BP54" s="181"/>
      <c r="BQ54" s="181"/>
      <c r="BR54" s="181"/>
      <c r="BS54" s="181"/>
      <c r="BT54" s="181"/>
      <c r="BU54" s="181"/>
      <c r="BV54" s="181"/>
      <c r="BW54" s="181"/>
      <c r="BX54" s="181"/>
      <c r="BY54" s="181"/>
      <c r="BZ54" s="181"/>
      <c r="CA54" s="181"/>
      <c r="CB54" s="181"/>
    </row>
    <row r="55" spans="1:80" s="384" customFormat="1" x14ac:dyDescent="0.3">
      <c r="A55" s="179"/>
      <c r="B55" s="179"/>
      <c r="C55" s="179"/>
      <c r="D55" s="179"/>
      <c r="E55" s="179"/>
      <c r="F55" s="414"/>
      <c r="G55" s="179"/>
      <c r="H55" s="179"/>
      <c r="I55" s="179"/>
      <c r="J55" s="179"/>
      <c r="K55" s="179"/>
      <c r="L55" s="179"/>
      <c r="M55" s="179"/>
      <c r="N55" s="179"/>
      <c r="O55" s="179"/>
      <c r="P55" s="179"/>
      <c r="Q55" s="179"/>
      <c r="R55" s="179"/>
      <c r="S55" s="179"/>
      <c r="T55" s="179"/>
      <c r="U55" s="266"/>
      <c r="V55" s="266"/>
      <c r="W55" s="266"/>
      <c r="X55" s="266"/>
      <c r="Y55" s="266"/>
      <c r="Z55" s="266"/>
      <c r="AA55" s="266"/>
      <c r="AB55" s="266"/>
      <c r="AC55" s="266"/>
      <c r="AD55" s="266"/>
      <c r="AE55" s="266"/>
      <c r="AF55" s="266"/>
      <c r="AG55" s="266"/>
      <c r="AH55" s="181"/>
      <c r="AI55" s="181" t="s">
        <v>173</v>
      </c>
      <c r="AJ55" s="662" t="e">
        <v>#REF!</v>
      </c>
      <c r="AK55" s="662" t="e">
        <v>#REF!</v>
      </c>
      <c r="AL55" s="662" t="e">
        <v>#REF!</v>
      </c>
      <c r="AM55" s="662" t="e">
        <v>#REF!</v>
      </c>
      <c r="AN55" s="181" t="e">
        <v>#REF!</v>
      </c>
      <c r="AO55" s="667" t="e">
        <f t="shared" si="3"/>
        <v>#REF!</v>
      </c>
      <c r="AP55" s="181"/>
      <c r="AQ55" s="181"/>
      <c r="AR55" s="181"/>
      <c r="AS55" s="181"/>
      <c r="AT55" s="181"/>
      <c r="AU55" s="266"/>
      <c r="AV55" s="266"/>
      <c r="AW55" s="266"/>
      <c r="AX55" s="266"/>
      <c r="AY55" s="266"/>
      <c r="AZ55" s="266"/>
      <c r="BA55" s="266"/>
      <c r="BB55" s="181"/>
      <c r="BC55" s="181"/>
      <c r="BD55" s="181"/>
      <c r="BE55" s="181"/>
      <c r="BF55" s="181"/>
      <c r="BG55" s="181"/>
      <c r="BH55" s="181"/>
      <c r="BI55" s="181"/>
      <c r="BJ55" s="181"/>
      <c r="BK55" s="181"/>
      <c r="BL55" s="181"/>
      <c r="BM55" s="181"/>
      <c r="BN55" s="181"/>
      <c r="BO55" s="181"/>
      <c r="BP55" s="181"/>
      <c r="BQ55" s="181"/>
      <c r="BR55" s="181"/>
      <c r="BS55" s="181"/>
      <c r="BT55" s="181"/>
      <c r="BU55" s="181"/>
      <c r="BV55" s="181"/>
      <c r="BW55" s="181"/>
      <c r="BX55" s="181"/>
      <c r="BY55" s="181"/>
      <c r="BZ55" s="181"/>
      <c r="CA55" s="181"/>
      <c r="CB55" s="181"/>
    </row>
    <row r="56" spans="1:80" s="384" customFormat="1" x14ac:dyDescent="0.3">
      <c r="A56" s="179"/>
      <c r="B56" s="179"/>
      <c r="C56" s="179"/>
      <c r="D56" s="179"/>
      <c r="E56" s="179"/>
      <c r="F56" s="179"/>
      <c r="G56" s="414"/>
      <c r="H56" s="179"/>
      <c r="I56" s="179"/>
      <c r="J56" s="179"/>
      <c r="K56" s="179"/>
      <c r="L56" s="179"/>
      <c r="M56" s="179"/>
      <c r="N56" s="179"/>
      <c r="O56" s="179"/>
      <c r="P56" s="179"/>
      <c r="Q56" s="179"/>
      <c r="R56" s="179"/>
      <c r="S56" s="179"/>
      <c r="T56" s="179"/>
      <c r="U56" s="266"/>
      <c r="V56" s="266"/>
      <c r="W56" s="266"/>
      <c r="X56" s="266"/>
      <c r="Y56" s="266"/>
      <c r="Z56" s="266"/>
      <c r="AA56" s="266"/>
      <c r="AB56" s="266"/>
      <c r="AC56" s="266"/>
      <c r="AD56" s="266"/>
      <c r="AE56" s="266"/>
      <c r="AF56" s="266"/>
      <c r="AG56" s="266"/>
      <c r="AH56" s="181"/>
      <c r="AI56" s="181" t="s">
        <v>719</v>
      </c>
      <c r="AJ56" s="662" t="e">
        <v>#REF!</v>
      </c>
      <c r="AK56" s="662" t="e">
        <v>#REF!</v>
      </c>
      <c r="AL56" s="662" t="e">
        <v>#REF!</v>
      </c>
      <c r="AM56" s="662" t="e">
        <v>#REF!</v>
      </c>
      <c r="AN56" s="181" t="e">
        <v>#REF!</v>
      </c>
      <c r="AO56" s="667" t="e">
        <f t="shared" si="3"/>
        <v>#REF!</v>
      </c>
      <c r="AP56" s="181"/>
      <c r="AQ56" s="181"/>
      <c r="AR56" s="181"/>
      <c r="AS56" s="181"/>
      <c r="AT56" s="181"/>
      <c r="AU56" s="266"/>
      <c r="AV56" s="266"/>
      <c r="AW56" s="266"/>
      <c r="AX56" s="266"/>
      <c r="AY56" s="266"/>
      <c r="AZ56" s="266"/>
      <c r="BA56" s="266"/>
      <c r="BB56" s="181"/>
      <c r="BC56" s="181"/>
      <c r="BD56" s="181"/>
      <c r="BE56" s="181"/>
      <c r="BF56" s="181"/>
      <c r="BG56" s="181"/>
      <c r="BH56" s="181"/>
      <c r="BI56" s="181"/>
      <c r="BJ56" s="181"/>
      <c r="BK56" s="181"/>
      <c r="BL56" s="181"/>
      <c r="BM56" s="181"/>
      <c r="BN56" s="181"/>
      <c r="BO56" s="181"/>
      <c r="BP56" s="181"/>
      <c r="BQ56" s="181"/>
      <c r="BR56" s="181"/>
      <c r="BS56" s="181"/>
      <c r="BT56" s="181"/>
      <c r="BU56" s="181"/>
      <c r="BV56" s="181"/>
      <c r="BW56" s="181"/>
      <c r="BX56" s="181"/>
      <c r="BY56" s="181"/>
      <c r="BZ56" s="181"/>
      <c r="CA56" s="181"/>
      <c r="CB56" s="181"/>
    </row>
    <row r="57" spans="1:80" s="384" customFormat="1" x14ac:dyDescent="0.3">
      <c r="A57" s="179"/>
      <c r="B57" s="179"/>
      <c r="C57" s="179"/>
      <c r="D57" s="179"/>
      <c r="E57" s="410"/>
      <c r="F57" s="179"/>
      <c r="G57" s="179"/>
      <c r="H57" s="179"/>
      <c r="I57" s="179"/>
      <c r="J57" s="179"/>
      <c r="K57" s="179"/>
      <c r="L57" s="179"/>
      <c r="M57" s="179"/>
      <c r="N57" s="179"/>
      <c r="O57" s="179"/>
      <c r="P57" s="179"/>
      <c r="Q57" s="179"/>
      <c r="R57" s="179"/>
      <c r="S57" s="179"/>
      <c r="T57" s="179"/>
      <c r="U57" s="266"/>
      <c r="V57" s="266"/>
      <c r="W57" s="266"/>
      <c r="X57" s="266"/>
      <c r="Y57" s="266"/>
      <c r="Z57" s="266"/>
      <c r="AA57" s="266"/>
      <c r="AB57" s="266"/>
      <c r="AC57" s="266"/>
      <c r="AD57" s="266"/>
      <c r="AE57" s="266"/>
      <c r="AF57" s="266"/>
      <c r="AG57" s="266"/>
      <c r="AH57" s="181"/>
      <c r="AI57" s="181" t="s">
        <v>180</v>
      </c>
      <c r="AJ57" s="662" t="e">
        <v>#REF!</v>
      </c>
      <c r="AK57" s="662" t="e">
        <v>#REF!</v>
      </c>
      <c r="AL57" s="662" t="e">
        <v>#REF!</v>
      </c>
      <c r="AM57" s="662" t="e">
        <v>#REF!</v>
      </c>
      <c r="AN57" s="181" t="e">
        <v>#REF!</v>
      </c>
      <c r="AO57" s="667" t="e">
        <f t="shared" si="3"/>
        <v>#REF!</v>
      </c>
      <c r="AP57" s="181"/>
      <c r="AQ57" s="181"/>
      <c r="AR57" s="181"/>
      <c r="AS57" s="181"/>
      <c r="AT57" s="181"/>
      <c r="AU57" s="266"/>
      <c r="AV57" s="266"/>
      <c r="AW57" s="266"/>
      <c r="AX57" s="266"/>
      <c r="AY57" s="266"/>
      <c r="AZ57" s="266"/>
      <c r="BA57" s="266"/>
      <c r="BB57" s="181"/>
      <c r="BC57" s="181"/>
      <c r="BD57" s="181"/>
      <c r="BE57" s="181"/>
      <c r="BF57" s="181"/>
      <c r="BG57" s="181"/>
      <c r="BH57" s="181"/>
      <c r="BI57" s="181"/>
      <c r="BJ57" s="181"/>
      <c r="BK57" s="181"/>
      <c r="BL57" s="181"/>
      <c r="BM57" s="181"/>
      <c r="BN57" s="181"/>
      <c r="BO57" s="181"/>
      <c r="BP57" s="181"/>
      <c r="BQ57" s="181"/>
      <c r="BR57" s="181"/>
      <c r="BS57" s="181"/>
      <c r="BT57" s="181"/>
      <c r="BU57" s="181"/>
      <c r="BV57" s="181"/>
      <c r="BW57" s="181"/>
      <c r="BX57" s="181"/>
      <c r="BY57" s="181"/>
      <c r="BZ57" s="181"/>
      <c r="CA57" s="181"/>
      <c r="CB57" s="181"/>
    </row>
    <row r="58" spans="1:80" s="384" customFormat="1" x14ac:dyDescent="0.3">
      <c r="A58" s="179"/>
      <c r="B58" s="179"/>
      <c r="C58" s="179"/>
      <c r="D58" s="179"/>
      <c r="E58" s="179"/>
      <c r="F58" s="179"/>
      <c r="G58" s="179"/>
      <c r="H58" s="179"/>
      <c r="I58" s="179"/>
      <c r="J58" s="179"/>
      <c r="K58" s="179"/>
      <c r="L58" s="179"/>
      <c r="M58" s="179"/>
      <c r="N58" s="179"/>
      <c r="O58" s="179"/>
      <c r="P58" s="179"/>
      <c r="Q58" s="179"/>
      <c r="R58" s="179"/>
      <c r="S58" s="179"/>
      <c r="T58" s="179"/>
      <c r="U58" s="266"/>
      <c r="V58" s="266"/>
      <c r="W58" s="266"/>
      <c r="X58" s="266"/>
      <c r="Y58" s="266"/>
      <c r="Z58" s="266"/>
      <c r="AA58" s="266"/>
      <c r="AB58" s="266"/>
      <c r="AC58" s="266"/>
      <c r="AD58" s="266"/>
      <c r="AE58" s="266"/>
      <c r="AF58" s="266"/>
      <c r="AG58" s="266"/>
      <c r="AH58" s="181"/>
      <c r="AI58" s="181" t="s">
        <v>185</v>
      </c>
      <c r="AJ58" s="662" t="e">
        <v>#REF!</v>
      </c>
      <c r="AK58" s="662" t="e">
        <v>#REF!</v>
      </c>
      <c r="AL58" s="662" t="e">
        <v>#REF!</v>
      </c>
      <c r="AM58" s="662" t="e">
        <v>#REF!</v>
      </c>
      <c r="AN58" s="181" t="e">
        <v>#REF!</v>
      </c>
      <c r="AO58" s="667" t="e">
        <f t="shared" si="3"/>
        <v>#REF!</v>
      </c>
      <c r="AP58" s="181"/>
      <c r="AQ58" s="181"/>
      <c r="AR58" s="181"/>
      <c r="AS58" s="181"/>
      <c r="AT58" s="181"/>
      <c r="AU58" s="266"/>
      <c r="AV58" s="266"/>
      <c r="AW58" s="266"/>
      <c r="AX58" s="266"/>
      <c r="AY58" s="266"/>
      <c r="AZ58" s="266"/>
      <c r="BA58" s="266"/>
      <c r="BB58" s="181"/>
      <c r="BC58" s="181"/>
      <c r="BD58" s="181"/>
      <c r="BE58" s="181"/>
      <c r="BF58" s="181"/>
      <c r="BG58" s="181"/>
      <c r="BH58" s="181"/>
      <c r="BI58" s="181"/>
      <c r="BJ58" s="181"/>
      <c r="BK58" s="181"/>
      <c r="BL58" s="181"/>
      <c r="BM58" s="181"/>
      <c r="BN58" s="181"/>
      <c r="BO58" s="181"/>
      <c r="BP58" s="181"/>
      <c r="BQ58" s="181"/>
      <c r="BR58" s="181"/>
      <c r="BS58" s="181"/>
      <c r="BT58" s="181"/>
      <c r="BU58" s="181"/>
      <c r="BV58" s="181"/>
      <c r="BW58" s="181"/>
      <c r="BX58" s="181"/>
      <c r="BY58" s="181"/>
      <c r="BZ58" s="181"/>
      <c r="CA58" s="181"/>
      <c r="CB58" s="181"/>
    </row>
    <row r="59" spans="1:80" s="384" customFormat="1" x14ac:dyDescent="0.3">
      <c r="A59" s="179"/>
      <c r="B59" s="179"/>
      <c r="C59" s="179"/>
      <c r="D59" s="179"/>
      <c r="E59" s="179"/>
      <c r="F59" s="179"/>
      <c r="G59" s="179"/>
      <c r="H59" s="179"/>
      <c r="I59" s="179"/>
      <c r="J59" s="179"/>
      <c r="K59" s="179"/>
      <c r="L59" s="179"/>
      <c r="M59" s="179"/>
      <c r="N59" s="179"/>
      <c r="O59" s="179"/>
      <c r="P59" s="179"/>
      <c r="Q59" s="179"/>
      <c r="R59" s="179"/>
      <c r="S59" s="179"/>
      <c r="T59" s="179"/>
      <c r="U59" s="266"/>
      <c r="V59" s="266"/>
      <c r="W59" s="266"/>
      <c r="X59" s="266"/>
      <c r="Y59" s="266"/>
      <c r="Z59" s="266"/>
      <c r="AA59" s="266"/>
      <c r="AB59" s="266"/>
      <c r="AC59" s="266"/>
      <c r="AD59" s="266"/>
      <c r="AE59" s="266"/>
      <c r="AF59" s="266"/>
      <c r="AG59" s="266"/>
      <c r="AH59" s="181"/>
      <c r="AI59" s="181" t="s">
        <v>230</v>
      </c>
      <c r="AJ59" s="662" t="e">
        <v>#REF!</v>
      </c>
      <c r="AK59" s="662" t="e">
        <v>#REF!</v>
      </c>
      <c r="AL59" s="662" t="e">
        <v>#REF!</v>
      </c>
      <c r="AM59" s="662" t="e">
        <v>#REF!</v>
      </c>
      <c r="AN59" s="181" t="e">
        <v>#REF!</v>
      </c>
      <c r="AO59" s="667" t="e">
        <f t="shared" si="3"/>
        <v>#REF!</v>
      </c>
      <c r="AP59" s="181"/>
      <c r="AQ59" s="181"/>
      <c r="AR59" s="181"/>
      <c r="AS59" s="181"/>
      <c r="AT59" s="181"/>
      <c r="AU59" s="266"/>
      <c r="AV59" s="266"/>
      <c r="AW59" s="266"/>
      <c r="AX59" s="266"/>
      <c r="AY59" s="266"/>
      <c r="AZ59" s="266"/>
      <c r="BA59" s="266"/>
      <c r="BB59" s="181"/>
      <c r="BC59" s="181"/>
      <c r="BD59" s="181"/>
      <c r="BE59" s="181"/>
      <c r="BF59" s="181"/>
      <c r="BG59" s="181"/>
      <c r="BH59" s="181"/>
      <c r="BI59" s="181"/>
      <c r="BJ59" s="181"/>
      <c r="BK59" s="181"/>
      <c r="BL59" s="181"/>
      <c r="BM59" s="181"/>
      <c r="BN59" s="181"/>
      <c r="BO59" s="181"/>
      <c r="BP59" s="181"/>
      <c r="BQ59" s="181"/>
      <c r="BR59" s="181"/>
      <c r="BS59" s="181"/>
      <c r="BT59" s="181"/>
      <c r="BU59" s="181"/>
      <c r="BV59" s="181"/>
      <c r="BW59" s="181"/>
      <c r="BX59" s="181"/>
      <c r="BY59" s="181"/>
      <c r="BZ59" s="181"/>
      <c r="CA59" s="181"/>
      <c r="CB59" s="181"/>
    </row>
    <row r="60" spans="1:80" s="384" customFormat="1" x14ac:dyDescent="0.3">
      <c r="A60" s="179"/>
      <c r="B60" s="179"/>
      <c r="C60" s="179"/>
      <c r="D60" s="179"/>
      <c r="E60" s="179"/>
      <c r="F60" s="179"/>
      <c r="G60" s="179"/>
      <c r="H60" s="179"/>
      <c r="I60" s="179"/>
      <c r="J60" s="179"/>
      <c r="K60" s="179"/>
      <c r="L60" s="179"/>
      <c r="M60" s="179"/>
      <c r="N60" s="179"/>
      <c r="O60" s="179"/>
      <c r="P60" s="179"/>
      <c r="Q60" s="179"/>
      <c r="R60" s="179"/>
      <c r="S60" s="179"/>
      <c r="T60" s="179"/>
      <c r="U60" s="266"/>
      <c r="V60" s="266"/>
      <c r="W60" s="266"/>
      <c r="X60" s="266"/>
      <c r="Y60" s="266"/>
      <c r="Z60" s="266"/>
      <c r="AA60" s="266"/>
      <c r="AB60" s="266"/>
      <c r="AC60" s="266"/>
      <c r="AD60" s="266"/>
      <c r="AE60" s="266"/>
      <c r="AF60" s="266"/>
      <c r="AG60" s="266"/>
      <c r="AH60" s="181"/>
      <c r="AI60" s="181" t="s">
        <v>237</v>
      </c>
      <c r="AJ60" s="662" t="e">
        <v>#REF!</v>
      </c>
      <c r="AK60" s="662" t="e">
        <v>#REF!</v>
      </c>
      <c r="AL60" s="662" t="e">
        <v>#REF!</v>
      </c>
      <c r="AM60" s="662" t="e">
        <v>#REF!</v>
      </c>
      <c r="AN60" s="181" t="e">
        <v>#REF!</v>
      </c>
      <c r="AO60" s="667" t="e">
        <f t="shared" si="3"/>
        <v>#REF!</v>
      </c>
      <c r="AP60" s="181"/>
      <c r="AQ60" s="181"/>
      <c r="AR60" s="181"/>
      <c r="AS60" s="181"/>
      <c r="AT60" s="181"/>
      <c r="AU60" s="266"/>
      <c r="AV60" s="266"/>
      <c r="AW60" s="266"/>
      <c r="AX60" s="266"/>
      <c r="AY60" s="266"/>
      <c r="AZ60" s="266"/>
      <c r="BA60" s="266"/>
      <c r="BB60" s="181"/>
      <c r="BC60" s="181"/>
      <c r="BD60" s="181"/>
      <c r="BE60" s="181"/>
      <c r="BF60" s="181"/>
      <c r="BG60" s="181"/>
      <c r="BH60" s="181"/>
      <c r="BI60" s="181"/>
      <c r="BJ60" s="181"/>
      <c r="BK60" s="181"/>
      <c r="BL60" s="181"/>
      <c r="BM60" s="181"/>
      <c r="BN60" s="181"/>
      <c r="BO60" s="181"/>
      <c r="BP60" s="181"/>
      <c r="BQ60" s="181"/>
      <c r="BR60" s="181"/>
      <c r="BS60" s="181"/>
      <c r="BT60" s="181"/>
      <c r="BU60" s="181"/>
      <c r="BV60" s="181"/>
      <c r="BW60" s="181"/>
      <c r="BX60" s="181"/>
      <c r="BY60" s="181"/>
      <c r="BZ60" s="181"/>
      <c r="CA60" s="181"/>
      <c r="CB60" s="181"/>
    </row>
    <row r="61" spans="1:80" s="384" customFormat="1" x14ac:dyDescent="0.3">
      <c r="A61" s="179"/>
      <c r="B61" s="179"/>
      <c r="C61" s="179"/>
      <c r="D61" s="179"/>
      <c r="E61" s="179"/>
      <c r="F61" s="179"/>
      <c r="G61" s="179"/>
      <c r="H61" s="179"/>
      <c r="I61" s="179"/>
      <c r="J61" s="179"/>
      <c r="K61" s="179"/>
      <c r="L61" s="179"/>
      <c r="M61" s="179"/>
      <c r="N61" s="179"/>
      <c r="O61" s="179"/>
      <c r="P61" s="179"/>
      <c r="Q61" s="179"/>
      <c r="R61" s="179"/>
      <c r="S61" s="179"/>
      <c r="T61" s="179"/>
      <c r="U61" s="266"/>
      <c r="V61" s="266"/>
      <c r="W61" s="266"/>
      <c r="X61" s="266"/>
      <c r="Y61" s="266"/>
      <c r="Z61" s="266"/>
      <c r="AA61" s="266"/>
      <c r="AB61" s="266"/>
      <c r="AC61" s="266"/>
      <c r="AD61" s="266"/>
      <c r="AE61" s="266"/>
      <c r="AF61" s="266"/>
      <c r="AG61" s="266"/>
      <c r="AH61" s="181"/>
      <c r="AI61" s="181" t="s">
        <v>288</v>
      </c>
      <c r="AJ61" s="662" t="e">
        <v>#REF!</v>
      </c>
      <c r="AK61" s="662" t="e">
        <v>#REF!</v>
      </c>
      <c r="AL61" s="662" t="e">
        <v>#REF!</v>
      </c>
      <c r="AM61" s="662" t="e">
        <v>#REF!</v>
      </c>
      <c r="AN61" s="181" t="e">
        <v>#REF!</v>
      </c>
      <c r="AO61" s="667" t="e">
        <f t="shared" si="3"/>
        <v>#REF!</v>
      </c>
      <c r="AP61" s="181"/>
      <c r="AQ61" s="181"/>
      <c r="AR61" s="181"/>
      <c r="AS61" s="181"/>
      <c r="AT61" s="181"/>
      <c r="AU61" s="266"/>
      <c r="AV61" s="266"/>
      <c r="AW61" s="266"/>
      <c r="AX61" s="266"/>
      <c r="AY61" s="266"/>
      <c r="AZ61" s="266"/>
      <c r="BA61" s="266"/>
      <c r="BB61" s="181"/>
      <c r="BC61" s="181"/>
      <c r="BD61" s="181"/>
      <c r="BE61" s="181"/>
      <c r="BF61" s="181"/>
      <c r="BG61" s="181"/>
      <c r="BH61" s="181"/>
      <c r="BI61" s="181"/>
      <c r="BJ61" s="181"/>
      <c r="BK61" s="181"/>
      <c r="BL61" s="181"/>
      <c r="BM61" s="181"/>
      <c r="BN61" s="181"/>
      <c r="BO61" s="181"/>
      <c r="BP61" s="181"/>
      <c r="BQ61" s="181"/>
      <c r="BR61" s="181"/>
      <c r="BS61" s="181"/>
      <c r="BT61" s="181"/>
      <c r="BU61" s="181"/>
      <c r="BV61" s="181"/>
      <c r="BW61" s="181"/>
      <c r="BX61" s="181"/>
      <c r="BY61" s="181"/>
      <c r="BZ61" s="181"/>
      <c r="CA61" s="181"/>
      <c r="CB61" s="181"/>
    </row>
    <row r="62" spans="1:80" s="384" customFormat="1" x14ac:dyDescent="0.3">
      <c r="A62" s="179"/>
      <c r="B62" s="179"/>
      <c r="C62" s="179"/>
      <c r="D62" s="179"/>
      <c r="E62" s="179"/>
      <c r="F62" s="179"/>
      <c r="G62" s="179"/>
      <c r="H62" s="179"/>
      <c r="I62" s="179"/>
      <c r="J62" s="179"/>
      <c r="K62" s="179"/>
      <c r="L62" s="179"/>
      <c r="M62" s="179"/>
      <c r="N62" s="179"/>
      <c r="O62" s="179"/>
      <c r="P62" s="179"/>
      <c r="Q62" s="179"/>
      <c r="R62" s="179"/>
      <c r="S62" s="179"/>
      <c r="T62" s="179"/>
      <c r="U62" s="266"/>
      <c r="V62" s="266"/>
      <c r="W62" s="266"/>
      <c r="X62" s="266"/>
      <c r="Y62" s="266"/>
      <c r="Z62" s="266"/>
      <c r="AA62" s="266"/>
      <c r="AB62" s="266"/>
      <c r="AC62" s="266"/>
      <c r="AD62" s="266"/>
      <c r="AE62" s="266"/>
      <c r="AF62" s="266"/>
      <c r="AG62" s="266"/>
      <c r="AH62" s="181"/>
      <c r="AI62" s="181" t="s">
        <v>297</v>
      </c>
      <c r="AJ62" s="662" t="e">
        <v>#REF!</v>
      </c>
      <c r="AK62" s="662" t="e">
        <v>#REF!</v>
      </c>
      <c r="AL62" s="662" t="e">
        <v>#REF!</v>
      </c>
      <c r="AM62" s="662" t="e">
        <v>#REF!</v>
      </c>
      <c r="AN62" s="181" t="e">
        <v>#REF!</v>
      </c>
      <c r="AO62" s="667" t="e">
        <f t="shared" si="3"/>
        <v>#REF!</v>
      </c>
      <c r="AP62" s="181"/>
      <c r="AQ62" s="181"/>
      <c r="AR62" s="181"/>
      <c r="AS62" s="181"/>
      <c r="AT62" s="181"/>
      <c r="AU62" s="266"/>
      <c r="AV62" s="266"/>
      <c r="AW62" s="266"/>
      <c r="AX62" s="266"/>
      <c r="AY62" s="266"/>
      <c r="AZ62" s="266"/>
      <c r="BA62" s="266"/>
      <c r="BB62" s="181"/>
      <c r="BC62" s="181"/>
      <c r="BD62" s="181"/>
      <c r="BE62" s="181"/>
      <c r="BF62" s="181"/>
      <c r="BG62" s="181"/>
      <c r="BH62" s="181"/>
      <c r="BI62" s="181"/>
      <c r="BJ62" s="181"/>
      <c r="BK62" s="181"/>
      <c r="BL62" s="181"/>
      <c r="BM62" s="181"/>
      <c r="BN62" s="181"/>
      <c r="BO62" s="181"/>
      <c r="BP62" s="181"/>
      <c r="BQ62" s="181"/>
      <c r="BR62" s="181"/>
      <c r="BS62" s="181"/>
      <c r="BT62" s="181"/>
      <c r="BU62" s="181"/>
      <c r="BV62" s="181"/>
      <c r="BW62" s="181"/>
      <c r="BX62" s="181"/>
      <c r="BY62" s="181"/>
      <c r="BZ62" s="181"/>
      <c r="CA62" s="181"/>
      <c r="CB62" s="181"/>
    </row>
    <row r="63" spans="1:80" s="384" customFormat="1" x14ac:dyDescent="0.3">
      <c r="A63" s="179"/>
      <c r="B63" s="179"/>
      <c r="C63" s="179"/>
      <c r="D63" s="179"/>
      <c r="E63" s="179"/>
      <c r="F63" s="179"/>
      <c r="G63" s="179"/>
      <c r="H63" s="179"/>
      <c r="I63" s="179"/>
      <c r="J63" s="179"/>
      <c r="K63" s="179"/>
      <c r="L63" s="179"/>
      <c r="M63" s="179"/>
      <c r="N63" s="179"/>
      <c r="O63" s="179"/>
      <c r="P63" s="179"/>
      <c r="Q63" s="179"/>
      <c r="R63" s="179"/>
      <c r="S63" s="179"/>
      <c r="T63" s="179"/>
      <c r="U63" s="266"/>
      <c r="V63" s="266"/>
      <c r="W63" s="266"/>
      <c r="X63" s="266"/>
      <c r="Y63" s="266"/>
      <c r="Z63" s="266"/>
      <c r="AA63" s="266"/>
      <c r="AB63" s="266"/>
      <c r="AC63" s="266"/>
      <c r="AD63" s="266"/>
      <c r="AE63" s="266"/>
      <c r="AF63" s="266"/>
      <c r="AG63" s="266"/>
      <c r="AH63" s="181"/>
      <c r="AI63" s="181" t="s">
        <v>299</v>
      </c>
      <c r="AJ63" s="662" t="e">
        <v>#REF!</v>
      </c>
      <c r="AK63" s="662" t="e">
        <v>#REF!</v>
      </c>
      <c r="AL63" s="662" t="e">
        <v>#REF!</v>
      </c>
      <c r="AM63" s="662" t="e">
        <v>#REF!</v>
      </c>
      <c r="AN63" s="181" t="e">
        <v>#REF!</v>
      </c>
      <c r="AO63" s="667" t="e">
        <f t="shared" si="3"/>
        <v>#REF!</v>
      </c>
      <c r="AP63" s="181"/>
      <c r="AQ63" s="181"/>
      <c r="AR63" s="181"/>
      <c r="AS63" s="181"/>
      <c r="AT63" s="181"/>
      <c r="AU63" s="266"/>
      <c r="AV63" s="266"/>
      <c r="AW63" s="266"/>
      <c r="AX63" s="266"/>
      <c r="AY63" s="266"/>
      <c r="AZ63" s="266"/>
      <c r="BA63" s="266"/>
      <c r="BB63" s="181"/>
      <c r="BC63" s="181"/>
      <c r="BD63" s="181"/>
      <c r="BE63" s="181"/>
      <c r="BF63" s="181"/>
      <c r="BG63" s="181"/>
      <c r="BH63" s="181"/>
      <c r="BI63" s="181"/>
      <c r="BJ63" s="181"/>
      <c r="BK63" s="181"/>
      <c r="BL63" s="181"/>
      <c r="BM63" s="181"/>
      <c r="BN63" s="181"/>
      <c r="BO63" s="181"/>
      <c r="BP63" s="181"/>
      <c r="BQ63" s="181"/>
      <c r="BR63" s="181"/>
      <c r="BS63" s="181"/>
      <c r="BT63" s="181"/>
      <c r="BU63" s="181"/>
      <c r="BV63" s="181"/>
      <c r="BW63" s="181"/>
      <c r="BX63" s="181"/>
      <c r="BY63" s="181"/>
      <c r="BZ63" s="181"/>
      <c r="CA63" s="181"/>
      <c r="CB63" s="181"/>
    </row>
    <row r="64" spans="1:80" s="384" customFormat="1" x14ac:dyDescent="0.3">
      <c r="A64" s="179"/>
      <c r="B64" s="179"/>
      <c r="C64" s="179"/>
      <c r="D64" s="179"/>
      <c r="E64" s="179"/>
      <c r="F64" s="179"/>
      <c r="G64" s="179"/>
      <c r="H64" s="179"/>
      <c r="I64" s="179"/>
      <c r="J64" s="179"/>
      <c r="K64" s="179"/>
      <c r="L64" s="179"/>
      <c r="M64" s="179"/>
      <c r="N64" s="179"/>
      <c r="O64" s="179"/>
      <c r="P64" s="179"/>
      <c r="Q64" s="179"/>
      <c r="R64" s="179"/>
      <c r="S64" s="179"/>
      <c r="T64" s="179"/>
      <c r="U64" s="266"/>
      <c r="V64" s="266"/>
      <c r="W64" s="266"/>
      <c r="X64" s="266"/>
      <c r="Y64" s="266"/>
      <c r="Z64" s="266"/>
      <c r="AA64" s="266"/>
      <c r="AB64" s="266"/>
      <c r="AC64" s="266"/>
      <c r="AD64" s="266"/>
      <c r="AE64" s="266"/>
      <c r="AF64" s="266"/>
      <c r="AG64" s="266"/>
      <c r="AH64" s="181"/>
      <c r="AI64" s="181" t="s">
        <v>301</v>
      </c>
      <c r="AJ64" s="662" t="e">
        <v>#REF!</v>
      </c>
      <c r="AK64" s="662" t="e">
        <v>#REF!</v>
      </c>
      <c r="AL64" s="662" t="e">
        <v>#REF!</v>
      </c>
      <c r="AM64" s="662" t="e">
        <v>#REF!</v>
      </c>
      <c r="AN64" s="181" t="e">
        <v>#REF!</v>
      </c>
      <c r="AO64" s="667" t="e">
        <f t="shared" si="3"/>
        <v>#REF!</v>
      </c>
      <c r="AP64" s="181"/>
      <c r="AQ64" s="181"/>
      <c r="AR64" s="181"/>
      <c r="AS64" s="181"/>
      <c r="AT64" s="181"/>
      <c r="AU64" s="266"/>
      <c r="AV64" s="266"/>
      <c r="AW64" s="266"/>
      <c r="AX64" s="266"/>
      <c r="AY64" s="266"/>
      <c r="AZ64" s="266"/>
      <c r="BA64" s="266"/>
      <c r="BB64" s="181"/>
      <c r="BC64" s="181"/>
      <c r="BD64" s="181"/>
      <c r="BE64" s="181"/>
      <c r="BF64" s="181"/>
      <c r="BG64" s="181"/>
      <c r="BH64" s="181"/>
      <c r="BI64" s="181"/>
      <c r="BJ64" s="181"/>
      <c r="BK64" s="181"/>
      <c r="BL64" s="181"/>
      <c r="BM64" s="181"/>
      <c r="BN64" s="181"/>
      <c r="BO64" s="181"/>
      <c r="BP64" s="181"/>
      <c r="BQ64" s="181"/>
      <c r="BR64" s="181"/>
      <c r="BS64" s="181"/>
      <c r="BT64" s="181"/>
      <c r="BU64" s="181"/>
      <c r="BV64" s="181"/>
      <c r="BW64" s="181"/>
      <c r="BX64" s="181"/>
      <c r="BY64" s="181"/>
      <c r="BZ64" s="181"/>
      <c r="CA64" s="181"/>
      <c r="CB64" s="181"/>
    </row>
    <row r="65" spans="1:80" s="383" customFormat="1" x14ac:dyDescent="0.3">
      <c r="A65" s="179"/>
      <c r="B65" s="179"/>
      <c r="C65" s="179"/>
      <c r="D65" s="179"/>
      <c r="E65" s="179"/>
      <c r="F65" s="179"/>
      <c r="G65" s="179"/>
      <c r="H65" s="179"/>
      <c r="I65" s="179"/>
      <c r="J65" s="179"/>
      <c r="K65" s="179"/>
      <c r="L65" s="179"/>
      <c r="M65" s="179"/>
      <c r="N65" s="179"/>
      <c r="O65" s="179"/>
      <c r="P65" s="179"/>
      <c r="Q65" s="179"/>
      <c r="R65" s="179"/>
      <c r="S65" s="179"/>
      <c r="T65" s="179"/>
      <c r="U65" s="266"/>
      <c r="V65" s="266"/>
      <c r="W65" s="266"/>
      <c r="X65" s="266"/>
      <c r="Y65" s="266"/>
      <c r="Z65" s="266"/>
      <c r="AA65" s="266"/>
      <c r="AB65" s="266"/>
      <c r="AC65" s="266"/>
      <c r="AD65" s="266"/>
      <c r="AE65" s="266"/>
      <c r="AF65" s="266"/>
      <c r="AG65" s="266"/>
      <c r="AH65" s="181"/>
      <c r="AI65" s="181" t="s">
        <v>746</v>
      </c>
      <c r="AJ65" s="662" t="e">
        <v>#REF!</v>
      </c>
      <c r="AK65" s="662" t="e">
        <v>#REF!</v>
      </c>
      <c r="AL65" s="662" t="e">
        <v>#REF!</v>
      </c>
      <c r="AM65" s="662" t="e">
        <v>#REF!</v>
      </c>
      <c r="AN65" s="181" t="e">
        <v>#REF!</v>
      </c>
      <c r="AO65" s="667" t="e">
        <f t="shared" si="3"/>
        <v>#REF!</v>
      </c>
      <c r="AP65" s="181"/>
      <c r="AQ65" s="181"/>
      <c r="AR65" s="181"/>
      <c r="AS65" s="181"/>
      <c r="AT65" s="181"/>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row>
    <row r="66" spans="1:80" s="383" customFormat="1" x14ac:dyDescent="0.3">
      <c r="A66" s="179"/>
      <c r="B66" s="179"/>
      <c r="C66" s="179"/>
      <c r="D66" s="179"/>
      <c r="E66" s="179"/>
      <c r="F66" s="179"/>
      <c r="G66" s="179"/>
      <c r="H66" s="179"/>
      <c r="I66" s="179"/>
      <c r="J66" s="179"/>
      <c r="K66" s="179"/>
      <c r="L66" s="179"/>
      <c r="M66" s="179"/>
      <c r="N66" s="179"/>
      <c r="O66" s="179"/>
      <c r="P66" s="179"/>
      <c r="Q66" s="179"/>
      <c r="R66" s="179"/>
      <c r="S66" s="179"/>
      <c r="T66" s="179"/>
      <c r="U66" s="266"/>
      <c r="V66" s="266"/>
      <c r="W66" s="266"/>
      <c r="X66" s="266"/>
      <c r="Y66" s="266"/>
      <c r="Z66" s="266"/>
      <c r="AA66" s="266"/>
      <c r="AB66" s="266"/>
      <c r="AC66" s="266"/>
      <c r="AD66" s="266"/>
      <c r="AE66" s="266"/>
      <c r="AF66" s="266"/>
      <c r="AG66" s="266"/>
      <c r="AH66" s="181"/>
      <c r="AI66" s="181" t="s">
        <v>309</v>
      </c>
      <c r="AJ66" s="662" t="e">
        <v>#REF!</v>
      </c>
      <c r="AK66" s="662" t="e">
        <v>#REF!</v>
      </c>
      <c r="AL66" s="662" t="e">
        <v>#REF!</v>
      </c>
      <c r="AM66" s="662" t="e">
        <v>#REF!</v>
      </c>
      <c r="AN66" s="181" t="e">
        <v>#REF!</v>
      </c>
      <c r="AO66" s="667" t="e">
        <f>SUM(AJ66:AN66)</f>
        <v>#REF!</v>
      </c>
      <c r="AP66" s="181"/>
      <c r="AQ66" s="181"/>
      <c r="AR66" s="181"/>
      <c r="AS66" s="181"/>
      <c r="AT66" s="181"/>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row>
    <row r="67" spans="1:80" s="266" customFormat="1" x14ac:dyDescent="0.3">
      <c r="AH67" s="181"/>
      <c r="AI67" s="266" t="s">
        <v>817</v>
      </c>
      <c r="AJ67" s="662" t="e">
        <v>#REF!</v>
      </c>
      <c r="AK67" s="662" t="e">
        <v>#REF!</v>
      </c>
      <c r="AL67" s="662" t="e">
        <v>#REF!</v>
      </c>
      <c r="AM67" s="662" t="e">
        <v>#REF!</v>
      </c>
      <c r="AN67" s="181" t="e">
        <v>#REF!</v>
      </c>
      <c r="AO67" s="667" t="e">
        <f>SUM(AJ67:AN67)</f>
        <v>#REF!</v>
      </c>
      <c r="AP67" s="181"/>
      <c r="AQ67" s="181"/>
      <c r="AR67" s="181"/>
      <c r="AS67" s="181"/>
      <c r="AT67" s="181"/>
    </row>
    <row r="68" spans="1:80" s="383" customFormat="1" x14ac:dyDescent="0.3">
      <c r="A68" s="179"/>
      <c r="B68" s="179"/>
      <c r="C68" s="179"/>
      <c r="D68" s="179"/>
      <c r="E68" s="179"/>
      <c r="F68" s="179"/>
      <c r="G68" s="179"/>
      <c r="H68" s="179"/>
      <c r="I68" s="179"/>
      <c r="J68" s="179"/>
      <c r="K68" s="179"/>
      <c r="L68" s="179"/>
      <c r="M68" s="179"/>
      <c r="N68" s="179"/>
      <c r="O68" s="179"/>
      <c r="P68" s="179"/>
      <c r="Q68" s="179"/>
      <c r="R68" s="179"/>
      <c r="S68" s="179"/>
      <c r="T68" s="179"/>
      <c r="U68" s="266"/>
      <c r="V68" s="266"/>
      <c r="W68" s="266"/>
      <c r="X68" s="266"/>
      <c r="Y68" s="266"/>
      <c r="Z68" s="266"/>
      <c r="AA68" s="266"/>
      <c r="AB68" s="266"/>
      <c r="AC68" s="266"/>
      <c r="AD68" s="266"/>
      <c r="AE68" s="266"/>
      <c r="AF68" s="266"/>
      <c r="AG68" s="266"/>
      <c r="AH68" s="181"/>
      <c r="AI68" s="181" t="s">
        <v>1134</v>
      </c>
      <c r="AJ68" s="662" t="e">
        <v>#REF!</v>
      </c>
      <c r="AK68" s="662" t="e">
        <v>#REF!</v>
      </c>
      <c r="AL68" s="662" t="e">
        <v>#REF!</v>
      </c>
      <c r="AM68" s="662" t="e">
        <v>#REF!</v>
      </c>
      <c r="AN68" s="181" t="e">
        <v>#REF!</v>
      </c>
      <c r="AO68" s="667" t="e">
        <f>SUM(AJ68:AN68)</f>
        <v>#REF!</v>
      </c>
      <c r="AP68" s="181"/>
      <c r="AQ68" s="181"/>
      <c r="AR68" s="181"/>
      <c r="AS68" s="181"/>
      <c r="AT68" s="181"/>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row>
    <row r="69" spans="1:80" s="383" customFormat="1" x14ac:dyDescent="0.3">
      <c r="A69" s="179"/>
      <c r="B69" s="179"/>
      <c r="C69" s="179"/>
      <c r="D69" s="179"/>
      <c r="E69" s="179"/>
      <c r="F69" s="179"/>
      <c r="G69" s="179"/>
      <c r="H69" s="179"/>
      <c r="I69" s="179"/>
      <c r="J69" s="179"/>
      <c r="K69" s="179"/>
      <c r="L69" s="179"/>
      <c r="M69" s="179"/>
      <c r="N69" s="179"/>
      <c r="O69" s="179"/>
      <c r="P69" s="179"/>
      <c r="Q69" s="179"/>
      <c r="R69" s="179"/>
      <c r="S69" s="179"/>
      <c r="T69" s="179"/>
      <c r="U69" s="266"/>
      <c r="V69" s="266"/>
      <c r="W69" s="266"/>
      <c r="X69" s="266"/>
      <c r="Y69" s="266"/>
      <c r="Z69" s="266"/>
      <c r="AA69" s="266"/>
      <c r="AB69" s="266"/>
      <c r="AC69" s="266"/>
      <c r="AD69" s="266"/>
      <c r="AE69" s="266"/>
      <c r="AF69" s="266"/>
      <c r="AG69" s="266"/>
      <c r="AH69" s="181"/>
      <c r="AI69" s="181" t="s">
        <v>1198</v>
      </c>
      <c r="AJ69" s="662" t="e">
        <v>#REF!</v>
      </c>
      <c r="AK69" s="662" t="e">
        <v>#REF!</v>
      </c>
      <c r="AL69" s="662" t="e">
        <v>#REF!</v>
      </c>
      <c r="AM69" s="662" t="e">
        <v>#REF!</v>
      </c>
      <c r="AN69" s="181" t="e">
        <v>#REF!</v>
      </c>
      <c r="AO69" s="667" t="e">
        <f>SUM(AJ69:AN69)</f>
        <v>#REF!</v>
      </c>
      <c r="AP69" s="181"/>
      <c r="AQ69" s="181"/>
      <c r="AR69" s="181"/>
      <c r="AS69" s="181"/>
      <c r="AT69" s="181"/>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row>
    <row r="70" spans="1:80" s="383" customFormat="1" x14ac:dyDescent="0.3">
      <c r="A70" s="179"/>
      <c r="B70" s="179"/>
      <c r="C70" s="179"/>
      <c r="D70" s="179"/>
      <c r="E70" s="179"/>
      <c r="F70" s="179"/>
      <c r="G70" s="179"/>
      <c r="H70" s="179"/>
      <c r="I70" s="179"/>
      <c r="J70" s="179"/>
      <c r="K70" s="179"/>
      <c r="L70" s="179"/>
      <c r="M70" s="179"/>
      <c r="N70" s="179"/>
      <c r="O70" s="179"/>
      <c r="P70" s="179"/>
      <c r="Q70" s="179"/>
      <c r="R70" s="179"/>
      <c r="S70" s="179"/>
      <c r="T70" s="179"/>
      <c r="U70" s="266"/>
      <c r="V70" s="266"/>
      <c r="W70" s="266"/>
      <c r="X70" s="266"/>
      <c r="Y70" s="266"/>
      <c r="Z70" s="266"/>
      <c r="AA70" s="266"/>
      <c r="AB70" s="266"/>
      <c r="AC70" s="266"/>
      <c r="AD70" s="266"/>
      <c r="AE70" s="266"/>
      <c r="AF70" s="266"/>
      <c r="AG70" s="266"/>
      <c r="AH70" s="181"/>
      <c r="AI70" s="181" t="s">
        <v>3</v>
      </c>
      <c r="AJ70" s="210" t="e">
        <f>SUM(AJ46:AJ69)</f>
        <v>#REF!</v>
      </c>
      <c r="AK70" s="210" t="e">
        <f>SUM(AK46:AK69)</f>
        <v>#REF!</v>
      </c>
      <c r="AL70" s="210" t="e">
        <f>SUM(AL46:AL69)</f>
        <v>#REF!</v>
      </c>
      <c r="AM70" s="210" t="e">
        <f>SUM(AM46:AM69)</f>
        <v>#REF!</v>
      </c>
      <c r="AN70" s="210" t="e">
        <f>SUM(AN46:AN69)</f>
        <v>#REF!</v>
      </c>
      <c r="AO70" s="667" t="e">
        <f>SUM(AJ70:AN70)</f>
        <v>#REF!</v>
      </c>
      <c r="AP70" s="181"/>
      <c r="AQ70" s="181"/>
      <c r="AR70" s="181"/>
      <c r="AS70" s="181"/>
      <c r="AT70" s="181"/>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row>
    <row r="98" spans="1:80" s="383" customFormat="1" x14ac:dyDescent="0.3">
      <c r="A98" s="179"/>
      <c r="B98" s="179"/>
      <c r="C98" s="179"/>
      <c r="D98" s="179"/>
      <c r="E98" s="179"/>
      <c r="F98" s="179"/>
      <c r="G98" s="179"/>
      <c r="H98" s="179"/>
      <c r="I98" s="179"/>
      <c r="J98" s="179"/>
      <c r="K98" s="179"/>
      <c r="L98" s="179"/>
      <c r="M98" s="179"/>
      <c r="N98" s="179"/>
      <c r="O98" s="179"/>
      <c r="P98" s="179"/>
      <c r="Q98" s="179"/>
      <c r="R98" s="179"/>
      <c r="S98" s="179"/>
      <c r="T98" s="179"/>
      <c r="U98" s="266"/>
      <c r="V98" s="266"/>
      <c r="W98" s="266"/>
      <c r="X98" s="266"/>
      <c r="Y98" s="668"/>
      <c r="Z98" s="266"/>
      <c r="AA98" s="668"/>
      <c r="AB98" s="266"/>
      <c r="AC98" s="266"/>
      <c r="AD98" s="266"/>
      <c r="AE98" s="266"/>
      <c r="AF98" s="266"/>
      <c r="AG98" s="266"/>
      <c r="AH98" s="181"/>
      <c r="AI98" s="181"/>
      <c r="AJ98" s="181"/>
      <c r="AK98" s="181"/>
      <c r="AL98" s="181"/>
      <c r="AM98" s="181"/>
      <c r="AN98" s="181"/>
      <c r="AO98" s="181"/>
      <c r="AP98" s="181"/>
      <c r="AQ98" s="181"/>
      <c r="AR98" s="181"/>
      <c r="AS98" s="181"/>
      <c r="AT98" s="181"/>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row>
    <row r="99" spans="1:80" s="383" customFormat="1" x14ac:dyDescent="0.3">
      <c r="A99" s="179"/>
      <c r="B99" s="179"/>
      <c r="C99" s="179"/>
      <c r="D99" s="179"/>
      <c r="E99" s="179"/>
      <c r="F99" s="179"/>
      <c r="G99" s="179"/>
      <c r="H99" s="179"/>
      <c r="I99" s="179"/>
      <c r="J99" s="179"/>
      <c r="K99" s="179"/>
      <c r="L99" s="179"/>
      <c r="M99" s="179"/>
      <c r="N99" s="179"/>
      <c r="O99" s="179"/>
      <c r="P99" s="179"/>
      <c r="Q99" s="179"/>
      <c r="R99" s="179"/>
      <c r="S99" s="179"/>
      <c r="T99" s="179"/>
      <c r="U99" s="266"/>
      <c r="V99" s="266"/>
      <c r="W99" s="266"/>
      <c r="X99" s="266"/>
      <c r="Y99" s="668"/>
      <c r="Z99" s="266"/>
      <c r="AA99" s="266"/>
      <c r="AB99" s="266"/>
      <c r="AC99" s="266"/>
      <c r="AD99" s="266"/>
      <c r="AE99" s="266"/>
      <c r="AF99" s="266"/>
      <c r="AG99" s="266"/>
      <c r="AH99" s="181"/>
      <c r="AI99" s="181"/>
      <c r="AJ99" s="181"/>
      <c r="AK99" s="181"/>
      <c r="AL99" s="181"/>
      <c r="AM99" s="181"/>
      <c r="AN99" s="181"/>
      <c r="AO99" s="181"/>
      <c r="AP99" s="181"/>
      <c r="AQ99" s="181"/>
      <c r="AR99" s="181"/>
      <c r="AS99" s="181"/>
      <c r="AT99" s="181"/>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row>
    <row r="100" spans="1:80" s="383" customFormat="1" x14ac:dyDescent="0.3">
      <c r="A100" s="179"/>
      <c r="B100" s="179"/>
      <c r="C100" s="179"/>
      <c r="D100" s="179"/>
      <c r="E100" s="179"/>
      <c r="F100" s="179"/>
      <c r="G100" s="179"/>
      <c r="H100" s="179"/>
      <c r="I100" s="179"/>
      <c r="J100" s="179"/>
      <c r="K100" s="179"/>
      <c r="L100" s="179"/>
      <c r="M100" s="179"/>
      <c r="N100" s="179"/>
      <c r="O100" s="179"/>
      <c r="P100" s="179"/>
      <c r="Q100" s="179"/>
      <c r="R100" s="179"/>
      <c r="S100" s="179"/>
      <c r="T100" s="179"/>
      <c r="U100" s="266"/>
      <c r="V100" s="266"/>
      <c r="W100" s="266"/>
      <c r="X100" s="266"/>
      <c r="Y100" s="668"/>
      <c r="Z100" s="266"/>
      <c r="AA100" s="266"/>
      <c r="AB100" s="266"/>
      <c r="AC100" s="266"/>
      <c r="AD100" s="266"/>
      <c r="AE100" s="266"/>
      <c r="AF100" s="266"/>
      <c r="AG100" s="266"/>
      <c r="AH100" s="181"/>
      <c r="AI100" s="181"/>
      <c r="AJ100" s="181"/>
      <c r="AK100" s="181"/>
      <c r="AL100" s="181"/>
      <c r="AM100" s="181"/>
      <c r="AN100" s="181"/>
      <c r="AO100" s="181"/>
      <c r="AP100" s="181"/>
      <c r="AQ100" s="181"/>
      <c r="AR100" s="181"/>
      <c r="AS100" s="181"/>
      <c r="AT100" s="181"/>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row>
  </sheetData>
  <mergeCells count="6">
    <mergeCell ref="B4:I4"/>
    <mergeCell ref="B5:I5"/>
    <mergeCell ref="B43:B44"/>
    <mergeCell ref="C43:D43"/>
    <mergeCell ref="E43:F43"/>
    <mergeCell ref="G43:I43"/>
  </mergeCells>
  <printOptions horizontalCentered="1"/>
  <pageMargins left="0.15" right="0.15" top="0.48" bottom="0.21" header="0.19" footer="0.17"/>
  <pageSetup paperSize="9" scale="76"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800"/>
    <pageSetUpPr fitToPage="1"/>
  </sheetPr>
  <dimension ref="A1:DF54"/>
  <sheetViews>
    <sheetView zoomScale="50" zoomScaleNormal="50" zoomScalePageLayoutView="50" workbookViewId="0">
      <selection activeCell="Q18" sqref="Q18"/>
    </sheetView>
  </sheetViews>
  <sheetFormatPr defaultColWidth="9.109375" defaultRowHeight="12" customHeight="1" x14ac:dyDescent="0.4"/>
  <cols>
    <col min="1" max="1" width="12.6640625" style="3" customWidth="1"/>
    <col min="2" max="2" width="12.33203125" style="3" customWidth="1"/>
    <col min="3" max="4" width="8.5546875" style="3" customWidth="1"/>
    <col min="5" max="5" width="9.44140625" style="3" customWidth="1"/>
    <col min="6" max="6" width="9.88671875" style="3" customWidth="1"/>
    <col min="7" max="7" width="8.109375" style="3" customWidth="1"/>
    <col min="8" max="8" width="8.44140625" style="3" customWidth="1"/>
    <col min="9" max="10" width="7.109375" style="3" customWidth="1"/>
    <col min="11" max="11" width="10.44140625" style="3" bestFit="1" customWidth="1"/>
    <col min="12" max="12" width="5.5546875" style="3" bestFit="1" customWidth="1"/>
    <col min="13" max="18" width="4.33203125" style="3" customWidth="1"/>
    <col min="19" max="19" width="39.33203125" style="3" customWidth="1"/>
    <col min="20" max="20" width="27.5546875" style="50" customWidth="1"/>
    <col min="21" max="21" width="19.33203125" style="50" customWidth="1"/>
    <col min="22" max="23" width="9.33203125" style="50" customWidth="1"/>
    <col min="24" max="24" width="15" style="50" customWidth="1"/>
    <col min="25" max="25" width="15.5546875" style="50" customWidth="1"/>
    <col min="26" max="26" width="17.33203125" style="50" customWidth="1"/>
    <col min="27" max="27" width="24.6640625" style="50" customWidth="1"/>
    <col min="28" max="30" width="9.33203125" style="50" customWidth="1"/>
    <col min="31" max="31" width="11.33203125" style="50" customWidth="1"/>
    <col min="32" max="32" width="12.109375" style="50" customWidth="1"/>
    <col min="33" max="33" width="13" style="50" customWidth="1"/>
    <col min="34" max="34" width="14.44140625" style="3" customWidth="1"/>
    <col min="35" max="35" width="19.33203125" style="3" bestFit="1" customWidth="1"/>
    <col min="36" max="36" width="27.88671875" style="3" bestFit="1" customWidth="1"/>
    <col min="37" max="95" width="14.44140625" style="3" customWidth="1"/>
    <col min="96" max="107" width="14.44140625" style="5" customWidth="1"/>
    <col min="108" max="108" width="12.6640625" style="5" customWidth="1"/>
    <col min="109" max="109" width="9.109375" style="5"/>
    <col min="110" max="110" width="11.44140625" style="5" customWidth="1"/>
    <col min="111" max="111" width="6.109375" style="3" customWidth="1"/>
    <col min="112" max="112" width="5.88671875" style="3" customWidth="1"/>
    <col min="113" max="16384" width="9.109375" style="3"/>
  </cols>
  <sheetData>
    <row r="1" spans="15:110" ht="18.75" customHeight="1" thickBot="1" x14ac:dyDescent="0.45">
      <c r="O1" s="5"/>
      <c r="P1" s="5"/>
      <c r="S1" s="5">
        <v>23.5</v>
      </c>
      <c r="T1" s="46" t="s">
        <v>507</v>
      </c>
      <c r="U1" s="47"/>
      <c r="V1" s="47"/>
      <c r="W1" s="47"/>
      <c r="X1" s="47"/>
      <c r="Y1" s="47"/>
      <c r="Z1" s="47"/>
      <c r="AA1" s="48" t="s">
        <v>418</v>
      </c>
      <c r="AB1" s="46" t="s">
        <v>419</v>
      </c>
      <c r="AC1" s="47"/>
      <c r="AD1" s="49"/>
      <c r="CR1" s="3"/>
      <c r="CS1" s="3"/>
      <c r="CT1" s="3"/>
      <c r="CU1" s="3"/>
      <c r="CV1" s="3"/>
      <c r="CW1" s="3"/>
      <c r="CX1" s="3"/>
      <c r="CY1" s="3"/>
      <c r="CZ1" s="3"/>
      <c r="DA1" s="3"/>
      <c r="DB1" s="3"/>
      <c r="DC1" s="3"/>
      <c r="DD1" s="3"/>
      <c r="DE1" s="3"/>
      <c r="DF1" s="3"/>
    </row>
    <row r="2" spans="15:110" ht="18.75" customHeight="1" x14ac:dyDescent="0.45">
      <c r="O2" s="5"/>
      <c r="P2" s="5"/>
      <c r="S2" s="5">
        <v>96.5</v>
      </c>
      <c r="T2" s="51" t="s">
        <v>511</v>
      </c>
      <c r="U2" s="52" t="s">
        <v>0</v>
      </c>
      <c r="V2" s="52" t="s">
        <v>513</v>
      </c>
      <c r="W2" s="53" t="s">
        <v>512</v>
      </c>
      <c r="X2" s="51" t="s">
        <v>516</v>
      </c>
      <c r="Y2" s="52" t="s">
        <v>517</v>
      </c>
      <c r="Z2" s="54" t="s">
        <v>524</v>
      </c>
      <c r="AA2" s="55" t="s">
        <v>417</v>
      </c>
      <c r="AB2" s="56" t="s">
        <v>508</v>
      </c>
      <c r="AC2" s="52" t="s">
        <v>509</v>
      </c>
      <c r="AD2" s="54" t="s">
        <v>510</v>
      </c>
      <c r="AE2" s="57" t="s">
        <v>514</v>
      </c>
      <c r="AF2" s="58" t="s">
        <v>515</v>
      </c>
      <c r="AG2" s="59" t="s">
        <v>518</v>
      </c>
      <c r="AI2" s="428" t="s">
        <v>412</v>
      </c>
      <c r="AJ2" s="428" t="s">
        <v>1432</v>
      </c>
      <c r="CR2" s="3"/>
      <c r="CS2" s="3"/>
      <c r="CT2" s="3"/>
      <c r="CU2" s="3"/>
      <c r="CV2" s="3"/>
      <c r="CW2" s="3"/>
      <c r="CX2" s="3"/>
      <c r="CY2" s="3"/>
      <c r="CZ2" s="3"/>
      <c r="DA2" s="3"/>
      <c r="DB2" s="3"/>
      <c r="DC2" s="3"/>
      <c r="DD2" s="3"/>
      <c r="DE2" s="3"/>
      <c r="DF2" s="3"/>
    </row>
    <row r="3" spans="15:110" ht="18.75" customHeight="1" x14ac:dyDescent="0.5">
      <c r="O3" s="5"/>
      <c r="P3" s="5"/>
      <c r="S3" s="5">
        <v>600</v>
      </c>
      <c r="T3" s="60" t="s">
        <v>483</v>
      </c>
      <c r="U3" s="61" t="s">
        <v>5</v>
      </c>
      <c r="V3" s="60">
        <v>97.12</v>
      </c>
      <c r="W3" s="61">
        <v>24.3</v>
      </c>
      <c r="X3" s="61">
        <f>'CCCM Dashboard'!C15</f>
        <v>1392</v>
      </c>
      <c r="Y3" s="424">
        <f>'CCCM Dashboard'!$D$15</f>
        <v>7899</v>
      </c>
      <c r="Z3" s="62" t="str">
        <f>CONCATENATE(AG2," cp",IF(AG2&gt;1,"s",""))</f>
        <v>Column1 cps</v>
      </c>
      <c r="AA3" s="186" t="e">
        <f>#REF!</f>
        <v>#REF!</v>
      </c>
      <c r="AB3" s="63">
        <v>0</v>
      </c>
      <c r="AC3" s="63">
        <v>0</v>
      </c>
      <c r="AD3" s="63">
        <v>0</v>
      </c>
      <c r="AE3" s="64">
        <f>$S$3-ROUND((W3-$S$1)*$S$5,0)</f>
        <v>496</v>
      </c>
      <c r="AF3" s="65">
        <f t="shared" ref="AF3:AF25" si="0">ROUND((V3-$S$2)*$S$5,0)+$S$4</f>
        <v>181</v>
      </c>
      <c r="AG3" s="66">
        <f>'CCCM Dashboard'!E15</f>
        <v>8</v>
      </c>
      <c r="AI3" s="424">
        <f>'CCCM Dashboard'!$D$15</f>
        <v>7899</v>
      </c>
      <c r="AJ3" s="450" t="e">
        <f>COUNTIFS('NFI Distributions'!$B$6:$B$279,"&gt;5/1/2017",'NFI Distributions'!$G$6:$G$611,Table58[[#This Row],[Township]])</f>
        <v>#VALUE!</v>
      </c>
      <c r="AK3" s="427"/>
      <c r="CR3" s="3"/>
      <c r="CS3" s="3"/>
      <c r="CT3" s="3"/>
      <c r="CU3" s="3"/>
      <c r="CV3" s="3"/>
      <c r="CW3" s="3"/>
      <c r="CX3" s="3"/>
      <c r="CY3" s="3"/>
      <c r="CZ3" s="3"/>
      <c r="DA3" s="3"/>
      <c r="DB3" s="3"/>
      <c r="DC3" s="3"/>
      <c r="DD3" s="3"/>
      <c r="DE3" s="3"/>
      <c r="DF3" s="3"/>
    </row>
    <row r="4" spans="15:110" ht="18.75" customHeight="1" x14ac:dyDescent="0.5">
      <c r="O4" s="5"/>
      <c r="P4" s="5"/>
      <c r="S4" s="5">
        <v>100</v>
      </c>
      <c r="T4" s="67" t="s">
        <v>487</v>
      </c>
      <c r="U4" s="61" t="s">
        <v>27</v>
      </c>
      <c r="V4" s="67">
        <v>98.322799999999987</v>
      </c>
      <c r="W4" s="61">
        <v>25.917999999999999</v>
      </c>
      <c r="X4" s="61">
        <f>'CCCM Dashboard'!C16</f>
        <v>621</v>
      </c>
      <c r="Y4" s="425">
        <f>'CCCM Dashboard'!$D$16</f>
        <v>3094</v>
      </c>
      <c r="Z4" s="62" t="str">
        <f t="shared" ref="Z4:Z25" si="1">CONCATENATE(AG3," cp",IF(AG3&gt;1,"s",""))</f>
        <v>8 cps</v>
      </c>
      <c r="AA4" s="186" t="e">
        <f>#REF!</f>
        <v>#REF!</v>
      </c>
      <c r="AB4" s="63">
        <v>1</v>
      </c>
      <c r="AC4" s="63">
        <v>0</v>
      </c>
      <c r="AD4" s="63">
        <v>0.95387840670859536</v>
      </c>
      <c r="AE4" s="64">
        <f t="shared" ref="AE4:AE25" si="2">$S$3-ROUND((W4-$S$1)*$S$5,0)</f>
        <v>286</v>
      </c>
      <c r="AF4" s="65">
        <f t="shared" si="0"/>
        <v>337</v>
      </c>
      <c r="AG4" s="66">
        <f>'CCCM Dashboard'!E16</f>
        <v>5</v>
      </c>
      <c r="AI4" s="425">
        <f>'CCCM Dashboard'!$D$16</f>
        <v>3094</v>
      </c>
      <c r="AJ4" s="450" t="e">
        <f>COUNTIFS('NFI Distributions'!$B$6:$B$279,"&gt;5/1/2017",'NFI Distributions'!$G$6:$G$611,Table58[[#This Row],[Township]])</f>
        <v>#VALUE!</v>
      </c>
      <c r="AK4" s="427"/>
      <c r="CR4" s="3"/>
      <c r="CS4" s="3"/>
      <c r="CT4" s="3"/>
      <c r="CU4" s="3"/>
      <c r="CV4" s="3"/>
      <c r="CW4" s="3"/>
      <c r="CX4" s="3"/>
      <c r="CY4" s="3"/>
      <c r="CZ4" s="3"/>
      <c r="DA4" s="3"/>
      <c r="DB4" s="3"/>
      <c r="DC4" s="3"/>
      <c r="DD4" s="3"/>
      <c r="DE4" s="3"/>
      <c r="DF4" s="3"/>
    </row>
    <row r="5" spans="15:110" ht="18.75" customHeight="1" x14ac:dyDescent="0.5">
      <c r="O5" s="5"/>
      <c r="P5" s="5"/>
      <c r="S5" s="5">
        <v>130</v>
      </c>
      <c r="T5" s="60" t="s">
        <v>481</v>
      </c>
      <c r="U5" s="61" t="s">
        <v>480</v>
      </c>
      <c r="V5" s="60">
        <v>96.373750000000001</v>
      </c>
      <c r="W5" s="61">
        <v>25.9</v>
      </c>
      <c r="X5" s="61">
        <f>'CCCM Dashboard'!C17</f>
        <v>799</v>
      </c>
      <c r="Y5" s="424">
        <f>'CCCM Dashboard'!$D$17</f>
        <v>4038</v>
      </c>
      <c r="Z5" s="62" t="str">
        <f t="shared" si="1"/>
        <v>5 cps</v>
      </c>
      <c r="AA5" s="186" t="e">
        <f>#REF!</f>
        <v>#REF!</v>
      </c>
      <c r="AB5" s="63">
        <v>0.69172932330827064</v>
      </c>
      <c r="AC5" s="63">
        <v>0</v>
      </c>
      <c r="AD5" s="63">
        <v>1</v>
      </c>
      <c r="AE5" s="64">
        <f t="shared" si="2"/>
        <v>288</v>
      </c>
      <c r="AF5" s="65">
        <f t="shared" si="0"/>
        <v>84</v>
      </c>
      <c r="AG5" s="66">
        <f>'CCCM Dashboard'!E17</f>
        <v>23</v>
      </c>
      <c r="AI5" s="424">
        <f>'CCCM Dashboard'!$D$17</f>
        <v>4038</v>
      </c>
      <c r="AJ5" s="450" t="e">
        <f>COUNTIFS('NFI Distributions'!$B$6:$B$279,"&gt;5/1/2017",'NFI Distributions'!$G$6:$G$611,Table58[[#This Row],[Township]])</f>
        <v>#VALUE!</v>
      </c>
      <c r="AK5" s="427"/>
      <c r="CR5" s="3"/>
      <c r="CS5" s="3"/>
      <c r="CT5" s="3"/>
      <c r="CU5" s="3"/>
      <c r="CV5" s="3"/>
      <c r="CW5" s="3"/>
      <c r="CX5" s="3"/>
      <c r="CY5" s="3"/>
      <c r="CZ5" s="3"/>
      <c r="DA5" s="3"/>
      <c r="DB5" s="3"/>
      <c r="DC5" s="3"/>
      <c r="DD5" s="3"/>
      <c r="DE5" s="3"/>
      <c r="DF5" s="3"/>
    </row>
    <row r="6" spans="15:110" ht="18.75" customHeight="1" x14ac:dyDescent="0.5">
      <c r="O6" s="5"/>
      <c r="P6" s="5"/>
      <c r="T6" s="67" t="s">
        <v>720</v>
      </c>
      <c r="U6" s="61" t="s">
        <v>719</v>
      </c>
      <c r="V6" s="68">
        <v>98.1</v>
      </c>
      <c r="W6" s="69">
        <v>23.28</v>
      </c>
      <c r="X6" s="61">
        <f>'CCCM Dashboard'!C33</f>
        <v>35</v>
      </c>
      <c r="Y6" s="425">
        <f>'CCCM Dashboard'!$D$33</f>
        <v>183</v>
      </c>
      <c r="Z6" s="62" t="str">
        <f t="shared" si="1"/>
        <v>23 cps</v>
      </c>
      <c r="AA6" s="186" t="e">
        <f>#REF!</f>
        <v>#REF!</v>
      </c>
      <c r="AB6" s="63"/>
      <c r="AC6" s="63"/>
      <c r="AD6" s="63"/>
      <c r="AE6" s="64">
        <f t="shared" si="2"/>
        <v>629</v>
      </c>
      <c r="AF6" s="65">
        <f t="shared" si="0"/>
        <v>308</v>
      </c>
      <c r="AG6" s="66">
        <f>'CCCM Dashboard'!E33</f>
        <v>1</v>
      </c>
      <c r="AI6" s="425">
        <f>'CCCM Dashboard'!$D$33</f>
        <v>183</v>
      </c>
      <c r="AJ6" s="450" t="e">
        <f>COUNTIFS('NFI Distributions'!$B$6:$B$279,"&gt;5/1/2017",'NFI Distributions'!$G$6:$G$611,Table58[[#This Row],[Township]])</f>
        <v>#VALUE!</v>
      </c>
      <c r="AK6" s="427"/>
      <c r="CR6" s="3"/>
      <c r="CS6" s="3"/>
      <c r="CT6" s="3"/>
      <c r="CU6" s="3"/>
      <c r="CV6" s="3"/>
      <c r="CW6" s="3"/>
      <c r="CX6" s="3"/>
      <c r="CY6" s="3"/>
      <c r="CZ6" s="3"/>
      <c r="DA6" s="3"/>
      <c r="DB6" s="3"/>
      <c r="DC6" s="3"/>
      <c r="DD6" s="3"/>
      <c r="DE6" s="3"/>
      <c r="DF6" s="3"/>
    </row>
    <row r="7" spans="15:110" ht="18.75" customHeight="1" x14ac:dyDescent="0.5">
      <c r="O7" s="136"/>
      <c r="P7" s="136"/>
      <c r="T7" s="291" t="s">
        <v>1199</v>
      </c>
      <c r="U7" s="292" t="s">
        <v>1198</v>
      </c>
      <c r="V7" s="293">
        <v>97.298102999999998</v>
      </c>
      <c r="W7" s="294">
        <v>22.618938</v>
      </c>
      <c r="X7" s="61">
        <f>'CCCM Dashboard'!C38</f>
        <v>37</v>
      </c>
      <c r="Y7" s="424">
        <f>'CCCM Dashboard'!$D$38</f>
        <v>120</v>
      </c>
      <c r="Z7" s="62" t="str">
        <f t="shared" si="1"/>
        <v>1 cp</v>
      </c>
      <c r="AA7" s="186" t="e">
        <f>#REF!</f>
        <v>#REF!</v>
      </c>
      <c r="AB7" s="295"/>
      <c r="AC7" s="295"/>
      <c r="AD7" s="295"/>
      <c r="AE7" s="296">
        <f>$S$3-ROUND((W7-$S$1)*$S$5,0)</f>
        <v>715</v>
      </c>
      <c r="AF7" s="297">
        <f t="shared" si="0"/>
        <v>204</v>
      </c>
      <c r="AG7" s="66">
        <f>'CCCM Dashboard'!E38</f>
        <v>1</v>
      </c>
      <c r="AI7" s="424">
        <f>'CCCM Dashboard'!$D$38</f>
        <v>120</v>
      </c>
      <c r="AJ7" s="450" t="e">
        <f>COUNTIFS('NFI Distributions'!$B$6:$B$279,"&gt;5/1/2017",'NFI Distributions'!$G$6:$G$611,Table58[[#This Row],[Township]])</f>
        <v>#VALUE!</v>
      </c>
      <c r="AK7" s="427"/>
      <c r="CR7" s="3"/>
      <c r="CS7" s="3"/>
      <c r="CT7" s="3"/>
      <c r="CU7" s="3"/>
      <c r="CV7" s="3"/>
      <c r="CW7" s="3"/>
      <c r="CX7" s="3"/>
      <c r="CY7" s="3"/>
      <c r="CZ7" s="3"/>
      <c r="DA7" s="3"/>
      <c r="DB7" s="3"/>
      <c r="DC7" s="3"/>
      <c r="DD7" s="3"/>
      <c r="DE7" s="3"/>
      <c r="DF7" s="3"/>
    </row>
    <row r="8" spans="15:110" ht="18.75" customHeight="1" x14ac:dyDescent="0.5">
      <c r="O8" s="5"/>
      <c r="P8" s="5"/>
      <c r="T8" s="67" t="s">
        <v>501</v>
      </c>
      <c r="U8" s="61" t="s">
        <v>361</v>
      </c>
      <c r="V8" s="67">
        <v>97.89587301587305</v>
      </c>
      <c r="W8" s="61">
        <v>26.232698412698419</v>
      </c>
      <c r="X8" s="61">
        <f>'CCCM Dashboard'!C18</f>
        <v>0</v>
      </c>
      <c r="Y8" s="425">
        <f>'CCCM Dashboard'!$D$18</f>
        <v>0</v>
      </c>
      <c r="Z8" s="62" t="str">
        <f t="shared" si="1"/>
        <v>1 cp</v>
      </c>
      <c r="AA8" s="186" t="e">
        <f>#REF!</f>
        <v>#REF!</v>
      </c>
      <c r="AB8" s="63">
        <v>0</v>
      </c>
      <c r="AC8" s="63">
        <v>0</v>
      </c>
      <c r="AD8" s="63">
        <v>0</v>
      </c>
      <c r="AE8" s="64">
        <f>$S$3-ROUND((W8-$S$1)*$S$5,0)</f>
        <v>245</v>
      </c>
      <c r="AF8" s="65">
        <f t="shared" si="0"/>
        <v>281</v>
      </c>
      <c r="AG8" s="66">
        <f>'CCCM Dashboard'!E18</f>
        <v>0</v>
      </c>
      <c r="AI8" s="425">
        <f>'CCCM Dashboard'!$D$18</f>
        <v>0</v>
      </c>
      <c r="AJ8" s="450" t="e">
        <f>COUNTIFS('NFI Distributions'!$B$6:$B$279,"&gt;5/1/2017",'NFI Distributions'!$G$6:$G$611,Table58[[#This Row],[Township]])</f>
        <v>#VALUE!</v>
      </c>
      <c r="AK8" s="427"/>
      <c r="CR8" s="3"/>
      <c r="CS8" s="3"/>
      <c r="CT8" s="3"/>
      <c r="CU8" s="3"/>
      <c r="CV8" s="3"/>
      <c r="CW8" s="3"/>
      <c r="CX8" s="3"/>
      <c r="CY8" s="3"/>
      <c r="CZ8" s="3"/>
      <c r="DA8" s="3"/>
      <c r="DB8" s="3"/>
      <c r="DC8" s="3"/>
      <c r="DD8" s="3"/>
      <c r="DE8" s="3"/>
      <c r="DF8" s="3"/>
    </row>
    <row r="9" spans="15:110" ht="18.75" customHeight="1" x14ac:dyDescent="0.5">
      <c r="O9" s="5"/>
      <c r="P9" s="5"/>
      <c r="T9" s="60" t="s">
        <v>500</v>
      </c>
      <c r="U9" s="61" t="s">
        <v>144</v>
      </c>
      <c r="V9" s="60">
        <v>98.438571428571422</v>
      </c>
      <c r="W9" s="61">
        <v>27.1</v>
      </c>
      <c r="X9" s="61">
        <f>'CCCM Dashboard'!C19</f>
        <v>0</v>
      </c>
      <c r="Y9" s="424">
        <f>'CCCM Dashboard'!$D$19</f>
        <v>0</v>
      </c>
      <c r="Z9" s="62" t="str">
        <f t="shared" si="1"/>
        <v>0 cp</v>
      </c>
      <c r="AA9" s="186" t="e">
        <f>#REF!</f>
        <v>#REF!</v>
      </c>
      <c r="AB9" s="63">
        <v>0</v>
      </c>
      <c r="AC9" s="63">
        <v>0</v>
      </c>
      <c r="AD9" s="63">
        <v>0</v>
      </c>
      <c r="AE9" s="64">
        <f t="shared" si="2"/>
        <v>132</v>
      </c>
      <c r="AF9" s="65">
        <f t="shared" si="0"/>
        <v>352</v>
      </c>
      <c r="AG9" s="66">
        <f>'CCCM Dashboard'!E19</f>
        <v>0</v>
      </c>
      <c r="AI9" s="424">
        <f>'CCCM Dashboard'!$D$19</f>
        <v>0</v>
      </c>
      <c r="AJ9" s="450" t="e">
        <f>COUNTIFS('NFI Distributions'!$B$6:$B$279,"&gt;5/1/2017",'NFI Distributions'!$G$6:$G$611,Table58[[#This Row],[Township]])</f>
        <v>#VALUE!</v>
      </c>
      <c r="AK9" s="427"/>
      <c r="CR9" s="3"/>
      <c r="CS9" s="3"/>
      <c r="CT9" s="3"/>
      <c r="CU9" s="3"/>
      <c r="CV9" s="3"/>
      <c r="CW9" s="3"/>
      <c r="CX9" s="3"/>
      <c r="CY9" s="3"/>
      <c r="CZ9" s="3"/>
      <c r="DA9" s="3"/>
      <c r="DB9" s="3"/>
      <c r="DC9" s="3"/>
      <c r="DD9" s="3"/>
      <c r="DE9" s="3"/>
      <c r="DF9" s="3"/>
    </row>
    <row r="10" spans="15:110" ht="18.75" customHeight="1" x14ac:dyDescent="0.4">
      <c r="O10" s="5"/>
      <c r="P10" s="5"/>
      <c r="T10" s="67" t="s">
        <v>497</v>
      </c>
      <c r="U10" s="61" t="s">
        <v>146</v>
      </c>
      <c r="V10" s="67">
        <v>98.1</v>
      </c>
      <c r="W10" s="61">
        <v>23.553031914893619</v>
      </c>
      <c r="X10" s="61">
        <f>'CCCM Dashboard'!C34</f>
        <v>927</v>
      </c>
      <c r="Y10" s="425">
        <f>'CCCM Dashboard'!$D$34</f>
        <v>4732</v>
      </c>
      <c r="Z10" s="62" t="str">
        <f t="shared" si="1"/>
        <v>0 cp</v>
      </c>
      <c r="AA10" s="186" t="e">
        <f>#REF!</f>
        <v>#REF!</v>
      </c>
      <c r="AB10" s="63">
        <v>0</v>
      </c>
      <c r="AC10" s="63">
        <v>0</v>
      </c>
      <c r="AD10" s="63">
        <v>1</v>
      </c>
      <c r="AE10" s="64">
        <f>$S$3-ROUND((W10-$S$1)*$S$5,0)</f>
        <v>593</v>
      </c>
      <c r="AF10" s="65">
        <f t="shared" si="0"/>
        <v>308</v>
      </c>
      <c r="AG10" s="66">
        <f>'CCCM Dashboard'!E34</f>
        <v>16</v>
      </c>
      <c r="AI10" s="425">
        <f>'CCCM Dashboard'!$D$34</f>
        <v>4732</v>
      </c>
      <c r="AJ10" s="450" t="e">
        <f>COUNTIFS('NFI Distributions'!$B$6:$B$279,"&gt;5/1/2017",'NFI Distributions'!$G$6:$G$611,Table58[[#This Row],[Township]])</f>
        <v>#VALUE!</v>
      </c>
      <c r="CR10" s="3"/>
      <c r="CS10" s="3"/>
      <c r="CT10" s="3"/>
      <c r="CU10" s="3"/>
      <c r="CV10" s="3"/>
      <c r="CW10" s="3"/>
      <c r="CX10" s="3"/>
      <c r="CY10" s="3"/>
      <c r="CZ10" s="3"/>
      <c r="DA10" s="3"/>
      <c r="DB10" s="3"/>
      <c r="DC10" s="3"/>
      <c r="DD10" s="3"/>
      <c r="DE10" s="3"/>
      <c r="DF10" s="3"/>
    </row>
    <row r="11" spans="15:110" ht="18.75" customHeight="1" x14ac:dyDescent="0.4">
      <c r="O11" s="5"/>
      <c r="P11" s="5"/>
      <c r="T11" s="67" t="s">
        <v>818</v>
      </c>
      <c r="U11" s="61" t="s">
        <v>817</v>
      </c>
      <c r="V11" s="68">
        <v>97.88</v>
      </c>
      <c r="W11" s="69">
        <v>27.2</v>
      </c>
      <c r="X11" s="61">
        <f>'CCCM Dashboard'!C20</f>
        <v>0</v>
      </c>
      <c r="Y11" s="424">
        <f>'CCCM Dashboard'!$D$20</f>
        <v>0</v>
      </c>
      <c r="Z11" s="62" t="str">
        <f t="shared" si="1"/>
        <v>16 cps</v>
      </c>
      <c r="AA11" s="186" t="e">
        <f>#REF!</f>
        <v>#REF!</v>
      </c>
      <c r="AB11" s="63"/>
      <c r="AC11" s="63"/>
      <c r="AD11" s="63"/>
      <c r="AE11" s="64">
        <f>$S$3-ROUND((W11-$S$1)*$S$5,0)</f>
        <v>119</v>
      </c>
      <c r="AF11" s="65">
        <f t="shared" si="0"/>
        <v>279</v>
      </c>
      <c r="AG11" s="66">
        <f>'CCCM Dashboard'!E20</f>
        <v>0</v>
      </c>
      <c r="AI11" s="424">
        <f>'CCCM Dashboard'!$D$20</f>
        <v>0</v>
      </c>
      <c r="AJ11" s="450" t="e">
        <f>COUNTIFS('NFI Distributions'!$B$6:$B$279,"&gt;5/1/2017",'NFI Distributions'!$G$6:$G$611,Table58[[#This Row],[Township]])</f>
        <v>#VALUE!</v>
      </c>
      <c r="CR11" s="3"/>
      <c r="CS11" s="3"/>
      <c r="CT11" s="3"/>
      <c r="CU11" s="3"/>
      <c r="CV11" s="3"/>
      <c r="CW11" s="3"/>
      <c r="CX11" s="3"/>
      <c r="CY11" s="3"/>
      <c r="CZ11" s="3"/>
      <c r="DA11" s="3"/>
      <c r="DB11" s="3"/>
      <c r="DC11" s="3"/>
      <c r="DD11" s="3"/>
      <c r="DE11" s="3"/>
      <c r="DF11" s="3"/>
    </row>
    <row r="12" spans="15:110" ht="18.75" customHeight="1" x14ac:dyDescent="0.4">
      <c r="O12" s="5"/>
      <c r="P12" s="5"/>
      <c r="T12" s="60" t="s">
        <v>492</v>
      </c>
      <c r="U12" s="61" t="s">
        <v>151</v>
      </c>
      <c r="V12" s="60">
        <v>97.372845528455244</v>
      </c>
      <c r="W12" s="61">
        <v>24</v>
      </c>
      <c r="X12" s="61">
        <f>'CCCM Dashboard'!C21</f>
        <v>2757</v>
      </c>
      <c r="Y12" s="425">
        <f>'CCCM Dashboard'!$D$21</f>
        <v>13812</v>
      </c>
      <c r="Z12" s="62" t="str">
        <f t="shared" si="1"/>
        <v>0 cp</v>
      </c>
      <c r="AA12" s="186" t="e">
        <f>#REF!</f>
        <v>#REF!</v>
      </c>
      <c r="AB12" s="63">
        <v>0</v>
      </c>
      <c r="AC12" s="63">
        <v>0</v>
      </c>
      <c r="AD12" s="63">
        <v>0</v>
      </c>
      <c r="AE12" s="64">
        <f t="shared" si="2"/>
        <v>535</v>
      </c>
      <c r="AF12" s="65">
        <f t="shared" si="0"/>
        <v>213</v>
      </c>
      <c r="AG12" s="66">
        <f>'CCCM Dashboard'!E21</f>
        <v>11</v>
      </c>
      <c r="AI12" s="425">
        <f>'CCCM Dashboard'!$D$21</f>
        <v>13812</v>
      </c>
      <c r="AJ12" s="450" t="e">
        <f>COUNTIFS('NFI Distributions'!$B$6:$B$279,"&gt;5/1/2017",'NFI Distributions'!$G$6:$G$611,Table58[[#This Row],[Township]])</f>
        <v>#VALUE!</v>
      </c>
      <c r="CR12" s="3"/>
      <c r="CS12" s="3"/>
      <c r="CT12" s="3"/>
      <c r="CU12" s="3"/>
      <c r="CV12" s="3"/>
      <c r="CW12" s="3"/>
      <c r="CX12" s="3"/>
      <c r="CY12" s="3"/>
      <c r="CZ12" s="3"/>
      <c r="DA12" s="3"/>
      <c r="DB12" s="3"/>
      <c r="DC12" s="3"/>
      <c r="DD12" s="3"/>
      <c r="DE12" s="3"/>
      <c r="DF12" s="3"/>
    </row>
    <row r="13" spans="15:110" ht="18.75" customHeight="1" x14ac:dyDescent="0.4">
      <c r="O13" s="5"/>
      <c r="P13" s="5"/>
      <c r="T13" s="67" t="s">
        <v>496</v>
      </c>
      <c r="U13" s="61" t="s">
        <v>166</v>
      </c>
      <c r="V13" s="67">
        <v>97.266347826086943</v>
      </c>
      <c r="W13" s="61">
        <v>23.345826086956535</v>
      </c>
      <c r="X13" s="61">
        <f>'CCCM Dashboard'!C35</f>
        <v>59</v>
      </c>
      <c r="Y13" s="424">
        <f>'CCCM Dashboard'!$D$35</f>
        <v>313</v>
      </c>
      <c r="Z13" s="62" t="str">
        <f t="shared" si="1"/>
        <v>11 cps</v>
      </c>
      <c r="AA13" s="186" t="e">
        <f>#REF!</f>
        <v>#REF!</v>
      </c>
      <c r="AB13" s="63">
        <v>0</v>
      </c>
      <c r="AC13" s="63">
        <v>0</v>
      </c>
      <c r="AD13" s="63">
        <v>0</v>
      </c>
      <c r="AE13" s="64">
        <f>$S$3-ROUND((W13-$S$1)*$S$5,0)</f>
        <v>620</v>
      </c>
      <c r="AF13" s="65">
        <f t="shared" si="0"/>
        <v>200</v>
      </c>
      <c r="AG13" s="66">
        <f>'CCCM Dashboard'!E35</f>
        <v>2</v>
      </c>
      <c r="AI13" s="424">
        <f>'CCCM Dashboard'!$D$35</f>
        <v>313</v>
      </c>
      <c r="AJ13" s="450" t="e">
        <f>COUNTIFS('NFI Distributions'!$B$6:$B$279,"&gt;5/1/2017",'NFI Distributions'!$G$6:$G$611,Table58[[#This Row],[Township]])</f>
        <v>#VALUE!</v>
      </c>
      <c r="CR13" s="3"/>
      <c r="CS13" s="3"/>
      <c r="CT13" s="3"/>
      <c r="CU13" s="3"/>
      <c r="CV13" s="3"/>
      <c r="CW13" s="3"/>
      <c r="CX13" s="3"/>
      <c r="CY13" s="3"/>
      <c r="CZ13" s="3"/>
      <c r="DA13" s="3"/>
      <c r="DB13" s="3"/>
      <c r="DC13" s="3"/>
      <c r="DD13" s="3"/>
      <c r="DE13" s="3"/>
      <c r="DF13" s="3"/>
    </row>
    <row r="14" spans="15:110" ht="18.75" customHeight="1" x14ac:dyDescent="0.4">
      <c r="O14" s="5"/>
      <c r="P14" s="5"/>
      <c r="T14" s="60" t="s">
        <v>498</v>
      </c>
      <c r="U14" s="61" t="s">
        <v>173</v>
      </c>
      <c r="V14" s="60">
        <v>96.9</v>
      </c>
      <c r="W14" s="61">
        <v>25.4</v>
      </c>
      <c r="X14" s="61">
        <f>'CCCM Dashboard'!C22</f>
        <v>304</v>
      </c>
      <c r="Y14" s="425">
        <f>'CCCM Dashboard'!$D$22</f>
        <v>1459</v>
      </c>
      <c r="Z14" s="62" t="str">
        <f t="shared" si="1"/>
        <v>2 cps</v>
      </c>
      <c r="AA14" s="186" t="e">
        <f>#REF!</f>
        <v>#REF!</v>
      </c>
      <c r="AB14" s="63">
        <v>0</v>
      </c>
      <c r="AC14" s="63">
        <v>0</v>
      </c>
      <c r="AD14" s="63">
        <v>0</v>
      </c>
      <c r="AE14" s="64">
        <f t="shared" si="2"/>
        <v>353</v>
      </c>
      <c r="AF14" s="65">
        <f t="shared" si="0"/>
        <v>152</v>
      </c>
      <c r="AG14" s="66">
        <f>'CCCM Dashboard'!E22</f>
        <v>8</v>
      </c>
      <c r="AI14" s="425">
        <f>'CCCM Dashboard'!$D$22</f>
        <v>1459</v>
      </c>
      <c r="AJ14" s="450" t="e">
        <f>COUNTIFS('NFI Distributions'!$B$6:$B$279,"&gt;5/1/2017",'NFI Distributions'!$G$6:$G$611,Table58[[#This Row],[Township]])</f>
        <v>#VALUE!</v>
      </c>
      <c r="CR14" s="3"/>
      <c r="CS14" s="3"/>
      <c r="CT14" s="3"/>
      <c r="CU14" s="3"/>
      <c r="CV14" s="3"/>
      <c r="CW14" s="3"/>
      <c r="CX14" s="3"/>
      <c r="CY14" s="3"/>
      <c r="CZ14" s="3"/>
      <c r="DA14" s="3"/>
      <c r="DB14" s="3"/>
      <c r="DC14" s="3"/>
      <c r="DD14" s="3"/>
      <c r="DE14" s="3"/>
      <c r="DF14" s="3"/>
    </row>
    <row r="15" spans="15:110" ht="18.75" customHeight="1" x14ac:dyDescent="0.4">
      <c r="O15" s="5"/>
      <c r="P15" s="5"/>
      <c r="T15" s="67" t="s">
        <v>504</v>
      </c>
      <c r="U15" s="61" t="s">
        <v>180</v>
      </c>
      <c r="V15" s="67">
        <v>96.376558441558373</v>
      </c>
      <c r="W15" s="61">
        <v>24.957077922077939</v>
      </c>
      <c r="X15" s="61">
        <f>'CCCM Dashboard'!C23</f>
        <v>79</v>
      </c>
      <c r="Y15" s="424">
        <f>'CCCM Dashboard'!$D$23</f>
        <v>382</v>
      </c>
      <c r="Z15" s="62" t="str">
        <f t="shared" si="1"/>
        <v>8 cps</v>
      </c>
      <c r="AA15" s="186" t="e">
        <f>#REF!</f>
        <v>#REF!</v>
      </c>
      <c r="AB15" s="63">
        <v>1</v>
      </c>
      <c r="AC15" s="63">
        <v>0</v>
      </c>
      <c r="AD15" s="63">
        <v>0</v>
      </c>
      <c r="AE15" s="64">
        <f t="shared" si="2"/>
        <v>411</v>
      </c>
      <c r="AF15" s="65">
        <f t="shared" si="0"/>
        <v>84</v>
      </c>
      <c r="AG15" s="66">
        <f>'CCCM Dashboard'!E23</f>
        <v>4</v>
      </c>
      <c r="AI15" s="424">
        <f>'CCCM Dashboard'!$D$23</f>
        <v>382</v>
      </c>
      <c r="AJ15" s="450" t="e">
        <f>COUNTIFS('NFI Distributions'!$B$6:$B$279,"&gt;5/1/2017",'NFI Distributions'!$G$6:$G$611,Table58[[#This Row],[Township]])</f>
        <v>#VALUE!</v>
      </c>
      <c r="CR15" s="3"/>
      <c r="CS15" s="3"/>
      <c r="CT15" s="3"/>
      <c r="CU15" s="3"/>
      <c r="CV15" s="3"/>
      <c r="CW15" s="3"/>
      <c r="CX15" s="3"/>
      <c r="CY15" s="3"/>
      <c r="CZ15" s="3"/>
      <c r="DA15" s="3"/>
      <c r="DB15" s="3"/>
      <c r="DC15" s="3"/>
      <c r="DD15" s="3"/>
      <c r="DE15" s="3"/>
      <c r="DF15" s="3"/>
    </row>
    <row r="16" spans="15:110" ht="18.75" customHeight="1" x14ac:dyDescent="0.4">
      <c r="O16" s="5"/>
      <c r="P16" s="5"/>
      <c r="T16" s="60" t="s">
        <v>486</v>
      </c>
      <c r="U16" s="61" t="s">
        <v>185</v>
      </c>
      <c r="V16" s="60">
        <v>97.449510489510473</v>
      </c>
      <c r="W16" s="61">
        <v>24.6</v>
      </c>
      <c r="X16" s="61">
        <f>'CCCM Dashboard'!C24</f>
        <v>4758</v>
      </c>
      <c r="Y16" s="425">
        <f>'CCCM Dashboard'!$D$24</f>
        <v>25132</v>
      </c>
      <c r="Z16" s="62" t="str">
        <f t="shared" si="1"/>
        <v>4 cps</v>
      </c>
      <c r="AA16" s="186" t="e">
        <f>#REF!</f>
        <v>#REF!</v>
      </c>
      <c r="AB16" s="63">
        <v>0.12549019607843137</v>
      </c>
      <c r="AC16" s="63">
        <v>0</v>
      </c>
      <c r="AD16" s="63">
        <v>0.58263305322128844</v>
      </c>
      <c r="AE16" s="64">
        <f t="shared" si="2"/>
        <v>457</v>
      </c>
      <c r="AF16" s="65">
        <f t="shared" si="0"/>
        <v>223</v>
      </c>
      <c r="AG16" s="66">
        <f>'CCCM Dashboard'!E24</f>
        <v>15</v>
      </c>
      <c r="AI16" s="425">
        <f>'CCCM Dashboard'!$D$24</f>
        <v>25132</v>
      </c>
      <c r="AJ16" s="450" t="e">
        <f>COUNTIFS('NFI Distributions'!$B$6:$B$279,"&gt;5/1/2017",'NFI Distributions'!$G$6:$G$611,Table58[[#This Row],[Township]])</f>
        <v>#VALUE!</v>
      </c>
      <c r="CR16" s="3"/>
      <c r="CS16" s="3"/>
      <c r="CT16" s="3"/>
      <c r="CU16" s="3"/>
      <c r="CV16" s="3"/>
      <c r="CW16" s="3"/>
      <c r="CX16" s="3"/>
      <c r="CY16" s="3"/>
      <c r="CZ16" s="3"/>
      <c r="DA16" s="3"/>
      <c r="DB16" s="3"/>
      <c r="DC16" s="3"/>
      <c r="DD16" s="3"/>
      <c r="DE16" s="3"/>
      <c r="DF16" s="3"/>
    </row>
    <row r="17" spans="1:110" ht="18.75" customHeight="1" x14ac:dyDescent="0.4">
      <c r="O17" s="5"/>
      <c r="P17" s="5"/>
      <c r="T17" s="67" t="s">
        <v>491</v>
      </c>
      <c r="U17" s="61" t="s">
        <v>230</v>
      </c>
      <c r="V17" s="67">
        <v>98.12</v>
      </c>
      <c r="W17" s="61">
        <v>23.972235294117642</v>
      </c>
      <c r="X17" s="61">
        <f>'CCCM Dashboard'!C36</f>
        <v>209</v>
      </c>
      <c r="Y17" s="424">
        <f>'CCCM Dashboard'!$D$36</f>
        <v>1048</v>
      </c>
      <c r="Z17" s="62" t="str">
        <f t="shared" si="1"/>
        <v>15 cps</v>
      </c>
      <c r="AA17" s="186" t="e">
        <f>#REF!</f>
        <v>#REF!</v>
      </c>
      <c r="AB17" s="63">
        <v>0</v>
      </c>
      <c r="AC17" s="63">
        <v>0</v>
      </c>
      <c r="AD17" s="63">
        <v>0</v>
      </c>
      <c r="AE17" s="64">
        <f t="shared" si="2"/>
        <v>539</v>
      </c>
      <c r="AF17" s="65">
        <f t="shared" si="0"/>
        <v>311</v>
      </c>
      <c r="AG17" s="66">
        <f>'CCCM Dashboard'!E36</f>
        <v>3</v>
      </c>
      <c r="AI17" s="424">
        <f>'CCCM Dashboard'!$D$36</f>
        <v>1048</v>
      </c>
      <c r="AJ17" s="450" t="e">
        <f>COUNTIFS('NFI Distributions'!$B$6:$B$279,"&gt;5/1/2017",'NFI Distributions'!$G$6:$G$611,Table58[[#This Row],[Township]])</f>
        <v>#VALUE!</v>
      </c>
      <c r="CR17" s="3"/>
      <c r="CS17" s="3"/>
      <c r="CT17" s="3"/>
      <c r="CU17" s="3"/>
      <c r="CV17" s="3"/>
      <c r="CW17" s="3"/>
      <c r="CX17" s="3"/>
      <c r="CY17" s="3"/>
      <c r="CZ17" s="3"/>
      <c r="DA17" s="3"/>
      <c r="DB17" s="3"/>
      <c r="DC17" s="3"/>
      <c r="DD17" s="3"/>
      <c r="DE17" s="3"/>
      <c r="DF17" s="3"/>
    </row>
    <row r="18" spans="1:110" ht="18.75" customHeight="1" x14ac:dyDescent="0.4">
      <c r="O18" s="5"/>
      <c r="P18" s="5"/>
      <c r="T18" s="60" t="s">
        <v>488</v>
      </c>
      <c r="U18" s="61" t="s">
        <v>237</v>
      </c>
      <c r="V18" s="60">
        <v>97.301176470588288</v>
      </c>
      <c r="W18" s="61">
        <v>25.24</v>
      </c>
      <c r="X18" s="61">
        <f>'CCCM Dashboard'!C25</f>
        <v>2209</v>
      </c>
      <c r="Y18" s="425">
        <f>'CCCM Dashboard'!$D$25</f>
        <v>11374</v>
      </c>
      <c r="Z18" s="62" t="str">
        <f t="shared" si="1"/>
        <v>3 cps</v>
      </c>
      <c r="AA18" s="186" t="e">
        <f>#REF!</f>
        <v>#REF!</v>
      </c>
      <c r="AB18" s="63">
        <v>0.65062761506276146</v>
      </c>
      <c r="AC18" s="63">
        <v>0</v>
      </c>
      <c r="AD18" s="63">
        <v>0.25732217573221761</v>
      </c>
      <c r="AE18" s="64">
        <f t="shared" si="2"/>
        <v>374</v>
      </c>
      <c r="AF18" s="65">
        <f t="shared" si="0"/>
        <v>204</v>
      </c>
      <c r="AG18" s="66">
        <f>'CCCM Dashboard'!E25</f>
        <v>25</v>
      </c>
      <c r="AI18" s="425">
        <f>'CCCM Dashboard'!$D$25</f>
        <v>11374</v>
      </c>
      <c r="AJ18" s="450" t="e">
        <f>COUNTIFS('NFI Distributions'!$B$6:$B$279,"&gt;5/1/2017",'NFI Distributions'!$G$6:$G$611,Table58[[#This Row],[Township]])</f>
        <v>#VALUE!</v>
      </c>
      <c r="CR18" s="3"/>
      <c r="CS18" s="3"/>
      <c r="CT18" s="3"/>
      <c r="CU18" s="3"/>
      <c r="CV18" s="3"/>
      <c r="CW18" s="3"/>
      <c r="CX18" s="3"/>
      <c r="CY18" s="3"/>
      <c r="CZ18" s="3"/>
      <c r="DA18" s="3"/>
      <c r="DB18" s="3"/>
      <c r="DC18" s="3"/>
      <c r="DD18" s="3"/>
      <c r="DE18" s="3"/>
      <c r="DF18" s="3"/>
    </row>
    <row r="19" spans="1:110" ht="18.75" customHeight="1" x14ac:dyDescent="0.4">
      <c r="O19" s="5"/>
      <c r="P19" s="5"/>
      <c r="T19" s="67" t="s">
        <v>502</v>
      </c>
      <c r="U19" s="61" t="s">
        <v>288</v>
      </c>
      <c r="V19" s="67">
        <v>97.619855072463778</v>
      </c>
      <c r="W19" s="61">
        <v>23.7</v>
      </c>
      <c r="X19" s="61">
        <f>'CCCM Dashboard'!C37</f>
        <v>395</v>
      </c>
      <c r="Y19" s="424">
        <f>'CCCM Dashboard'!$D$37</f>
        <v>2018</v>
      </c>
      <c r="Z19" s="62" t="str">
        <f t="shared" si="1"/>
        <v>25 cps</v>
      </c>
      <c r="AA19" s="186" t="e">
        <f>#REF!</f>
        <v>#REF!</v>
      </c>
      <c r="AB19" s="63">
        <v>0</v>
      </c>
      <c r="AC19" s="63">
        <v>0</v>
      </c>
      <c r="AD19" s="63">
        <v>0</v>
      </c>
      <c r="AE19" s="64">
        <f t="shared" si="2"/>
        <v>574</v>
      </c>
      <c r="AF19" s="65">
        <f t="shared" si="0"/>
        <v>246</v>
      </c>
      <c r="AG19" s="66">
        <f>'CCCM Dashboard'!E37</f>
        <v>6</v>
      </c>
      <c r="AI19" s="424">
        <f>'CCCM Dashboard'!$D$37</f>
        <v>2018</v>
      </c>
      <c r="AJ19" s="450" t="e">
        <f>COUNTIFS('NFI Distributions'!$B$6:$B$279,"&gt;5/1/2017",'NFI Distributions'!$G$6:$G$611,Table58[[#This Row],[Township]])</f>
        <v>#VALUE!</v>
      </c>
      <c r="CR19" s="3"/>
      <c r="CS19" s="3"/>
      <c r="CT19" s="3"/>
      <c r="CU19" s="3"/>
      <c r="CV19" s="3"/>
      <c r="CW19" s="3"/>
      <c r="CX19" s="3"/>
      <c r="CY19" s="3"/>
      <c r="CZ19" s="3"/>
      <c r="DA19" s="3"/>
      <c r="DB19" s="3"/>
      <c r="DC19" s="3"/>
      <c r="DD19" s="3"/>
      <c r="DE19" s="3"/>
      <c r="DF19" s="3"/>
    </row>
    <row r="20" spans="1:110" ht="18.75" customHeight="1" x14ac:dyDescent="0.4">
      <c r="O20" s="5"/>
      <c r="P20" s="5"/>
      <c r="T20" s="60" t="s">
        <v>503</v>
      </c>
      <c r="U20" s="61" t="s">
        <v>297</v>
      </c>
      <c r="V20" s="60">
        <v>97.48</v>
      </c>
      <c r="W20" s="61">
        <v>23.01813559322035</v>
      </c>
      <c r="X20" s="61">
        <f>'CCCM Dashboard'!C39</f>
        <v>133</v>
      </c>
      <c r="Y20" s="425">
        <f>'CCCM Dashboard'!$D$39</f>
        <v>609</v>
      </c>
      <c r="Z20" s="62" t="str">
        <f t="shared" si="1"/>
        <v>6 cps</v>
      </c>
      <c r="AA20" s="186" t="e">
        <f>#REF!</f>
        <v>#REF!</v>
      </c>
      <c r="AB20" s="63">
        <v>0</v>
      </c>
      <c r="AC20" s="63">
        <v>0</v>
      </c>
      <c r="AD20" s="63">
        <v>0</v>
      </c>
      <c r="AE20" s="64">
        <f t="shared" si="2"/>
        <v>663</v>
      </c>
      <c r="AF20" s="65">
        <f t="shared" si="0"/>
        <v>227</v>
      </c>
      <c r="AG20" s="66">
        <f>'CCCM Dashboard'!E39</f>
        <v>4</v>
      </c>
      <c r="AI20" s="425">
        <f>'CCCM Dashboard'!$D$39</f>
        <v>609</v>
      </c>
      <c r="AJ20" s="450" t="e">
        <f>COUNTIFS('NFI Distributions'!$B$6:$B$279,"&gt;5/1/2017",'NFI Distributions'!$G$6:$G$611,Table58[[#This Row],[Township]])</f>
        <v>#VALUE!</v>
      </c>
      <c r="CR20" s="3"/>
      <c r="CS20" s="3"/>
      <c r="CT20" s="3"/>
      <c r="CU20" s="3"/>
      <c r="CV20" s="3"/>
      <c r="CW20" s="3"/>
      <c r="CX20" s="3"/>
      <c r="CY20" s="3"/>
      <c r="CZ20" s="3"/>
      <c r="DA20" s="3"/>
      <c r="DB20" s="3"/>
      <c r="DC20" s="3"/>
      <c r="DD20" s="3"/>
      <c r="DE20" s="3"/>
      <c r="DF20" s="3"/>
    </row>
    <row r="21" spans="1:110" ht="18.75" customHeight="1" x14ac:dyDescent="0.4">
      <c r="O21" s="5"/>
      <c r="P21" s="5"/>
      <c r="T21" s="67" t="s">
        <v>505</v>
      </c>
      <c r="U21" s="61" t="s">
        <v>299</v>
      </c>
      <c r="V21" s="67">
        <v>97.435148514851463</v>
      </c>
      <c r="W21" s="61">
        <v>27.327029702970304</v>
      </c>
      <c r="X21" s="61">
        <f>'CCCM Dashboard'!C26</f>
        <v>88</v>
      </c>
      <c r="Y21" s="424">
        <f>'CCCM Dashboard'!$D$26</f>
        <v>429</v>
      </c>
      <c r="Z21" s="62" t="str">
        <f t="shared" si="1"/>
        <v>4 cps</v>
      </c>
      <c r="AA21" s="186" t="e">
        <f>#REF!</f>
        <v>#REF!</v>
      </c>
      <c r="AB21" s="63">
        <v>0</v>
      </c>
      <c r="AC21" s="63">
        <v>0</v>
      </c>
      <c r="AD21" s="63">
        <v>0</v>
      </c>
      <c r="AE21" s="64">
        <f t="shared" si="2"/>
        <v>102</v>
      </c>
      <c r="AF21" s="65">
        <f t="shared" si="0"/>
        <v>222</v>
      </c>
      <c r="AG21" s="66">
        <f>'CCCM Dashboard'!E26</f>
        <v>3</v>
      </c>
      <c r="AI21" s="424">
        <f>'CCCM Dashboard'!$D$26</f>
        <v>429</v>
      </c>
      <c r="AJ21" s="450" t="e">
        <f>COUNTIFS('NFI Distributions'!$B$6:$B$279,"&gt;5/1/2017",'NFI Distributions'!$G$6:$G$611,Table58[[#This Row],[Township]])</f>
        <v>#VALUE!</v>
      </c>
      <c r="CR21" s="3"/>
      <c r="CS21" s="3"/>
      <c r="CT21" s="3"/>
      <c r="CU21" s="3"/>
      <c r="CV21" s="3"/>
      <c r="CW21" s="3"/>
      <c r="CX21" s="3"/>
      <c r="CY21" s="3"/>
      <c r="CZ21" s="3"/>
      <c r="DA21" s="3"/>
      <c r="DB21" s="3"/>
      <c r="DC21" s="3"/>
      <c r="DD21" s="3"/>
      <c r="DE21" s="3"/>
      <c r="DF21" s="3"/>
    </row>
    <row r="22" spans="1:110" ht="18.75" customHeight="1" x14ac:dyDescent="0.4">
      <c r="T22" s="60" t="s">
        <v>493</v>
      </c>
      <c r="U22" s="61" t="s">
        <v>301</v>
      </c>
      <c r="V22" s="60">
        <v>96.752179487179433</v>
      </c>
      <c r="W22" s="61">
        <v>24.4</v>
      </c>
      <c r="X22" s="61">
        <f>'CCCM Dashboard'!C27</f>
        <v>455</v>
      </c>
      <c r="Y22" s="425">
        <f>'CCCM Dashboard'!$D$27</f>
        <v>1867</v>
      </c>
      <c r="Z22" s="62" t="str">
        <f t="shared" si="1"/>
        <v>3 cps</v>
      </c>
      <c r="AA22" s="186" t="e">
        <f>#REF!</f>
        <v>#REF!</v>
      </c>
      <c r="AB22" s="63">
        <v>0</v>
      </c>
      <c r="AC22" s="63">
        <v>0</v>
      </c>
      <c r="AD22" s="63">
        <v>0</v>
      </c>
      <c r="AE22" s="64">
        <f t="shared" si="2"/>
        <v>483</v>
      </c>
      <c r="AF22" s="65">
        <f t="shared" si="0"/>
        <v>133</v>
      </c>
      <c r="AG22" s="66">
        <f>'CCCM Dashboard'!E27</f>
        <v>3</v>
      </c>
      <c r="AI22" s="425">
        <f>'CCCM Dashboard'!$D$27</f>
        <v>1867</v>
      </c>
      <c r="AJ22" s="450" t="e">
        <f>COUNTIFS('NFI Distributions'!$B$6:$B$279,"&gt;5/1/2017",'NFI Distributions'!$G$6:$G$611,Table58[[#This Row],[Township]])</f>
        <v>#VALUE!</v>
      </c>
      <c r="CY22" s="18"/>
      <c r="CZ22" s="19"/>
      <c r="DA22" s="19"/>
      <c r="DB22" s="19"/>
      <c r="DC22" s="19"/>
    </row>
    <row r="23" spans="1:110" ht="18.75" customHeight="1" x14ac:dyDescent="0.4">
      <c r="A23" s="29"/>
      <c r="B23" s="29"/>
      <c r="C23" s="29"/>
      <c r="D23" s="29"/>
      <c r="E23" s="29"/>
      <c r="F23" s="29"/>
      <c r="G23" s="29"/>
      <c r="H23" s="29"/>
      <c r="I23" s="29"/>
      <c r="J23" s="29"/>
      <c r="K23" s="29"/>
      <c r="L23" s="29"/>
      <c r="M23" s="29"/>
      <c r="N23" s="20"/>
      <c r="T23" s="67" t="s">
        <v>747</v>
      </c>
      <c r="U23" s="61" t="s">
        <v>746</v>
      </c>
      <c r="V23" s="60">
        <v>97.5</v>
      </c>
      <c r="W23" s="69">
        <v>26.5</v>
      </c>
      <c r="X23" s="61">
        <f>'CCCM Dashboard'!C28</f>
        <v>212</v>
      </c>
      <c r="Y23" s="424">
        <f>'CCCM Dashboard'!$D$28</f>
        <v>1047</v>
      </c>
      <c r="Z23" s="62" t="str">
        <f t="shared" si="1"/>
        <v>3 cps</v>
      </c>
      <c r="AA23" s="186" t="e">
        <f>#REF!</f>
        <v>#REF!</v>
      </c>
      <c r="AB23" s="63"/>
      <c r="AC23" s="63"/>
      <c r="AD23" s="63"/>
      <c r="AE23" s="64">
        <f t="shared" si="2"/>
        <v>210</v>
      </c>
      <c r="AF23" s="65">
        <f t="shared" si="0"/>
        <v>230</v>
      </c>
      <c r="AG23" s="66">
        <f>'CCCM Dashboard'!E28</f>
        <v>4</v>
      </c>
      <c r="AI23" s="424">
        <f>'CCCM Dashboard'!$D$28</f>
        <v>1047</v>
      </c>
      <c r="AJ23" s="450" t="e">
        <f>COUNTIFS('NFI Distributions'!$B$6:$B$279,"&gt;5/1/2017",'NFI Distributions'!$G$6:$G$611,Table58[[#This Row],[Township]])</f>
        <v>#VALUE!</v>
      </c>
      <c r="CY23" s="18"/>
      <c r="CZ23" s="19"/>
      <c r="DA23" s="19"/>
      <c r="DB23" s="19"/>
      <c r="DC23" s="19"/>
    </row>
    <row r="24" spans="1:110" ht="18.75" customHeight="1" x14ac:dyDescent="0.4">
      <c r="A24" s="29"/>
      <c r="B24" s="29"/>
      <c r="C24" s="29"/>
      <c r="D24" s="29"/>
      <c r="E24" s="29"/>
      <c r="F24" s="29"/>
      <c r="G24" s="29"/>
      <c r="H24" s="29"/>
      <c r="I24" s="29"/>
      <c r="J24" s="29"/>
      <c r="K24" s="29"/>
      <c r="L24" s="29"/>
      <c r="M24" s="29"/>
      <c r="N24" s="20"/>
      <c r="T24" s="291" t="s">
        <v>1133</v>
      </c>
      <c r="U24" s="292" t="s">
        <v>1134</v>
      </c>
      <c r="V24" s="293">
        <v>96.716553000000005</v>
      </c>
      <c r="W24" s="294">
        <v>26.357970999999999</v>
      </c>
      <c r="X24" s="61">
        <f>'CCCM Dashboard'!C29</f>
        <v>276</v>
      </c>
      <c r="Y24" s="425">
        <f>'CCCM Dashboard'!$D$29</f>
        <v>1156</v>
      </c>
      <c r="Z24" s="62" t="str">
        <f t="shared" si="1"/>
        <v>4 cps</v>
      </c>
      <c r="AA24" s="186" t="e">
        <f>#REF!</f>
        <v>#REF!</v>
      </c>
      <c r="AB24" s="295"/>
      <c r="AC24" s="295"/>
      <c r="AD24" s="295"/>
      <c r="AE24" s="296">
        <f>$S$3-ROUND((W24-$S$1)*$S$5,0)</f>
        <v>228</v>
      </c>
      <c r="AF24" s="297">
        <f t="shared" si="0"/>
        <v>128</v>
      </c>
      <c r="AG24" s="66">
        <f>'CCCM Dashboard'!E29</f>
        <v>3</v>
      </c>
      <c r="AI24" s="425">
        <f>'CCCM Dashboard'!$D$29</f>
        <v>1156</v>
      </c>
      <c r="AJ24" s="450" t="e">
        <f>COUNTIFS('NFI Distributions'!$B$6:$B$279,"&gt;5/1/2017",'NFI Distributions'!$G$6:$G$611,Table58[[#This Row],[Township]])</f>
        <v>#VALUE!</v>
      </c>
      <c r="CR24" s="136"/>
      <c r="CS24" s="136"/>
      <c r="CT24" s="136"/>
      <c r="CU24" s="136"/>
      <c r="CV24" s="136"/>
      <c r="CW24" s="136"/>
      <c r="CX24" s="136"/>
      <c r="CY24" s="18"/>
      <c r="CZ24" s="19"/>
      <c r="DA24" s="19"/>
      <c r="DB24" s="19"/>
      <c r="DC24" s="19"/>
      <c r="DD24" s="136"/>
      <c r="DE24" s="136"/>
      <c r="DF24" s="136"/>
    </row>
    <row r="25" spans="1:110" ht="18.75" customHeight="1" x14ac:dyDescent="0.4">
      <c r="A25" s="22"/>
      <c r="B25" s="22"/>
      <c r="C25" s="23"/>
      <c r="D25" s="23"/>
      <c r="E25" s="24"/>
      <c r="F25" s="24"/>
      <c r="G25" s="25"/>
      <c r="H25" s="26"/>
      <c r="I25" s="26"/>
      <c r="J25" s="26"/>
      <c r="K25" s="27"/>
      <c r="L25" s="28"/>
      <c r="M25" s="29"/>
      <c r="N25" s="20"/>
      <c r="T25" s="67" t="s">
        <v>485</v>
      </c>
      <c r="U25" s="61" t="s">
        <v>309</v>
      </c>
      <c r="V25" s="67">
        <v>97.8</v>
      </c>
      <c r="W25" s="61">
        <v>25.5</v>
      </c>
      <c r="X25" s="61">
        <f>'CCCM Dashboard'!C30</f>
        <v>4851</v>
      </c>
      <c r="Y25" s="424">
        <f>'CCCM Dashboard'!$D$30</f>
        <v>25825</v>
      </c>
      <c r="Z25" s="62" t="str">
        <f t="shared" si="1"/>
        <v>3 cps</v>
      </c>
      <c r="AA25" s="186" t="e">
        <f>#REF!</f>
        <v>#REF!</v>
      </c>
      <c r="AB25" s="63">
        <v>0.37372161553128791</v>
      </c>
      <c r="AC25" s="63">
        <v>0</v>
      </c>
      <c r="AD25" s="63">
        <v>4.6281851274050934E-2</v>
      </c>
      <c r="AE25" s="64">
        <f t="shared" si="2"/>
        <v>340</v>
      </c>
      <c r="AF25" s="65">
        <f t="shared" si="0"/>
        <v>269</v>
      </c>
      <c r="AG25" s="66">
        <f>'CCCM Dashboard'!E30</f>
        <v>24</v>
      </c>
      <c r="AI25" s="424">
        <f>'CCCM Dashboard'!$D$30</f>
        <v>25825</v>
      </c>
      <c r="AJ25" s="450" t="e">
        <f>COUNTIFS('NFI Distributions'!$B$6:$B$279,"&gt;5/1/2017",'NFI Distributions'!$G$6:$G$611,Table58[[#This Row],[Township]])</f>
        <v>#VALUE!</v>
      </c>
      <c r="CY25" s="18"/>
      <c r="CZ25" s="19"/>
      <c r="DA25" s="19"/>
      <c r="DB25" s="19"/>
      <c r="DC25" s="19"/>
    </row>
    <row r="26" spans="1:110" ht="18.75" customHeight="1" x14ac:dyDescent="0.4">
      <c r="T26" s="61"/>
      <c r="U26" s="61" t="s">
        <v>519</v>
      </c>
      <c r="V26" s="69" t="s">
        <v>521</v>
      </c>
      <c r="W26" s="69" t="s">
        <v>520</v>
      </c>
      <c r="X26" s="429">
        <f>SUBTOTAL(109,Table58[HS])</f>
        <v>20596</v>
      </c>
      <c r="Y26" s="429">
        <f>SUBTOTAL(109,Table58[Pop])</f>
        <v>106537</v>
      </c>
      <c r="Z26" s="62" t="str">
        <f>CONCATENATE(Table58[[#Totals],[Column1]]," camps")</f>
        <v>169 camps</v>
      </c>
      <c r="AA26" s="430" t="e">
        <f>SUMPRODUCT(Table58[Pop]*Table58[Coverage])/Table58[[#Totals],[Pop]]</f>
        <v>#REF!</v>
      </c>
      <c r="AB26" s="431">
        <f>SUMPRODUCT(Table58[Pop]*Table58[Hygiene])/Table58[[#Totals],[Pop]]</f>
        <v>0.24850166449384994</v>
      </c>
      <c r="AC26" s="431">
        <f>SUMPRODUCT(Table58[Pop]*Table58[Core])/Table58[[#Totals],[Pop]]</f>
        <v>0</v>
      </c>
      <c r="AD26" s="431">
        <f>SUMPRODUCT(Table58[Pop]*Table58[Sanitary])/Table58[[#Totals],[Pop]]</f>
        <v>0.28615452772130268</v>
      </c>
      <c r="AE26" s="432">
        <f>1000-ROUND((W26-23.5)*$S$5,0)</f>
        <v>545</v>
      </c>
      <c r="AF26" s="433">
        <f>ROUND((V26-96.5)*$S$5,0)+100</f>
        <v>35</v>
      </c>
      <c r="AG26" s="434">
        <f>SUBTOTAL(109,Table58[Column1])</f>
        <v>169</v>
      </c>
      <c r="CY26" s="18"/>
      <c r="DC26" s="1"/>
      <c r="DD26" s="12"/>
    </row>
    <row r="27" spans="1:110" ht="18.75" customHeight="1" x14ac:dyDescent="0.4">
      <c r="CY27" s="18"/>
      <c r="DC27" s="1"/>
      <c r="DD27" s="12"/>
    </row>
    <row r="28" spans="1:110" ht="18.75" customHeight="1" x14ac:dyDescent="0.4">
      <c r="P28" s="21"/>
      <c r="Q28" s="21"/>
      <c r="CY28" s="18"/>
      <c r="DC28" s="1"/>
      <c r="DD28" s="12"/>
    </row>
    <row r="29" spans="1:110" s="5" customFormat="1" ht="18.75" customHeight="1" x14ac:dyDescent="0.4">
      <c r="A29" s="3"/>
      <c r="B29" s="3"/>
      <c r="C29" s="3"/>
      <c r="D29" s="3"/>
      <c r="E29" s="3"/>
      <c r="F29" s="3"/>
      <c r="G29" s="3"/>
      <c r="H29" s="3"/>
      <c r="I29" s="3"/>
      <c r="J29" s="3"/>
      <c r="K29" s="3"/>
      <c r="L29" s="3"/>
      <c r="M29" s="3"/>
      <c r="N29" s="3"/>
      <c r="O29" s="3"/>
      <c r="P29" s="3"/>
      <c r="Q29" s="3"/>
      <c r="R29" s="3"/>
      <c r="S29" s="3"/>
      <c r="T29" s="50"/>
      <c r="U29" s="50"/>
      <c r="V29" s="50"/>
      <c r="W29" s="50"/>
      <c r="X29" s="50"/>
      <c r="Y29" s="50"/>
      <c r="Z29" s="50"/>
      <c r="AA29" s="50"/>
      <c r="AB29" s="50"/>
      <c r="AC29" s="50"/>
      <c r="AD29" s="50"/>
      <c r="AE29" s="50"/>
      <c r="AF29" s="50"/>
      <c r="AG29" s="50"/>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Y29" s="18"/>
      <c r="DC29" s="1"/>
      <c r="DD29" s="12"/>
    </row>
    <row r="30" spans="1:110" s="5" customFormat="1" ht="18.75" customHeight="1" x14ac:dyDescent="0.4">
      <c r="A30" s="3"/>
      <c r="B30" s="3"/>
      <c r="C30" s="3"/>
      <c r="D30" s="3"/>
      <c r="E30" s="3"/>
      <c r="F30" s="3"/>
      <c r="G30" s="3"/>
      <c r="H30" s="3"/>
      <c r="I30" s="3"/>
      <c r="J30" s="3"/>
      <c r="K30" s="3"/>
      <c r="L30" s="3"/>
      <c r="M30" s="3"/>
      <c r="N30" s="3"/>
      <c r="O30" s="3"/>
      <c r="P30" s="3"/>
      <c r="Q30" s="3"/>
      <c r="R30" s="3"/>
      <c r="S30" s="3"/>
      <c r="T30" s="50"/>
      <c r="U30" s="50"/>
      <c r="V30" s="50"/>
      <c r="W30" s="50"/>
      <c r="X30" s="50"/>
      <c r="Y30" s="50"/>
      <c r="Z30" s="50"/>
      <c r="AA30" s="50"/>
      <c r="AB30" s="50"/>
      <c r="AC30" s="50"/>
      <c r="AD30" s="50"/>
      <c r="AE30" s="50"/>
      <c r="AF30" s="50"/>
      <c r="AG30" s="50"/>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Y30" s="18"/>
      <c r="DC30" s="1"/>
      <c r="DD30" s="12"/>
    </row>
    <row r="31" spans="1:110" s="5" customFormat="1" ht="18.75" customHeight="1" x14ac:dyDescent="0.4">
      <c r="A31" s="3"/>
      <c r="B31" s="3"/>
      <c r="C31" s="3"/>
      <c r="D31" s="3"/>
      <c r="E31" s="3"/>
      <c r="F31" s="3"/>
      <c r="G31" s="3"/>
      <c r="H31" s="3"/>
      <c r="I31" s="3"/>
      <c r="J31" s="3"/>
      <c r="K31" s="3"/>
      <c r="L31" s="3"/>
      <c r="M31" s="3"/>
      <c r="N31" s="3"/>
      <c r="O31" s="3"/>
      <c r="P31" s="3"/>
      <c r="Q31" s="3"/>
      <c r="R31" s="3"/>
      <c r="S31" s="3"/>
      <c r="T31" s="50"/>
      <c r="U31" s="50"/>
      <c r="V31" s="50"/>
      <c r="W31" s="50"/>
      <c r="X31" s="50"/>
      <c r="Y31" s="50"/>
      <c r="Z31" s="50"/>
      <c r="AA31" s="50"/>
      <c r="AB31" s="50"/>
      <c r="AC31" s="50"/>
      <c r="AD31" s="50"/>
      <c r="AE31" s="50"/>
      <c r="AF31" s="50"/>
      <c r="AG31" s="50"/>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Y31" s="18"/>
      <c r="DC31" s="1"/>
      <c r="DD31" s="12"/>
    </row>
    <row r="32" spans="1:110" s="5" customFormat="1" ht="18.75" customHeight="1" x14ac:dyDescent="0.4">
      <c r="A32" s="3"/>
      <c r="B32" s="3"/>
      <c r="C32" s="3"/>
      <c r="D32" s="3"/>
      <c r="E32" s="3"/>
      <c r="F32" s="3"/>
      <c r="G32" s="3"/>
      <c r="H32" s="3"/>
      <c r="I32" s="3"/>
      <c r="J32" s="3"/>
      <c r="K32" s="3"/>
      <c r="L32" s="3"/>
      <c r="M32" s="3"/>
      <c r="N32" s="3"/>
      <c r="O32" s="3"/>
      <c r="P32" s="3"/>
      <c r="Q32" s="3"/>
      <c r="R32" s="3"/>
      <c r="S32" s="3"/>
      <c r="T32" s="50"/>
      <c r="U32" s="50"/>
      <c r="V32" s="50"/>
      <c r="W32" s="50"/>
      <c r="X32" s="50"/>
      <c r="Y32" s="50"/>
      <c r="Z32" s="50"/>
      <c r="AA32" s="50"/>
      <c r="AB32" s="50"/>
      <c r="AC32" s="50"/>
      <c r="AD32" s="50"/>
      <c r="AE32" s="50"/>
      <c r="AF32" s="50"/>
      <c r="AG32" s="50"/>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Y32" s="18"/>
      <c r="DC32" s="1"/>
      <c r="DD32" s="12"/>
    </row>
    <row r="33" spans="1:109" s="5" customFormat="1" ht="18.75" customHeight="1" x14ac:dyDescent="0.4">
      <c r="A33" s="3"/>
      <c r="B33" s="3"/>
      <c r="C33" s="3"/>
      <c r="D33" s="3"/>
      <c r="E33" s="3"/>
      <c r="F33" s="3"/>
      <c r="G33" s="3"/>
      <c r="H33" s="3"/>
      <c r="I33" s="3"/>
      <c r="J33" s="3"/>
      <c r="K33" s="3"/>
      <c r="L33" s="3"/>
      <c r="M33" s="3"/>
      <c r="N33" s="3"/>
      <c r="O33" s="3"/>
      <c r="P33" s="3"/>
      <c r="Q33" s="3"/>
      <c r="R33" s="3"/>
      <c r="S33" s="3"/>
      <c r="T33" s="50"/>
      <c r="U33" s="50"/>
      <c r="V33" s="50"/>
      <c r="W33" s="50"/>
      <c r="X33" s="50"/>
      <c r="Y33" s="50"/>
      <c r="Z33" s="50"/>
      <c r="AA33" s="50"/>
      <c r="AB33" s="50"/>
      <c r="AC33" s="50"/>
      <c r="AD33" s="50"/>
      <c r="AE33" s="50"/>
      <c r="AF33" s="50"/>
      <c r="AG33" s="50"/>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Y33" s="18"/>
      <c r="DC33" s="1"/>
      <c r="DD33" s="12"/>
    </row>
    <row r="34" spans="1:109" s="5" customFormat="1" ht="18.75" customHeight="1" x14ac:dyDescent="0.4">
      <c r="A34" s="3"/>
      <c r="B34" s="3"/>
      <c r="C34" s="3"/>
      <c r="D34" s="3"/>
      <c r="E34" s="3"/>
      <c r="F34" s="3"/>
      <c r="G34" s="3"/>
      <c r="H34" s="3"/>
      <c r="I34" s="3"/>
      <c r="J34" s="3"/>
      <c r="K34" s="3"/>
      <c r="L34" s="3"/>
      <c r="M34" s="3"/>
      <c r="N34" s="3"/>
      <c r="O34" s="3"/>
      <c r="P34" s="3"/>
      <c r="Q34" s="3"/>
      <c r="R34" s="3"/>
      <c r="S34" s="3"/>
      <c r="T34" s="50"/>
      <c r="U34" s="50"/>
      <c r="V34" s="50"/>
      <c r="W34" s="50"/>
      <c r="X34" s="50"/>
      <c r="Y34" s="50"/>
      <c r="Z34" s="50"/>
      <c r="AA34" s="50"/>
      <c r="AB34" s="50"/>
      <c r="AC34" s="50"/>
      <c r="AD34" s="50"/>
      <c r="AE34" s="50"/>
      <c r="AF34" s="50"/>
      <c r="AG34" s="50"/>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DC34" s="1"/>
      <c r="DD34" s="12"/>
    </row>
    <row r="35" spans="1:109" s="5" customFormat="1" ht="18.75" customHeight="1" x14ac:dyDescent="0.4">
      <c r="A35" s="3"/>
      <c r="B35" s="3"/>
      <c r="C35" s="3"/>
      <c r="D35" s="3"/>
      <c r="E35" s="3"/>
      <c r="F35" s="3"/>
      <c r="G35" s="3"/>
      <c r="H35" s="3"/>
      <c r="I35" s="3"/>
      <c r="J35" s="3"/>
      <c r="K35" s="3"/>
      <c r="L35" s="3"/>
      <c r="M35" s="3"/>
      <c r="N35" s="3"/>
      <c r="O35" s="3"/>
      <c r="P35" s="3"/>
      <c r="Q35" s="3"/>
      <c r="R35" s="3"/>
      <c r="S35" s="3"/>
      <c r="T35" s="50"/>
      <c r="U35" s="50"/>
      <c r="V35" s="50"/>
      <c r="W35" s="50"/>
      <c r="X35" s="50"/>
      <c r="Y35" s="50"/>
      <c r="Z35" s="50"/>
      <c r="AA35" s="50"/>
      <c r="AB35" s="50"/>
      <c r="AC35" s="50"/>
      <c r="AD35" s="50"/>
      <c r="AE35" s="50"/>
      <c r="AF35" s="50"/>
      <c r="AG35" s="50"/>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DC35" s="1"/>
      <c r="DD35" s="12"/>
    </row>
    <row r="36" spans="1:109" s="5" customFormat="1" ht="18.75" customHeight="1" x14ac:dyDescent="0.4">
      <c r="A36" s="3"/>
      <c r="B36" s="3"/>
      <c r="C36" s="3"/>
      <c r="D36" s="3"/>
      <c r="E36" s="3"/>
      <c r="F36" s="3"/>
      <c r="G36" s="3"/>
      <c r="H36" s="3"/>
      <c r="I36" s="3"/>
      <c r="J36" s="3"/>
      <c r="K36" s="3"/>
      <c r="L36" s="3"/>
      <c r="M36" s="3"/>
      <c r="N36" s="3"/>
      <c r="O36" s="3"/>
      <c r="P36" s="3"/>
      <c r="Q36" s="3"/>
      <c r="R36" s="3"/>
      <c r="S36" s="3"/>
      <c r="T36" s="50"/>
      <c r="U36" s="50"/>
      <c r="V36" s="50"/>
      <c r="W36" s="50"/>
      <c r="X36" s="50"/>
      <c r="Y36" s="50"/>
      <c r="Z36" s="50"/>
      <c r="AA36" s="50">
        <v>24215</v>
      </c>
      <c r="AB36" s="50"/>
      <c r="AC36" s="50"/>
      <c r="AD36" s="50"/>
      <c r="AE36" s="50"/>
      <c r="AF36" s="50"/>
      <c r="AG36" s="50"/>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DC36" s="1"/>
      <c r="DD36" s="12"/>
    </row>
    <row r="37" spans="1:109" s="5" customFormat="1" ht="18.75" customHeight="1" x14ac:dyDescent="0.4">
      <c r="A37" s="3"/>
      <c r="B37" s="3"/>
      <c r="C37" s="3"/>
      <c r="D37" s="3"/>
      <c r="E37" s="3"/>
      <c r="F37" s="3"/>
      <c r="G37" s="3"/>
      <c r="H37" s="3"/>
      <c r="I37" s="3"/>
      <c r="J37" s="3"/>
      <c r="K37" s="3"/>
      <c r="L37" s="3"/>
      <c r="M37" s="3"/>
      <c r="N37" s="3"/>
      <c r="O37" s="3"/>
      <c r="P37" s="3"/>
      <c r="Q37" s="3"/>
      <c r="R37" s="3"/>
      <c r="S37" s="3"/>
      <c r="T37" s="50"/>
      <c r="U37" s="50"/>
      <c r="V37" s="50"/>
      <c r="W37" s="50"/>
      <c r="X37" s="50"/>
      <c r="Y37" s="50"/>
      <c r="Z37" s="50"/>
      <c r="AA37" s="50"/>
      <c r="AB37" s="50"/>
      <c r="AC37" s="50"/>
      <c r="AD37" s="50"/>
      <c r="AE37" s="50"/>
      <c r="AF37" s="50"/>
      <c r="AG37" s="50"/>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DC37" s="1"/>
      <c r="DD37" s="12"/>
    </row>
    <row r="38" spans="1:109" s="5" customFormat="1" ht="18.75" customHeight="1" x14ac:dyDescent="0.4">
      <c r="A38" s="3"/>
      <c r="B38" s="3"/>
      <c r="C38" s="3"/>
      <c r="D38" s="3"/>
      <c r="E38" s="3"/>
      <c r="F38" s="3"/>
      <c r="G38" s="3"/>
      <c r="H38" s="3"/>
      <c r="I38" s="3"/>
      <c r="J38" s="3"/>
      <c r="K38" s="3"/>
      <c r="L38" s="3"/>
      <c r="M38" s="3"/>
      <c r="N38" s="3"/>
      <c r="O38" s="3"/>
      <c r="P38" s="3"/>
      <c r="Q38" s="3"/>
      <c r="R38" s="3"/>
      <c r="S38" s="3"/>
      <c r="T38" s="50"/>
      <c r="U38" s="50"/>
      <c r="V38" s="50"/>
      <c r="W38" s="50"/>
      <c r="X38" s="50"/>
      <c r="Y38" s="50"/>
      <c r="Z38" s="50"/>
      <c r="AA38" s="50"/>
      <c r="AB38" s="50"/>
      <c r="AC38" s="50"/>
      <c r="AD38" s="50"/>
      <c r="AE38" s="50"/>
      <c r="AF38" s="50"/>
      <c r="AG38" s="50"/>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DC38" s="1"/>
      <c r="DD38" s="12"/>
    </row>
    <row r="39" spans="1:109" s="5" customFormat="1" ht="18.75" customHeight="1" x14ac:dyDescent="0.4">
      <c r="A39" s="3"/>
      <c r="B39" s="3"/>
      <c r="C39" s="3"/>
      <c r="D39" s="3"/>
      <c r="E39" s="3"/>
      <c r="F39" s="3"/>
      <c r="G39" s="3"/>
      <c r="H39" s="3"/>
      <c r="I39" s="3"/>
      <c r="J39" s="3"/>
      <c r="K39" s="3"/>
      <c r="L39" s="3"/>
      <c r="M39" s="3"/>
      <c r="N39" s="3"/>
      <c r="O39" s="3"/>
      <c r="P39" s="3"/>
      <c r="Q39" s="3"/>
      <c r="R39" s="3"/>
      <c r="S39" s="3"/>
      <c r="T39" s="50"/>
      <c r="U39" s="50"/>
      <c r="V39" s="50"/>
      <c r="W39" s="50"/>
      <c r="X39" s="50"/>
      <c r="Y39" s="50"/>
      <c r="Z39" s="50"/>
      <c r="AA39" s="50"/>
      <c r="AB39" s="50"/>
      <c r="AC39" s="50"/>
      <c r="AD39" s="50"/>
      <c r="AE39" s="50"/>
      <c r="AF39" s="50"/>
      <c r="AG39" s="50"/>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DC39" s="1"/>
      <c r="DD39" s="12"/>
    </row>
    <row r="40" spans="1:109" s="5" customFormat="1" ht="18.75" customHeight="1" x14ac:dyDescent="0.4">
      <c r="A40" s="3"/>
      <c r="B40" s="3"/>
      <c r="C40" s="3"/>
      <c r="D40" s="3"/>
      <c r="E40" s="3"/>
      <c r="F40" s="3"/>
      <c r="G40" s="3"/>
      <c r="H40" s="3"/>
      <c r="I40" s="3"/>
      <c r="J40" s="3"/>
      <c r="K40" s="3"/>
      <c r="L40" s="3"/>
      <c r="M40" s="3"/>
      <c r="N40" s="3"/>
      <c r="O40" s="3"/>
      <c r="P40" s="3"/>
      <c r="Q40" s="3"/>
      <c r="R40" s="3"/>
      <c r="S40" s="3"/>
      <c r="T40" s="50"/>
      <c r="U40" s="50"/>
      <c r="V40" s="50"/>
      <c r="W40" s="50"/>
      <c r="X40" s="50"/>
      <c r="Y40" s="50"/>
      <c r="Z40" s="50"/>
      <c r="AA40" s="50"/>
      <c r="AB40" s="50"/>
      <c r="AC40" s="50"/>
      <c r="AD40" s="50"/>
      <c r="AE40" s="50"/>
      <c r="AF40" s="50"/>
      <c r="AG40" s="50"/>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DC40" s="1"/>
      <c r="DD40" s="12"/>
    </row>
    <row r="41" spans="1:109" s="5" customFormat="1" ht="18.75" customHeight="1" x14ac:dyDescent="0.4">
      <c r="A41" s="3"/>
      <c r="B41" s="3"/>
      <c r="C41" s="3"/>
      <c r="D41" s="3"/>
      <c r="E41" s="3"/>
      <c r="F41" s="3"/>
      <c r="G41" s="3"/>
      <c r="H41" s="3"/>
      <c r="I41" s="3"/>
      <c r="J41" s="3"/>
      <c r="K41" s="3"/>
      <c r="L41" s="3"/>
      <c r="M41" s="3"/>
      <c r="N41" s="3"/>
      <c r="O41" s="3"/>
      <c r="P41" s="3"/>
      <c r="Q41" s="3"/>
      <c r="R41" s="3"/>
      <c r="S41" s="3"/>
      <c r="T41" s="50"/>
      <c r="U41" s="50"/>
      <c r="V41" s="50"/>
      <c r="W41" s="50"/>
      <c r="X41" s="50"/>
      <c r="Y41" s="50"/>
      <c r="Z41" s="50"/>
      <c r="AA41" s="50"/>
      <c r="AB41" s="50"/>
      <c r="AC41" s="50"/>
      <c r="AD41" s="50"/>
      <c r="AE41" s="50"/>
      <c r="AF41" s="50"/>
      <c r="AG41" s="50"/>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DC41" s="1"/>
      <c r="DD41" s="12"/>
    </row>
    <row r="42" spans="1:109" s="5" customFormat="1" ht="18.75" customHeight="1" x14ac:dyDescent="0.4">
      <c r="A42" s="3"/>
      <c r="B42" s="3"/>
      <c r="C42" s="3"/>
      <c r="D42" s="3"/>
      <c r="E42" s="3"/>
      <c r="F42" s="3"/>
      <c r="G42" s="3"/>
      <c r="H42" s="3"/>
      <c r="I42" s="3"/>
      <c r="J42" s="3"/>
      <c r="K42" s="3"/>
      <c r="L42" s="3"/>
      <c r="M42" s="3"/>
      <c r="N42" s="3"/>
      <c r="O42" s="3"/>
      <c r="P42" s="3"/>
      <c r="Q42" s="3"/>
      <c r="R42" s="3"/>
      <c r="S42" s="3"/>
      <c r="T42" s="50"/>
      <c r="U42" s="50"/>
      <c r="V42" s="50"/>
      <c r="W42" s="50"/>
      <c r="X42" s="50"/>
      <c r="Y42" s="50"/>
      <c r="Z42" s="50"/>
      <c r="AA42" s="50"/>
      <c r="AB42" s="50"/>
      <c r="AC42" s="50"/>
      <c r="AD42" s="50"/>
      <c r="AE42" s="50"/>
      <c r="AF42" s="50"/>
      <c r="AG42" s="50"/>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DC42" s="1"/>
      <c r="DD42" s="12"/>
    </row>
    <row r="43" spans="1:109" s="5" customFormat="1" ht="18.75" customHeight="1" x14ac:dyDescent="0.4">
      <c r="A43" s="3"/>
      <c r="B43" s="3"/>
      <c r="C43" s="3"/>
      <c r="D43" s="3"/>
      <c r="E43" s="3"/>
      <c r="F43" s="3"/>
      <c r="G43" s="3"/>
      <c r="H43" s="3"/>
      <c r="I43" s="3"/>
      <c r="J43" s="3"/>
      <c r="K43" s="3"/>
      <c r="L43" s="3"/>
      <c r="M43" s="3"/>
      <c r="N43" s="3"/>
      <c r="O43" s="3"/>
      <c r="P43" s="3"/>
      <c r="Q43" s="3"/>
      <c r="R43" s="3"/>
      <c r="S43" s="3"/>
      <c r="T43" s="50"/>
      <c r="U43" s="50"/>
      <c r="V43" s="50"/>
      <c r="W43" s="50"/>
      <c r="X43" s="50"/>
      <c r="Y43" s="50"/>
      <c r="Z43" s="50"/>
      <c r="AA43" s="50"/>
      <c r="AB43" s="50"/>
      <c r="AC43" s="50"/>
      <c r="AD43" s="50"/>
      <c r="AE43" s="50"/>
      <c r="AF43" s="50"/>
      <c r="AG43" s="50"/>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DC43" s="1"/>
      <c r="DD43" s="12"/>
    </row>
    <row r="44" spans="1:109" s="5" customFormat="1" ht="18.75" customHeight="1" x14ac:dyDescent="0.4">
      <c r="A44" s="3"/>
      <c r="B44" s="3"/>
      <c r="C44" s="3"/>
      <c r="D44" s="3"/>
      <c r="E44" s="3"/>
      <c r="F44" s="3"/>
      <c r="G44" s="3"/>
      <c r="H44" s="3"/>
      <c r="I44" s="3"/>
      <c r="J44" s="3"/>
      <c r="K44" s="3"/>
      <c r="L44" s="3"/>
      <c r="M44" s="3"/>
      <c r="N44" s="3"/>
      <c r="O44" s="3"/>
      <c r="P44" s="3"/>
      <c r="Q44" s="3"/>
      <c r="R44" s="3"/>
      <c r="S44" s="3"/>
      <c r="T44" s="50"/>
      <c r="U44" s="50"/>
      <c r="V44" s="50"/>
      <c r="W44" s="50"/>
      <c r="X44" s="50"/>
      <c r="Y44" s="50"/>
      <c r="Z44" s="50"/>
      <c r="AA44" s="50"/>
      <c r="AB44" s="50"/>
      <c r="AC44" s="50"/>
      <c r="AD44" s="50"/>
      <c r="AE44" s="50"/>
      <c r="AF44" s="50"/>
      <c r="AG44" s="50"/>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DC44" s="1"/>
      <c r="DD44" s="12"/>
    </row>
    <row r="45" spans="1:109" s="5" customFormat="1" ht="18.75" customHeight="1" x14ac:dyDescent="0.4">
      <c r="A45" s="3"/>
      <c r="B45" s="3"/>
      <c r="C45" s="3"/>
      <c r="D45" s="3"/>
      <c r="E45" s="3"/>
      <c r="F45" s="3"/>
      <c r="G45" s="3"/>
      <c r="H45" s="3"/>
      <c r="I45" s="3"/>
      <c r="J45" s="3"/>
      <c r="K45" s="3"/>
      <c r="L45" s="3"/>
      <c r="M45" s="3"/>
      <c r="N45" s="3"/>
      <c r="O45" s="3"/>
      <c r="P45" s="3"/>
      <c r="Q45" s="3"/>
      <c r="R45" s="3"/>
      <c r="S45" s="3"/>
      <c r="T45" s="50"/>
      <c r="U45" s="50"/>
      <c r="V45" s="50"/>
      <c r="W45" s="50"/>
      <c r="X45" s="50"/>
      <c r="Y45" s="50"/>
      <c r="Z45" s="50"/>
      <c r="AA45" s="50"/>
      <c r="AB45" s="50"/>
      <c r="AC45" s="50"/>
      <c r="AD45" s="50"/>
      <c r="AE45" s="50"/>
      <c r="AF45" s="50"/>
      <c r="AG45" s="50"/>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DC45" s="1"/>
      <c r="DD45" s="12"/>
    </row>
    <row r="46" spans="1:109" s="5" customFormat="1" ht="18.75" customHeight="1" x14ac:dyDescent="0.4">
      <c r="A46" s="3"/>
      <c r="B46" s="3"/>
      <c r="C46" s="3"/>
      <c r="D46" s="3"/>
      <c r="E46" s="3"/>
      <c r="F46" s="3"/>
      <c r="G46" s="3"/>
      <c r="H46" s="3"/>
      <c r="I46" s="3"/>
      <c r="J46" s="3"/>
      <c r="K46" s="3"/>
      <c r="L46" s="3"/>
      <c r="M46" s="3"/>
      <c r="N46" s="3"/>
      <c r="O46" s="3"/>
      <c r="P46" s="3"/>
      <c r="Q46" s="3"/>
      <c r="R46" s="3"/>
      <c r="S46" s="3"/>
      <c r="T46" s="50"/>
      <c r="U46" s="50"/>
      <c r="V46" s="50"/>
      <c r="W46" s="50"/>
      <c r="X46" s="50"/>
      <c r="Y46" s="50"/>
      <c r="Z46" s="50"/>
      <c r="AA46" s="50"/>
      <c r="AB46" s="50"/>
      <c r="AC46" s="50"/>
      <c r="AD46" s="50"/>
      <c r="AE46" s="50"/>
      <c r="AF46" s="50"/>
      <c r="AG46" s="50"/>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DC46" s="1"/>
      <c r="DD46" s="12"/>
    </row>
    <row r="47" spans="1:109" s="5" customFormat="1" ht="12" customHeight="1" x14ac:dyDescent="0.4">
      <c r="A47" s="3"/>
      <c r="B47" s="3"/>
      <c r="C47" s="3"/>
      <c r="D47" s="3"/>
      <c r="E47" s="3"/>
      <c r="F47" s="3"/>
      <c r="G47" s="3"/>
      <c r="H47" s="3"/>
      <c r="I47" s="3"/>
      <c r="J47" s="3"/>
      <c r="K47" s="3"/>
      <c r="L47" s="3"/>
      <c r="M47" s="3"/>
      <c r="N47" s="3"/>
      <c r="O47" s="3"/>
      <c r="P47" s="3"/>
      <c r="Q47" s="3"/>
      <c r="R47" s="3"/>
      <c r="S47" s="3"/>
      <c r="T47" s="50"/>
      <c r="U47" s="50"/>
      <c r="V47" s="50"/>
      <c r="W47" s="50"/>
      <c r="X47" s="50"/>
      <c r="Y47" s="50"/>
      <c r="Z47" s="50"/>
      <c r="AA47" s="50"/>
      <c r="AB47" s="50"/>
      <c r="AC47" s="50"/>
      <c r="AD47" s="50"/>
      <c r="AE47" s="50"/>
      <c r="AF47" s="50"/>
      <c r="AG47" s="50"/>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DC47" s="1"/>
      <c r="DD47" s="12"/>
    </row>
    <row r="48" spans="1:109" s="5" customFormat="1" ht="12" customHeight="1" x14ac:dyDescent="0.4">
      <c r="A48" s="3"/>
      <c r="B48" s="3"/>
      <c r="C48" s="3"/>
      <c r="D48" s="3"/>
      <c r="E48" s="3"/>
      <c r="F48" s="3"/>
      <c r="G48" s="3"/>
      <c r="H48" s="3"/>
      <c r="I48" s="3"/>
      <c r="J48" s="3"/>
      <c r="K48" s="3"/>
      <c r="L48" s="3"/>
      <c r="M48" s="3"/>
      <c r="N48" s="3"/>
      <c r="O48" s="3"/>
      <c r="P48" s="3"/>
      <c r="Q48" s="3"/>
      <c r="R48" s="3"/>
      <c r="S48" s="3"/>
      <c r="T48" s="50"/>
      <c r="U48" s="50"/>
      <c r="V48" s="50"/>
      <c r="W48" s="50"/>
      <c r="X48" s="50"/>
      <c r="Y48" s="50"/>
      <c r="Z48" s="50"/>
      <c r="AA48" s="50"/>
      <c r="AB48" s="50"/>
      <c r="AC48" s="50"/>
      <c r="AD48" s="50"/>
      <c r="AE48" s="50"/>
      <c r="AF48" s="50"/>
      <c r="AG48" s="50"/>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DC48" s="1"/>
      <c r="DD48" s="12"/>
      <c r="DE48" s="12"/>
    </row>
    <row r="49" spans="1:109" s="5" customFormat="1" ht="12" customHeight="1" x14ac:dyDescent="0.4">
      <c r="A49" s="3"/>
      <c r="B49" s="3"/>
      <c r="C49" s="3"/>
      <c r="D49" s="3"/>
      <c r="E49" s="3"/>
      <c r="F49" s="3"/>
      <c r="G49" s="3"/>
      <c r="H49" s="3"/>
      <c r="I49" s="3"/>
      <c r="J49" s="3"/>
      <c r="K49" s="3"/>
      <c r="L49" s="3"/>
      <c r="M49" s="3"/>
      <c r="N49" s="3"/>
      <c r="O49" s="3"/>
      <c r="P49" s="3"/>
      <c r="Q49" s="3"/>
      <c r="R49" s="3"/>
      <c r="S49" s="3"/>
      <c r="T49" s="50"/>
      <c r="U49" s="50"/>
      <c r="V49" s="50"/>
      <c r="W49" s="50"/>
      <c r="X49" s="50"/>
      <c r="Y49" s="50"/>
      <c r="Z49" s="50"/>
      <c r="AA49" s="50"/>
      <c r="AB49" s="50"/>
      <c r="AC49" s="50"/>
      <c r="AD49" s="50"/>
      <c r="AE49" s="50"/>
      <c r="AF49" s="50"/>
      <c r="AG49" s="50"/>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DC49" s="1"/>
      <c r="DD49" s="12"/>
      <c r="DE49" s="12"/>
    </row>
    <row r="50" spans="1:109" s="5" customFormat="1" ht="12" customHeight="1" x14ac:dyDescent="0.4">
      <c r="A50" s="3"/>
      <c r="B50" s="3"/>
      <c r="C50" s="3"/>
      <c r="D50" s="3"/>
      <c r="E50" s="3"/>
      <c r="F50" s="3"/>
      <c r="G50" s="3"/>
      <c r="H50" s="3"/>
      <c r="I50" s="3"/>
      <c r="J50" s="3"/>
      <c r="K50" s="3"/>
      <c r="L50" s="3"/>
      <c r="M50" s="3"/>
      <c r="N50" s="3"/>
      <c r="O50" s="3"/>
      <c r="P50" s="3"/>
      <c r="Q50" s="3"/>
      <c r="R50" s="3"/>
      <c r="S50" s="3"/>
      <c r="T50" s="50"/>
      <c r="U50" s="50"/>
      <c r="V50" s="50"/>
      <c r="W50" s="50"/>
      <c r="X50" s="50"/>
      <c r="Y50" s="50"/>
      <c r="Z50" s="50"/>
      <c r="AA50" s="50"/>
      <c r="AB50" s="50"/>
      <c r="AC50" s="50"/>
      <c r="AD50" s="50"/>
      <c r="AE50" s="50"/>
      <c r="AF50" s="50"/>
      <c r="AG50" s="50"/>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DC50" s="1"/>
      <c r="DD50" s="12"/>
      <c r="DE50" s="12"/>
    </row>
    <row r="51" spans="1:109" s="5" customFormat="1" ht="12" customHeight="1" x14ac:dyDescent="0.4">
      <c r="A51" s="3"/>
      <c r="B51" s="3"/>
      <c r="C51" s="3"/>
      <c r="D51" s="3"/>
      <c r="E51" s="3"/>
      <c r="F51" s="3"/>
      <c r="G51" s="3"/>
      <c r="H51" s="3"/>
      <c r="I51" s="3"/>
      <c r="J51" s="3"/>
      <c r="K51" s="3"/>
      <c r="L51" s="3"/>
      <c r="M51" s="3"/>
      <c r="N51" s="3"/>
      <c r="O51" s="3"/>
      <c r="P51" s="3"/>
      <c r="Q51" s="3"/>
      <c r="R51" s="3"/>
      <c r="S51" s="3"/>
      <c r="T51" s="50"/>
      <c r="U51" s="50"/>
      <c r="V51" s="50"/>
      <c r="W51" s="50"/>
      <c r="X51" s="50"/>
      <c r="Y51" s="50"/>
      <c r="Z51" s="50"/>
      <c r="AA51" s="50"/>
      <c r="AB51" s="50"/>
      <c r="AC51" s="50"/>
      <c r="AD51" s="50"/>
      <c r="AE51" s="50"/>
      <c r="AF51" s="50"/>
      <c r="AG51" s="50"/>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DC51" s="1"/>
      <c r="DD51" s="12"/>
      <c r="DE51" s="12"/>
    </row>
    <row r="52" spans="1:109" s="5" customFormat="1" ht="12" customHeight="1" x14ac:dyDescent="0.4">
      <c r="A52" s="3"/>
      <c r="B52" s="3"/>
      <c r="C52" s="3"/>
      <c r="D52" s="3"/>
      <c r="E52" s="3"/>
      <c r="F52" s="3"/>
      <c r="G52" s="3"/>
      <c r="H52" s="3"/>
      <c r="I52" s="3"/>
      <c r="J52" s="3"/>
      <c r="K52" s="3"/>
      <c r="L52" s="3"/>
      <c r="M52" s="3"/>
      <c r="N52" s="3"/>
      <c r="O52" s="3"/>
      <c r="P52" s="3"/>
      <c r="Q52" s="3"/>
      <c r="R52" s="3"/>
      <c r="S52" s="3"/>
      <c r="T52" s="50"/>
      <c r="U52" s="50"/>
      <c r="V52" s="50"/>
      <c r="W52" s="50"/>
      <c r="X52" s="50"/>
      <c r="Y52" s="50"/>
      <c r="Z52" s="50"/>
      <c r="AA52" s="50"/>
      <c r="AB52" s="50"/>
      <c r="AC52" s="50"/>
      <c r="AD52" s="50"/>
      <c r="AE52" s="50"/>
      <c r="AF52" s="50"/>
      <c r="AG52" s="50"/>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DC52" s="1"/>
      <c r="DD52" s="12"/>
      <c r="DE52" s="12"/>
    </row>
    <row r="53" spans="1:109" s="5" customFormat="1" ht="12" customHeight="1" x14ac:dyDescent="0.4">
      <c r="A53" s="3"/>
      <c r="B53" s="3"/>
      <c r="C53" s="3"/>
      <c r="D53" s="3"/>
      <c r="E53" s="3"/>
      <c r="F53" s="3"/>
      <c r="G53" s="3"/>
      <c r="H53" s="3"/>
      <c r="I53" s="3"/>
      <c r="J53" s="3"/>
      <c r="K53" s="3"/>
      <c r="L53" s="3"/>
      <c r="M53" s="3"/>
      <c r="N53" s="3"/>
      <c r="O53" s="3"/>
      <c r="P53" s="3"/>
      <c r="Q53" s="3"/>
      <c r="R53" s="3"/>
      <c r="S53" s="3"/>
      <c r="T53" s="50"/>
      <c r="U53" s="50"/>
      <c r="V53" s="50"/>
      <c r="W53" s="50"/>
      <c r="X53" s="50"/>
      <c r="Y53" s="50"/>
      <c r="Z53" s="50"/>
      <c r="AA53" s="50"/>
      <c r="AB53" s="50"/>
      <c r="AC53" s="50"/>
      <c r="AD53" s="50"/>
      <c r="AE53" s="50"/>
      <c r="AF53" s="50"/>
      <c r="AG53" s="50"/>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DC53" s="1"/>
      <c r="DD53" s="12"/>
      <c r="DE53" s="12"/>
    </row>
    <row r="54" spans="1:109" s="5" customFormat="1" ht="12" customHeight="1" x14ac:dyDescent="0.4">
      <c r="A54" s="3"/>
      <c r="B54" s="3"/>
      <c r="C54" s="3"/>
      <c r="D54" s="3"/>
      <c r="E54" s="3"/>
      <c r="F54" s="3"/>
      <c r="G54" s="3"/>
      <c r="H54" s="3"/>
      <c r="I54" s="3"/>
      <c r="J54" s="3"/>
      <c r="K54" s="3"/>
      <c r="L54" s="3"/>
      <c r="M54" s="3"/>
      <c r="N54" s="3"/>
      <c r="O54" s="3"/>
      <c r="P54" s="3"/>
      <c r="Q54" s="3"/>
      <c r="R54" s="3"/>
      <c r="S54" s="3"/>
      <c r="T54" s="50"/>
      <c r="U54" s="50"/>
      <c r="V54" s="50"/>
      <c r="W54" s="50"/>
      <c r="X54" s="50"/>
      <c r="Y54" s="50"/>
      <c r="Z54" s="50"/>
      <c r="AA54" s="50"/>
      <c r="AB54" s="50"/>
      <c r="AC54" s="50"/>
      <c r="AD54" s="50"/>
      <c r="AE54" s="50"/>
      <c r="AF54" s="50"/>
      <c r="AG54" s="50"/>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DC54" s="1"/>
      <c r="DD54" s="12"/>
      <c r="DE54" s="12"/>
    </row>
  </sheetData>
  <dataConsolidate link="1"/>
  <conditionalFormatting sqref="H25:K25 AA3:AD26">
    <cfRule type="cellIs" dxfId="926" priority="1" operator="between">
      <formula>0.4</formula>
      <formula>0.6</formula>
    </cfRule>
    <cfRule type="cellIs" dxfId="925" priority="2" operator="greaterThan">
      <formula>0.8</formula>
    </cfRule>
    <cfRule type="cellIs" dxfId="924" priority="3" operator="between">
      <formula>0.6</formula>
      <formula>0.8</formula>
    </cfRule>
    <cfRule type="cellIs" dxfId="923" priority="4" operator="between">
      <formula>0.2</formula>
      <formula>0.4</formula>
    </cfRule>
    <cfRule type="cellIs" dxfId="922" priority="5" operator="between">
      <formula>0</formula>
      <formula>0.2</formula>
    </cfRule>
  </conditionalFormatting>
  <pageMargins left="0.19685039370078741" right="0.19685039370078741" top="0.78740157480314965" bottom="0.74803149606299213" header="0.11811023622047245" footer="0.31496062992125984"/>
  <pageSetup paperSize="9" scale="93" fitToHeight="0" orientation="portrait" r:id="rId1"/>
  <headerFooter scaleWithDoc="0">
    <oddHeader>&amp;L&amp;18&amp;G&amp;C&amp;18Kachin  IDPs camps
Situation JUly 2013&amp;R&amp;G</oddHeader>
  </headerFooter>
  <rowBreaks count="1" manualBreakCount="1">
    <brk id="22" max="16383" man="1"/>
  </rowBreaks>
  <drawing r:id="rId2"/>
  <legacyDrawing r:id="rId3"/>
  <legacyDrawingHF r:id="rId4"/>
  <controls>
    <mc:AlternateContent xmlns:mc="http://schemas.openxmlformats.org/markup-compatibility/2006">
      <mc:Choice Requires="x14">
        <control shapeId="64513" r:id="rId5" name="CommandButton1">
          <controlPr defaultSize="0" autoLine="0" r:id="rId6">
            <anchor moveWithCells="1">
              <from>
                <xdr:col>15</xdr:col>
                <xdr:colOff>0</xdr:colOff>
                <xdr:row>0</xdr:row>
                <xdr:rowOff>137160</xdr:rowOff>
              </from>
              <to>
                <xdr:col>18</xdr:col>
                <xdr:colOff>1386840</xdr:colOff>
                <xdr:row>5</xdr:row>
                <xdr:rowOff>60960</xdr:rowOff>
              </to>
            </anchor>
          </controlPr>
        </control>
      </mc:Choice>
      <mc:Fallback>
        <control shapeId="64513" r:id="rId5" name="CommandButton1"/>
      </mc:Fallback>
    </mc:AlternateContent>
    <mc:AlternateContent xmlns:mc="http://schemas.openxmlformats.org/markup-compatibility/2006">
      <mc:Choice Requires="x14">
        <control shapeId="64514" r:id="rId7" name="Label 2">
          <controlPr defaultSize="0" autoFill="0" autoLine="0" autoPict="0">
            <anchor moveWithCells="1" sizeWithCells="1">
              <from>
                <xdr:col>30</xdr:col>
                <xdr:colOff>236220</xdr:colOff>
                <xdr:row>44</xdr:row>
                <xdr:rowOff>160020</xdr:rowOff>
              </from>
              <to>
                <xdr:col>31</xdr:col>
                <xdr:colOff>0</xdr:colOff>
                <xdr:row>45</xdr:row>
                <xdr:rowOff>152400</xdr:rowOff>
              </to>
            </anchor>
          </controlPr>
        </control>
      </mc:Choice>
    </mc:AlternateContent>
    <mc:AlternateContent xmlns:mc="http://schemas.openxmlformats.org/markup-compatibility/2006">
      <mc:Choice Requires="x14">
        <control shapeId="64515" r:id="rId8" name="Label 3">
          <controlPr defaultSize="0" autoFill="0" autoLine="0" autoPict="0">
            <anchor moveWithCells="1" sizeWithCells="1">
              <from>
                <xdr:col>31</xdr:col>
                <xdr:colOff>236220</xdr:colOff>
                <xdr:row>44</xdr:row>
                <xdr:rowOff>152400</xdr:rowOff>
              </from>
              <to>
                <xdr:col>31</xdr:col>
                <xdr:colOff>762000</xdr:colOff>
                <xdr:row>45</xdr:row>
                <xdr:rowOff>144780</xdr:rowOff>
              </to>
            </anchor>
          </controlPr>
        </control>
      </mc:Choice>
    </mc:AlternateContent>
    <mc:AlternateContent xmlns:mc="http://schemas.openxmlformats.org/markup-compatibility/2006">
      <mc:Choice Requires="x14">
        <control shapeId="64516" r:id="rId9" name="Label 4">
          <controlPr defaultSize="0" autoFill="0" autoLine="0" autoPict="0" altText="25,000">
            <anchor moveWithCells="1" sizeWithCells="1">
              <from>
                <xdr:col>32</xdr:col>
                <xdr:colOff>495300</xdr:colOff>
                <xdr:row>44</xdr:row>
                <xdr:rowOff>182880</xdr:rowOff>
              </from>
              <to>
                <xdr:col>33</xdr:col>
                <xdr:colOff>144780</xdr:colOff>
                <xdr:row>45</xdr:row>
                <xdr:rowOff>160020</xdr:rowOff>
              </to>
            </anchor>
          </controlPr>
        </control>
      </mc:Choice>
    </mc:AlternateContent>
    <mc:AlternateContent xmlns:mc="http://schemas.openxmlformats.org/markup-compatibility/2006">
      <mc:Choice Requires="x14">
        <control shapeId="64518" r:id="rId10" name="Label 6">
          <controlPr defaultSize="0" autoFill="0" autoLine="0" autoPict="0">
            <anchor moveWithCells="1" sizeWithCells="1">
              <from>
                <xdr:col>31</xdr:col>
                <xdr:colOff>76200</xdr:colOff>
                <xdr:row>39</xdr:row>
                <xdr:rowOff>198120</xdr:rowOff>
              </from>
              <to>
                <xdr:col>32</xdr:col>
                <xdr:colOff>609600</xdr:colOff>
                <xdr:row>40</xdr:row>
                <xdr:rowOff>190500</xdr:rowOff>
              </to>
            </anchor>
          </controlPr>
        </control>
      </mc:Choice>
    </mc:AlternateContent>
  </controls>
  <tableParts count="1">
    <tablePart r:id="rId1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G136"/>
  <sheetViews>
    <sheetView workbookViewId="0">
      <selection activeCell="D3" sqref="D3"/>
    </sheetView>
  </sheetViews>
  <sheetFormatPr defaultRowHeight="14.4" x14ac:dyDescent="0.3"/>
  <cols>
    <col min="1" max="1" width="47.33203125" customWidth="1"/>
    <col min="2" max="2" width="16.109375" bestFit="1" customWidth="1"/>
    <col min="3" max="4" width="12" bestFit="1" customWidth="1"/>
    <col min="5" max="5" width="19.6640625" bestFit="1" customWidth="1"/>
    <col min="6" max="6" width="10.109375" bestFit="1" customWidth="1"/>
    <col min="7" max="9" width="9.33203125" bestFit="1" customWidth="1"/>
  </cols>
  <sheetData>
    <row r="1" spans="1:7" x14ac:dyDescent="0.3">
      <c r="A1" s="137" t="s">
        <v>458</v>
      </c>
      <c r="B1" s="301" t="s">
        <v>775</v>
      </c>
    </row>
    <row r="3" spans="1:7" x14ac:dyDescent="0.3">
      <c r="A3" s="137" t="s">
        <v>507</v>
      </c>
      <c r="B3" s="137" t="s">
        <v>942</v>
      </c>
      <c r="C3" s="137" t="s">
        <v>1</v>
      </c>
      <c r="D3" s="137" t="s">
        <v>457</v>
      </c>
      <c r="E3" s="137" t="s">
        <v>943</v>
      </c>
      <c r="F3" s="301" t="s">
        <v>944</v>
      </c>
      <c r="G3" s="301" t="s">
        <v>788</v>
      </c>
    </row>
    <row r="4" spans="1:7" x14ac:dyDescent="0.3">
      <c r="A4" s="301" t="s">
        <v>128</v>
      </c>
      <c r="B4" s="301" t="s">
        <v>127</v>
      </c>
      <c r="C4" s="301">
        <v>96.359549999999999</v>
      </c>
      <c r="D4" s="301" t="s">
        <v>464</v>
      </c>
      <c r="E4" s="301" t="s">
        <v>787</v>
      </c>
      <c r="F4" s="133">
        <v>0</v>
      </c>
      <c r="G4" s="133">
        <v>0</v>
      </c>
    </row>
    <row r="5" spans="1:7" x14ac:dyDescent="0.3">
      <c r="A5" s="301" t="s">
        <v>62</v>
      </c>
      <c r="B5" s="301" t="s">
        <v>61</v>
      </c>
      <c r="C5" s="301">
        <v>96.355270000000004</v>
      </c>
      <c r="D5" s="301" t="s">
        <v>464</v>
      </c>
      <c r="E5" s="301" t="s">
        <v>424</v>
      </c>
      <c r="F5" s="133"/>
      <c r="G5" s="133"/>
    </row>
    <row r="6" spans="1:7" x14ac:dyDescent="0.3">
      <c r="A6" s="301" t="s">
        <v>39</v>
      </c>
      <c r="B6" s="301" t="s">
        <v>38</v>
      </c>
      <c r="C6" s="301" t="s">
        <v>787</v>
      </c>
      <c r="D6" s="301" t="s">
        <v>464</v>
      </c>
      <c r="E6" s="301" t="s">
        <v>787</v>
      </c>
      <c r="F6" s="133"/>
      <c r="G6" s="133"/>
    </row>
    <row r="7" spans="1:7" x14ac:dyDescent="0.3">
      <c r="A7" s="301" t="s">
        <v>48</v>
      </c>
      <c r="B7" s="301" t="s">
        <v>47</v>
      </c>
      <c r="C7" s="301">
        <v>96.339870000000005</v>
      </c>
      <c r="D7" s="301" t="s">
        <v>464</v>
      </c>
      <c r="E7" s="301" t="s">
        <v>787</v>
      </c>
      <c r="F7" s="133"/>
      <c r="G7" s="133"/>
    </row>
    <row r="8" spans="1:7" x14ac:dyDescent="0.3">
      <c r="A8" s="301" t="s">
        <v>50</v>
      </c>
      <c r="B8" s="301" t="s">
        <v>49</v>
      </c>
      <c r="C8" s="301" t="s">
        <v>787</v>
      </c>
      <c r="D8" s="301" t="s">
        <v>464</v>
      </c>
      <c r="E8" s="301" t="s">
        <v>787</v>
      </c>
      <c r="F8" s="133"/>
      <c r="G8" s="133"/>
    </row>
    <row r="9" spans="1:7" x14ac:dyDescent="0.3">
      <c r="A9" s="301" t="s">
        <v>808</v>
      </c>
      <c r="B9" s="301" t="s">
        <v>806</v>
      </c>
      <c r="C9" s="301" t="s">
        <v>787</v>
      </c>
      <c r="D9" s="301" t="s">
        <v>464</v>
      </c>
      <c r="E9" s="301" t="s">
        <v>787</v>
      </c>
      <c r="F9" s="133">
        <v>0</v>
      </c>
      <c r="G9" s="133">
        <v>0</v>
      </c>
    </row>
    <row r="10" spans="1:7" x14ac:dyDescent="0.3">
      <c r="A10" s="301" t="s">
        <v>803</v>
      </c>
      <c r="B10" s="301" t="s">
        <v>807</v>
      </c>
      <c r="C10" s="301" t="s">
        <v>787</v>
      </c>
      <c r="D10" s="301" t="s">
        <v>464</v>
      </c>
      <c r="E10" s="301" t="s">
        <v>787</v>
      </c>
      <c r="F10" s="133">
        <v>0</v>
      </c>
      <c r="G10" s="133">
        <v>0</v>
      </c>
    </row>
    <row r="11" spans="1:7" x14ac:dyDescent="0.3">
      <c r="A11" s="301" t="s">
        <v>804</v>
      </c>
      <c r="B11" s="301" t="s">
        <v>805</v>
      </c>
      <c r="C11" s="301" t="s">
        <v>787</v>
      </c>
      <c r="D11" s="301" t="s">
        <v>464</v>
      </c>
      <c r="E11" s="301" t="s">
        <v>787</v>
      </c>
      <c r="F11" s="133">
        <v>0</v>
      </c>
      <c r="G11" s="133">
        <v>0</v>
      </c>
    </row>
    <row r="12" spans="1:7" x14ac:dyDescent="0.3">
      <c r="A12" s="301" t="s">
        <v>58</v>
      </c>
      <c r="B12" s="301" t="s">
        <v>57</v>
      </c>
      <c r="C12" s="301">
        <v>96.673805000000002</v>
      </c>
      <c r="D12" s="301" t="s">
        <v>464</v>
      </c>
      <c r="E12" s="301" t="s">
        <v>462</v>
      </c>
      <c r="F12" s="133"/>
      <c r="G12" s="133"/>
    </row>
    <row r="13" spans="1:7" x14ac:dyDescent="0.3">
      <c r="A13" s="301" t="s">
        <v>60</v>
      </c>
      <c r="B13" s="301" t="s">
        <v>59</v>
      </c>
      <c r="C13" s="301">
        <v>96.353070000000002</v>
      </c>
      <c r="D13" s="301" t="s">
        <v>464</v>
      </c>
      <c r="E13" s="301" t="s">
        <v>787</v>
      </c>
      <c r="F13" s="133"/>
      <c r="G13" s="133"/>
    </row>
    <row r="14" spans="1:7" x14ac:dyDescent="0.3">
      <c r="A14" s="301" t="s">
        <v>356</v>
      </c>
      <c r="B14" s="301" t="s">
        <v>355</v>
      </c>
      <c r="C14" s="301">
        <v>97.837778</v>
      </c>
      <c r="D14" s="301" t="s">
        <v>466</v>
      </c>
      <c r="E14" s="301" t="s">
        <v>787</v>
      </c>
      <c r="F14" s="133">
        <v>0</v>
      </c>
      <c r="G14" s="133">
        <v>0</v>
      </c>
    </row>
    <row r="15" spans="1:7" x14ac:dyDescent="0.3">
      <c r="A15" s="301" t="s">
        <v>886</v>
      </c>
      <c r="B15" s="301" t="s">
        <v>887</v>
      </c>
      <c r="C15" s="301">
        <v>97.608249999999998</v>
      </c>
      <c r="D15" s="301" t="s">
        <v>466</v>
      </c>
      <c r="E15" s="301" t="s">
        <v>933</v>
      </c>
      <c r="F15" s="133"/>
      <c r="G15" s="133"/>
    </row>
    <row r="16" spans="1:7" x14ac:dyDescent="0.3">
      <c r="A16" s="301" t="s">
        <v>70</v>
      </c>
      <c r="B16" s="301" t="s">
        <v>69</v>
      </c>
      <c r="C16" s="301" t="s">
        <v>787</v>
      </c>
      <c r="D16" s="301" t="s">
        <v>464</v>
      </c>
      <c r="E16" s="301" t="s">
        <v>787</v>
      </c>
      <c r="F16" s="133"/>
      <c r="G16" s="133"/>
    </row>
    <row r="17" spans="1:7" x14ac:dyDescent="0.3">
      <c r="A17" s="301" t="s">
        <v>10</v>
      </c>
      <c r="B17" s="301" t="s">
        <v>9</v>
      </c>
      <c r="C17" s="301" t="s">
        <v>787</v>
      </c>
      <c r="D17" s="301" t="s">
        <v>464</v>
      </c>
      <c r="E17" s="301" t="s">
        <v>787</v>
      </c>
      <c r="F17" s="133">
        <v>0</v>
      </c>
      <c r="G17" s="133">
        <v>0</v>
      </c>
    </row>
    <row r="18" spans="1:7" x14ac:dyDescent="0.3">
      <c r="A18" s="301" t="s">
        <v>78</v>
      </c>
      <c r="B18" s="301" t="s">
        <v>77</v>
      </c>
      <c r="C18" s="301" t="s">
        <v>787</v>
      </c>
      <c r="D18" s="301" t="s">
        <v>464</v>
      </c>
      <c r="E18" s="301" t="s">
        <v>787</v>
      </c>
      <c r="F18" s="133"/>
      <c r="G18" s="133"/>
    </row>
    <row r="19" spans="1:7" x14ac:dyDescent="0.3">
      <c r="A19" s="301" t="s">
        <v>82</v>
      </c>
      <c r="B19" s="301" t="s">
        <v>81</v>
      </c>
      <c r="C19" s="301" t="s">
        <v>787</v>
      </c>
      <c r="D19" s="301" t="s">
        <v>464</v>
      </c>
      <c r="E19" s="301" t="s">
        <v>787</v>
      </c>
      <c r="F19" s="133"/>
      <c r="G19" s="133"/>
    </row>
    <row r="20" spans="1:7" x14ac:dyDescent="0.3">
      <c r="A20" s="301" t="s">
        <v>837</v>
      </c>
      <c r="B20" s="301" t="s">
        <v>838</v>
      </c>
      <c r="C20" s="301" t="s">
        <v>787</v>
      </c>
      <c r="D20" s="301" t="s">
        <v>466</v>
      </c>
      <c r="E20" s="301" t="s">
        <v>787</v>
      </c>
      <c r="F20" s="133">
        <v>0</v>
      </c>
      <c r="G20" s="133">
        <v>0</v>
      </c>
    </row>
    <row r="21" spans="1:7" x14ac:dyDescent="0.3">
      <c r="A21" s="301" t="s">
        <v>32</v>
      </c>
      <c r="B21" s="301" t="s">
        <v>31</v>
      </c>
      <c r="C21" s="301" t="s">
        <v>787</v>
      </c>
      <c r="D21" s="301" t="s">
        <v>464</v>
      </c>
      <c r="E21" s="301" t="s">
        <v>934</v>
      </c>
      <c r="F21" s="133"/>
      <c r="G21" s="133"/>
    </row>
    <row r="22" spans="1:7" x14ac:dyDescent="0.3">
      <c r="A22" s="301" t="s">
        <v>56</v>
      </c>
      <c r="B22" s="301" t="s">
        <v>55</v>
      </c>
      <c r="C22" s="301" t="s">
        <v>787</v>
      </c>
      <c r="D22" s="301" t="s">
        <v>464</v>
      </c>
      <c r="E22" s="301" t="s">
        <v>787</v>
      </c>
      <c r="F22" s="133">
        <v>0</v>
      </c>
      <c r="G22" s="133">
        <v>0</v>
      </c>
    </row>
    <row r="23" spans="1:7" x14ac:dyDescent="0.3">
      <c r="A23" s="301" t="s">
        <v>12</v>
      </c>
      <c r="B23" s="301" t="s">
        <v>391</v>
      </c>
      <c r="C23" s="301">
        <v>96.793177</v>
      </c>
      <c r="D23" s="301" t="s">
        <v>464</v>
      </c>
      <c r="E23" s="301" t="s">
        <v>787</v>
      </c>
      <c r="F23" s="133"/>
      <c r="G23" s="133"/>
    </row>
    <row r="24" spans="1:7" x14ac:dyDescent="0.3">
      <c r="A24" s="301" t="s">
        <v>169</v>
      </c>
      <c r="B24" s="301" t="s">
        <v>168</v>
      </c>
      <c r="C24" s="301">
        <v>98.116817999999995</v>
      </c>
      <c r="D24" s="301" t="s">
        <v>464</v>
      </c>
      <c r="E24" s="301" t="s">
        <v>787</v>
      </c>
      <c r="F24" s="133"/>
      <c r="G24" s="133"/>
    </row>
    <row r="25" spans="1:7" x14ac:dyDescent="0.3">
      <c r="A25" s="301" t="s">
        <v>231</v>
      </c>
      <c r="B25" s="301" t="s">
        <v>386</v>
      </c>
      <c r="C25" s="301">
        <v>98.115809999999996</v>
      </c>
      <c r="D25" s="301" t="s">
        <v>464</v>
      </c>
      <c r="E25" s="301" t="s">
        <v>787</v>
      </c>
      <c r="F25" s="133">
        <v>32</v>
      </c>
      <c r="G25" s="133">
        <v>187</v>
      </c>
    </row>
    <row r="26" spans="1:7" x14ac:dyDescent="0.3">
      <c r="A26" s="301" t="s">
        <v>810</v>
      </c>
      <c r="B26" s="301" t="s">
        <v>809</v>
      </c>
      <c r="C26" s="301" t="s">
        <v>787</v>
      </c>
      <c r="D26" s="301" t="s">
        <v>464</v>
      </c>
      <c r="E26" s="301" t="s">
        <v>787</v>
      </c>
      <c r="F26" s="133">
        <v>0</v>
      </c>
      <c r="G26" s="133">
        <v>0</v>
      </c>
    </row>
    <row r="27" spans="1:7" x14ac:dyDescent="0.3">
      <c r="A27" s="301" t="s">
        <v>16</v>
      </c>
      <c r="B27" s="301" t="s">
        <v>15</v>
      </c>
      <c r="C27" s="301">
        <v>97.221556500999995</v>
      </c>
      <c r="D27" s="301" t="s">
        <v>464</v>
      </c>
      <c r="E27" s="301" t="s">
        <v>787</v>
      </c>
      <c r="F27" s="133"/>
      <c r="G27" s="133"/>
    </row>
    <row r="28" spans="1:7" x14ac:dyDescent="0.3">
      <c r="A28" s="301" t="s">
        <v>370</v>
      </c>
      <c r="B28" s="301" t="s">
        <v>380</v>
      </c>
      <c r="C28" s="301">
        <v>97.848529999999997</v>
      </c>
      <c r="D28" s="301" t="s">
        <v>464</v>
      </c>
      <c r="E28" s="301" t="s">
        <v>424</v>
      </c>
      <c r="F28" s="133"/>
      <c r="G28" s="133"/>
    </row>
    <row r="29" spans="1:7" x14ac:dyDescent="0.3">
      <c r="A29" s="301" t="s">
        <v>256</v>
      </c>
      <c r="B29" s="301" t="s">
        <v>255</v>
      </c>
      <c r="C29" s="301">
        <v>97.405202777777802</v>
      </c>
      <c r="D29" s="301" t="s">
        <v>464</v>
      </c>
      <c r="E29" s="301" t="s">
        <v>1813</v>
      </c>
      <c r="F29" s="133">
        <v>45</v>
      </c>
      <c r="G29" s="133">
        <v>207</v>
      </c>
    </row>
    <row r="30" spans="1:7" x14ac:dyDescent="0.3">
      <c r="A30" s="301" t="s">
        <v>145</v>
      </c>
      <c r="B30" s="301" t="s">
        <v>143</v>
      </c>
      <c r="C30" s="301">
        <v>98.144502500000002</v>
      </c>
      <c r="D30" s="301" t="s">
        <v>464</v>
      </c>
      <c r="E30" s="301" t="s">
        <v>787</v>
      </c>
      <c r="F30" s="133"/>
      <c r="G30" s="133"/>
    </row>
    <row r="31" spans="1:7" x14ac:dyDescent="0.3">
      <c r="A31" s="301" t="s">
        <v>469</v>
      </c>
      <c r="B31" s="301" t="s">
        <v>470</v>
      </c>
      <c r="C31" s="301">
        <v>97.601243999999994</v>
      </c>
      <c r="D31" s="301" t="s">
        <v>466</v>
      </c>
      <c r="E31" s="301" t="s">
        <v>933</v>
      </c>
      <c r="F31" s="133">
        <v>0</v>
      </c>
      <c r="G31" s="133">
        <v>0</v>
      </c>
    </row>
    <row r="32" spans="1:7" x14ac:dyDescent="0.3">
      <c r="A32" s="301" t="s">
        <v>34</v>
      </c>
      <c r="B32" s="301" t="s">
        <v>33</v>
      </c>
      <c r="C32" s="301">
        <v>98.354146999999998</v>
      </c>
      <c r="D32" s="301" t="s">
        <v>464</v>
      </c>
      <c r="E32" s="301" t="s">
        <v>787</v>
      </c>
      <c r="F32" s="133"/>
      <c r="G32" s="133"/>
    </row>
    <row r="33" spans="1:7" x14ac:dyDescent="0.3">
      <c r="A33" s="301" t="s">
        <v>303</v>
      </c>
      <c r="B33" s="301" t="s">
        <v>302</v>
      </c>
      <c r="C33" s="301" t="s">
        <v>787</v>
      </c>
      <c r="D33" s="301" t="s">
        <v>464</v>
      </c>
      <c r="E33" s="301" t="s">
        <v>1311</v>
      </c>
      <c r="F33" s="133">
        <v>375</v>
      </c>
      <c r="G33" s="133">
        <v>1691</v>
      </c>
    </row>
    <row r="34" spans="1:7" x14ac:dyDescent="0.3">
      <c r="A34" s="301" t="s">
        <v>35</v>
      </c>
      <c r="B34" s="301" t="s">
        <v>360</v>
      </c>
      <c r="C34" s="301" t="s">
        <v>787</v>
      </c>
      <c r="D34" s="301" t="s">
        <v>464</v>
      </c>
      <c r="E34" s="301" t="s">
        <v>787</v>
      </c>
      <c r="F34" s="133">
        <v>0</v>
      </c>
      <c r="G34" s="133">
        <v>0</v>
      </c>
    </row>
    <row r="35" spans="1:7" x14ac:dyDescent="0.3">
      <c r="A35" s="301" t="s">
        <v>158</v>
      </c>
      <c r="B35" s="301" t="s">
        <v>157</v>
      </c>
      <c r="C35" s="301">
        <v>97.585667000000001</v>
      </c>
      <c r="D35" s="301" t="s">
        <v>466</v>
      </c>
      <c r="E35" s="301" t="s">
        <v>933</v>
      </c>
      <c r="F35" s="133">
        <v>0</v>
      </c>
      <c r="G35" s="133">
        <v>0</v>
      </c>
    </row>
    <row r="36" spans="1:7" x14ac:dyDescent="0.3">
      <c r="A36" s="301" t="s">
        <v>94</v>
      </c>
      <c r="B36" s="301" t="s">
        <v>93</v>
      </c>
      <c r="C36" s="301" t="s">
        <v>787</v>
      </c>
      <c r="D36" s="301" t="s">
        <v>464</v>
      </c>
      <c r="E36" s="301" t="s">
        <v>787</v>
      </c>
      <c r="F36" s="133">
        <v>0</v>
      </c>
      <c r="G36" s="133">
        <v>0</v>
      </c>
    </row>
    <row r="37" spans="1:7" x14ac:dyDescent="0.3">
      <c r="A37" s="301" t="s">
        <v>819</v>
      </c>
      <c r="B37" s="301" t="s">
        <v>820</v>
      </c>
      <c r="C37" s="301">
        <v>97.586470000000006</v>
      </c>
      <c r="D37" s="301" t="s">
        <v>464</v>
      </c>
      <c r="E37" s="301" t="s">
        <v>787</v>
      </c>
      <c r="F37" s="133"/>
      <c r="G37" s="133"/>
    </row>
    <row r="38" spans="1:7" x14ac:dyDescent="0.3">
      <c r="A38" s="301" t="s">
        <v>200</v>
      </c>
      <c r="B38" s="301" t="s">
        <v>199</v>
      </c>
      <c r="C38" s="301">
        <v>97.409474000000003</v>
      </c>
      <c r="D38" s="301" t="s">
        <v>464</v>
      </c>
      <c r="E38" s="301" t="s">
        <v>787</v>
      </c>
      <c r="F38" s="133"/>
      <c r="G38" s="133"/>
    </row>
    <row r="39" spans="1:7" x14ac:dyDescent="0.3">
      <c r="A39" s="301" t="s">
        <v>802</v>
      </c>
      <c r="B39" s="301" t="s">
        <v>796</v>
      </c>
      <c r="C39" s="301">
        <v>97.710989999999995</v>
      </c>
      <c r="D39" s="301" t="s">
        <v>464</v>
      </c>
      <c r="E39" s="301" t="s">
        <v>787</v>
      </c>
      <c r="F39" s="133">
        <v>0</v>
      </c>
      <c r="G39" s="133">
        <v>0</v>
      </c>
    </row>
    <row r="40" spans="1:7" x14ac:dyDescent="0.3">
      <c r="A40" s="301" t="s">
        <v>801</v>
      </c>
      <c r="B40" s="301" t="s">
        <v>800</v>
      </c>
      <c r="C40" s="301">
        <v>97.710989999999995</v>
      </c>
      <c r="D40" s="301" t="s">
        <v>464</v>
      </c>
      <c r="E40" s="301" t="s">
        <v>787</v>
      </c>
      <c r="F40" s="133">
        <v>0</v>
      </c>
      <c r="G40" s="133">
        <v>0</v>
      </c>
    </row>
    <row r="41" spans="1:7" x14ac:dyDescent="0.3">
      <c r="A41" s="301" t="s">
        <v>204</v>
      </c>
      <c r="B41" s="301" t="s">
        <v>203</v>
      </c>
      <c r="C41" s="301">
        <v>97.321659999999994</v>
      </c>
      <c r="D41" s="301" t="s">
        <v>464</v>
      </c>
      <c r="E41" s="301" t="s">
        <v>787</v>
      </c>
      <c r="F41" s="133"/>
      <c r="G41" s="133"/>
    </row>
    <row r="42" spans="1:7" x14ac:dyDescent="0.3">
      <c r="A42" s="301" t="s">
        <v>205</v>
      </c>
      <c r="B42" s="301" t="s">
        <v>390</v>
      </c>
      <c r="C42" s="301">
        <v>97.276591999999994</v>
      </c>
      <c r="D42" s="301" t="s">
        <v>464</v>
      </c>
      <c r="E42" s="301" t="s">
        <v>787</v>
      </c>
      <c r="F42" s="133"/>
      <c r="G42" s="133"/>
    </row>
    <row r="43" spans="1:7" x14ac:dyDescent="0.3">
      <c r="A43" s="301" t="s">
        <v>331</v>
      </c>
      <c r="B43" s="301" t="s">
        <v>330</v>
      </c>
      <c r="C43" s="301">
        <v>97.550267000000005</v>
      </c>
      <c r="D43" s="301" t="s">
        <v>464</v>
      </c>
      <c r="E43" s="301" t="s">
        <v>787</v>
      </c>
      <c r="F43" s="133">
        <v>0</v>
      </c>
      <c r="G43" s="133">
        <v>0</v>
      </c>
    </row>
    <row r="44" spans="1:7" x14ac:dyDescent="0.3">
      <c r="A44" s="301" t="s">
        <v>207</v>
      </c>
      <c r="B44" s="301" t="s">
        <v>206</v>
      </c>
      <c r="C44" s="301">
        <v>97.346940000000004</v>
      </c>
      <c r="D44" s="301" t="s">
        <v>464</v>
      </c>
      <c r="E44" s="301" t="s">
        <v>787</v>
      </c>
      <c r="F44" s="133"/>
      <c r="G44" s="133"/>
    </row>
    <row r="45" spans="1:7" x14ac:dyDescent="0.3">
      <c r="A45" s="301" t="s">
        <v>54</v>
      </c>
      <c r="B45" s="301" t="s">
        <v>53</v>
      </c>
      <c r="C45" s="301">
        <v>96.310928000000004</v>
      </c>
      <c r="D45" s="301" t="s">
        <v>464</v>
      </c>
      <c r="E45" s="301" t="s">
        <v>787</v>
      </c>
      <c r="F45" s="133">
        <v>0</v>
      </c>
      <c r="G45" s="133">
        <v>0</v>
      </c>
    </row>
    <row r="46" spans="1:7" x14ac:dyDescent="0.3">
      <c r="A46" s="301" t="s">
        <v>66</v>
      </c>
      <c r="B46" s="301" t="s">
        <v>65</v>
      </c>
      <c r="C46" s="301" t="s">
        <v>787</v>
      </c>
      <c r="D46" s="301" t="s">
        <v>464</v>
      </c>
      <c r="E46" s="301" t="s">
        <v>787</v>
      </c>
      <c r="F46" s="133">
        <v>0</v>
      </c>
      <c r="G46" s="133">
        <v>0</v>
      </c>
    </row>
    <row r="47" spans="1:7" x14ac:dyDescent="0.3">
      <c r="A47" s="301" t="s">
        <v>80</v>
      </c>
      <c r="B47" s="301" t="s">
        <v>79</v>
      </c>
      <c r="C47" s="301" t="s">
        <v>787</v>
      </c>
      <c r="D47" s="301" t="s">
        <v>464</v>
      </c>
      <c r="E47" s="301" t="s">
        <v>787</v>
      </c>
      <c r="F47" s="133">
        <v>0</v>
      </c>
      <c r="G47" s="133">
        <v>0</v>
      </c>
    </row>
    <row r="48" spans="1:7" x14ac:dyDescent="0.3">
      <c r="A48" s="301" t="s">
        <v>102</v>
      </c>
      <c r="B48" s="301" t="s">
        <v>101</v>
      </c>
      <c r="C48" s="301" t="s">
        <v>787</v>
      </c>
      <c r="D48" s="301" t="s">
        <v>464</v>
      </c>
      <c r="E48" s="301" t="s">
        <v>787</v>
      </c>
      <c r="F48" s="133">
        <v>0</v>
      </c>
      <c r="G48" s="133">
        <v>0</v>
      </c>
    </row>
    <row r="49" spans="1:7" x14ac:dyDescent="0.3">
      <c r="A49" s="301" t="s">
        <v>106</v>
      </c>
      <c r="B49" s="301" t="s">
        <v>105</v>
      </c>
      <c r="C49" s="301" t="s">
        <v>787</v>
      </c>
      <c r="D49" s="301" t="s">
        <v>464</v>
      </c>
      <c r="E49" s="301" t="s">
        <v>787</v>
      </c>
      <c r="F49" s="133">
        <v>0</v>
      </c>
      <c r="G49" s="133">
        <v>0</v>
      </c>
    </row>
    <row r="50" spans="1:7" x14ac:dyDescent="0.3">
      <c r="A50" s="301" t="s">
        <v>116</v>
      </c>
      <c r="B50" s="301" t="s">
        <v>115</v>
      </c>
      <c r="C50" s="301" t="s">
        <v>787</v>
      </c>
      <c r="D50" s="301" t="s">
        <v>464</v>
      </c>
      <c r="E50" s="301" t="s">
        <v>787</v>
      </c>
      <c r="F50" s="133">
        <v>0</v>
      </c>
      <c r="G50" s="133">
        <v>0</v>
      </c>
    </row>
    <row r="51" spans="1:7" x14ac:dyDescent="0.3">
      <c r="A51" s="301" t="s">
        <v>130</v>
      </c>
      <c r="B51" s="301" t="s">
        <v>129</v>
      </c>
      <c r="C51" s="301" t="s">
        <v>787</v>
      </c>
      <c r="D51" s="301" t="s">
        <v>464</v>
      </c>
      <c r="E51" s="301" t="s">
        <v>787</v>
      </c>
      <c r="F51" s="133">
        <v>0</v>
      </c>
      <c r="G51" s="133">
        <v>0</v>
      </c>
    </row>
    <row r="52" spans="1:7" x14ac:dyDescent="0.3">
      <c r="A52" s="301" t="s">
        <v>138</v>
      </c>
      <c r="B52" s="301" t="s">
        <v>137</v>
      </c>
      <c r="C52" s="301" t="s">
        <v>787</v>
      </c>
      <c r="D52" s="301" t="s">
        <v>464</v>
      </c>
      <c r="E52" s="301" t="s">
        <v>787</v>
      </c>
      <c r="F52" s="133">
        <v>0</v>
      </c>
      <c r="G52" s="133">
        <v>0</v>
      </c>
    </row>
    <row r="53" spans="1:7" x14ac:dyDescent="0.3">
      <c r="A53" s="301" t="s">
        <v>136</v>
      </c>
      <c r="B53" s="301" t="s">
        <v>135</v>
      </c>
      <c r="C53" s="301">
        <v>96.343350000000001</v>
      </c>
      <c r="D53" s="301" t="s">
        <v>464</v>
      </c>
      <c r="E53" s="301" t="s">
        <v>787</v>
      </c>
      <c r="F53" s="133">
        <v>0</v>
      </c>
      <c r="G53" s="133">
        <v>0</v>
      </c>
    </row>
    <row r="54" spans="1:7" x14ac:dyDescent="0.3">
      <c r="A54" s="301" t="s">
        <v>68</v>
      </c>
      <c r="B54" s="301" t="s">
        <v>67</v>
      </c>
      <c r="C54" s="301" t="s">
        <v>787</v>
      </c>
      <c r="D54" s="301" t="s">
        <v>464</v>
      </c>
      <c r="E54" s="301" t="s">
        <v>787</v>
      </c>
      <c r="F54" s="133">
        <v>0</v>
      </c>
      <c r="G54" s="133">
        <v>0</v>
      </c>
    </row>
    <row r="55" spans="1:7" x14ac:dyDescent="0.3">
      <c r="A55" s="301" t="s">
        <v>84</v>
      </c>
      <c r="B55" s="301" t="s">
        <v>83</v>
      </c>
      <c r="C55" s="301">
        <v>96.316210999999996</v>
      </c>
      <c r="D55" s="301" t="s">
        <v>464</v>
      </c>
      <c r="E55" s="301" t="s">
        <v>787</v>
      </c>
      <c r="F55" s="133">
        <v>0</v>
      </c>
      <c r="G55" s="133">
        <v>0</v>
      </c>
    </row>
    <row r="56" spans="1:7" x14ac:dyDescent="0.3">
      <c r="A56" s="301" t="s">
        <v>86</v>
      </c>
      <c r="B56" s="301" t="s">
        <v>85</v>
      </c>
      <c r="C56" s="301" t="s">
        <v>787</v>
      </c>
      <c r="D56" s="301" t="s">
        <v>464</v>
      </c>
      <c r="E56" s="301" t="s">
        <v>787</v>
      </c>
      <c r="F56" s="133">
        <v>0</v>
      </c>
      <c r="G56" s="133">
        <v>0</v>
      </c>
    </row>
    <row r="57" spans="1:7" x14ac:dyDescent="0.3">
      <c r="A57" s="301" t="s">
        <v>104</v>
      </c>
      <c r="B57" s="301" t="s">
        <v>103</v>
      </c>
      <c r="C57" s="301" t="s">
        <v>787</v>
      </c>
      <c r="D57" s="301" t="s">
        <v>464</v>
      </c>
      <c r="E57" s="301" t="s">
        <v>787</v>
      </c>
      <c r="F57" s="133">
        <v>0</v>
      </c>
      <c r="G57" s="133">
        <v>0</v>
      </c>
    </row>
    <row r="58" spans="1:7" x14ac:dyDescent="0.3">
      <c r="A58" s="301" t="s">
        <v>98</v>
      </c>
      <c r="B58" s="301" t="s">
        <v>97</v>
      </c>
      <c r="C58" s="301">
        <v>96.359309999999994</v>
      </c>
      <c r="D58" s="301" t="s">
        <v>464</v>
      </c>
      <c r="E58" s="301" t="s">
        <v>787</v>
      </c>
      <c r="F58" s="133">
        <v>0</v>
      </c>
      <c r="G58" s="133">
        <v>0</v>
      </c>
    </row>
    <row r="59" spans="1:7" x14ac:dyDescent="0.3">
      <c r="A59" s="301" t="s">
        <v>211</v>
      </c>
      <c r="B59" s="301" t="s">
        <v>210</v>
      </c>
      <c r="C59" s="301">
        <v>97.346950000000007</v>
      </c>
      <c r="D59" s="301" t="s">
        <v>464</v>
      </c>
      <c r="E59" s="301" t="s">
        <v>933</v>
      </c>
      <c r="F59" s="133"/>
      <c r="G59" s="133"/>
    </row>
    <row r="60" spans="1:7" x14ac:dyDescent="0.3">
      <c r="A60" s="301" t="s">
        <v>233</v>
      </c>
      <c r="B60" s="301" t="s">
        <v>232</v>
      </c>
      <c r="C60" s="301">
        <v>98.320651999999995</v>
      </c>
      <c r="D60" s="301" t="s">
        <v>466</v>
      </c>
      <c r="E60" s="301" t="s">
        <v>424</v>
      </c>
      <c r="F60" s="133"/>
      <c r="G60" s="133"/>
    </row>
    <row r="61" spans="1:7" x14ac:dyDescent="0.3">
      <c r="A61" s="301" t="s">
        <v>235</v>
      </c>
      <c r="B61" s="301" t="s">
        <v>234</v>
      </c>
      <c r="C61" s="301">
        <v>98.054946000000001</v>
      </c>
      <c r="D61" s="301" t="s">
        <v>466</v>
      </c>
      <c r="E61" s="301" t="s">
        <v>787</v>
      </c>
      <c r="F61" s="133"/>
      <c r="G61" s="133"/>
    </row>
    <row r="62" spans="1:7" x14ac:dyDescent="0.3">
      <c r="A62" s="301" t="s">
        <v>295</v>
      </c>
      <c r="B62" s="301" t="s">
        <v>1130</v>
      </c>
      <c r="C62" s="301">
        <v>97.174999999999997</v>
      </c>
      <c r="D62" s="301" t="s">
        <v>466</v>
      </c>
      <c r="E62" s="301" t="s">
        <v>787</v>
      </c>
      <c r="F62" s="133"/>
      <c r="G62" s="133"/>
    </row>
    <row r="63" spans="1:7" x14ac:dyDescent="0.3">
      <c r="A63" s="301" t="s">
        <v>471</v>
      </c>
      <c r="B63" s="301" t="s">
        <v>472</v>
      </c>
      <c r="C63" s="301">
        <v>96.808850000000007</v>
      </c>
      <c r="D63" s="301" t="s">
        <v>466</v>
      </c>
      <c r="E63" s="301" t="s">
        <v>787</v>
      </c>
      <c r="F63" s="133">
        <v>0</v>
      </c>
      <c r="G63" s="133">
        <v>0</v>
      </c>
    </row>
    <row r="64" spans="1:7" x14ac:dyDescent="0.3">
      <c r="A64" s="301" t="s">
        <v>365</v>
      </c>
      <c r="B64" s="301" t="s">
        <v>384</v>
      </c>
      <c r="C64" s="301">
        <v>98.213958000000005</v>
      </c>
      <c r="D64" s="301" t="s">
        <v>464</v>
      </c>
      <c r="E64" s="301" t="s">
        <v>787</v>
      </c>
      <c r="F64" s="133">
        <v>0</v>
      </c>
      <c r="G64" s="133">
        <v>0</v>
      </c>
    </row>
    <row r="65" spans="1:7" x14ac:dyDescent="0.3">
      <c r="A65" s="301" t="s">
        <v>142</v>
      </c>
      <c r="B65" s="301" t="s">
        <v>141</v>
      </c>
      <c r="C65" s="301">
        <v>96.354159999999993</v>
      </c>
      <c r="D65" s="301" t="s">
        <v>464</v>
      </c>
      <c r="E65" s="301" t="s">
        <v>787</v>
      </c>
      <c r="F65" s="133">
        <v>0</v>
      </c>
      <c r="G65" s="133">
        <v>0</v>
      </c>
    </row>
    <row r="66" spans="1:7" x14ac:dyDescent="0.3">
      <c r="A66" s="301" t="s">
        <v>266</v>
      </c>
      <c r="B66" s="301" t="s">
        <v>265</v>
      </c>
      <c r="C66" s="301">
        <v>97.376671999999999</v>
      </c>
      <c r="D66" s="301" t="s">
        <v>464</v>
      </c>
      <c r="E66" s="301" t="s">
        <v>462</v>
      </c>
      <c r="F66" s="133"/>
      <c r="G66" s="133"/>
    </row>
    <row r="67" spans="1:7" x14ac:dyDescent="0.3">
      <c r="A67" s="301" t="s">
        <v>162</v>
      </c>
      <c r="B67" s="301" t="s">
        <v>161</v>
      </c>
      <c r="C67" s="301" t="s">
        <v>787</v>
      </c>
      <c r="D67" s="301" t="s">
        <v>466</v>
      </c>
      <c r="E67" s="301" t="s">
        <v>787</v>
      </c>
      <c r="F67" s="133">
        <v>0</v>
      </c>
      <c r="G67" s="133">
        <v>0</v>
      </c>
    </row>
    <row r="68" spans="1:7" x14ac:dyDescent="0.3">
      <c r="A68" s="301" t="s">
        <v>373</v>
      </c>
      <c r="B68" s="301" t="s">
        <v>387</v>
      </c>
      <c r="C68" s="301">
        <v>97.678299999999993</v>
      </c>
      <c r="D68" s="301" t="s">
        <v>466</v>
      </c>
      <c r="E68" s="301" t="s">
        <v>933</v>
      </c>
      <c r="F68" s="133">
        <v>0</v>
      </c>
      <c r="G68" s="133">
        <v>0</v>
      </c>
    </row>
    <row r="69" spans="1:7" x14ac:dyDescent="0.3">
      <c r="A69" s="301" t="s">
        <v>293</v>
      </c>
      <c r="B69" s="301" t="s">
        <v>292</v>
      </c>
      <c r="C69" s="301" t="s">
        <v>787</v>
      </c>
      <c r="D69" s="301" t="s">
        <v>466</v>
      </c>
      <c r="E69" s="301" t="s">
        <v>787</v>
      </c>
      <c r="F69" s="133"/>
      <c r="G69" s="133"/>
    </row>
    <row r="70" spans="1:7" x14ac:dyDescent="0.3">
      <c r="A70" s="301" t="s">
        <v>359</v>
      </c>
      <c r="B70" s="301" t="s">
        <v>771</v>
      </c>
      <c r="C70" s="301">
        <v>98.139397000000002</v>
      </c>
      <c r="D70" s="301" t="s">
        <v>466</v>
      </c>
      <c r="E70" s="301" t="s">
        <v>787</v>
      </c>
      <c r="F70" s="133">
        <v>9</v>
      </c>
      <c r="G70" s="133">
        <v>44</v>
      </c>
    </row>
    <row r="71" spans="1:7" x14ac:dyDescent="0.3">
      <c r="A71" s="301" t="s">
        <v>171</v>
      </c>
      <c r="B71" s="301" t="s">
        <v>170</v>
      </c>
      <c r="C71" s="301">
        <v>98.129380999999995</v>
      </c>
      <c r="D71" s="301" t="s">
        <v>464</v>
      </c>
      <c r="E71" s="301" t="s">
        <v>787</v>
      </c>
      <c r="F71" s="133"/>
      <c r="G71" s="133"/>
    </row>
    <row r="72" spans="1:7" x14ac:dyDescent="0.3">
      <c r="A72" s="301" t="s">
        <v>791</v>
      </c>
      <c r="B72" s="301" t="s">
        <v>473</v>
      </c>
      <c r="C72" s="301">
        <v>97.132339999999999</v>
      </c>
      <c r="D72" s="301" t="s">
        <v>466</v>
      </c>
      <c r="E72" s="301" t="s">
        <v>787</v>
      </c>
      <c r="F72" s="133">
        <v>0</v>
      </c>
      <c r="G72" s="133">
        <v>0</v>
      </c>
    </row>
    <row r="73" spans="1:7" x14ac:dyDescent="0.3">
      <c r="A73" s="301" t="s">
        <v>792</v>
      </c>
      <c r="B73" s="301" t="s">
        <v>793</v>
      </c>
      <c r="C73" s="301" t="s">
        <v>787</v>
      </c>
      <c r="D73" s="301" t="s">
        <v>466</v>
      </c>
      <c r="E73" s="301" t="s">
        <v>787</v>
      </c>
      <c r="F73" s="133">
        <v>0</v>
      </c>
      <c r="G73" s="133">
        <v>0</v>
      </c>
    </row>
    <row r="74" spans="1:7" x14ac:dyDescent="0.3">
      <c r="A74" s="301" t="s">
        <v>164</v>
      </c>
      <c r="B74" s="301" t="s">
        <v>163</v>
      </c>
      <c r="C74" s="301">
        <v>97.132339999999999</v>
      </c>
      <c r="D74" s="301" t="s">
        <v>466</v>
      </c>
      <c r="E74" s="301" t="s">
        <v>787</v>
      </c>
      <c r="F74" s="133">
        <v>0</v>
      </c>
      <c r="G74" s="133">
        <v>0</v>
      </c>
    </row>
    <row r="75" spans="1:7" x14ac:dyDescent="0.3">
      <c r="A75" s="301" t="s">
        <v>534</v>
      </c>
      <c r="B75" s="301" t="s">
        <v>762</v>
      </c>
      <c r="C75" s="301">
        <v>97.398989</v>
      </c>
      <c r="D75" s="301" t="s">
        <v>464</v>
      </c>
      <c r="E75" s="301" t="s">
        <v>787</v>
      </c>
      <c r="F75" s="133">
        <v>118</v>
      </c>
      <c r="G75" s="133">
        <v>520</v>
      </c>
    </row>
    <row r="76" spans="1:7" x14ac:dyDescent="0.3">
      <c r="A76" s="301" t="s">
        <v>20</v>
      </c>
      <c r="B76" s="301" t="s">
        <v>19</v>
      </c>
      <c r="C76" s="301">
        <v>97.315860000000001</v>
      </c>
      <c r="D76" s="301" t="s">
        <v>464</v>
      </c>
      <c r="E76" s="301" t="s">
        <v>933</v>
      </c>
      <c r="F76" s="133">
        <v>17</v>
      </c>
      <c r="G76" s="133">
        <v>75</v>
      </c>
    </row>
    <row r="77" spans="1:7" x14ac:dyDescent="0.3">
      <c r="A77" s="301" t="s">
        <v>183</v>
      </c>
      <c r="B77" s="301" t="s">
        <v>182</v>
      </c>
      <c r="C77" s="301">
        <v>96.364949999999993</v>
      </c>
      <c r="D77" s="301" t="s">
        <v>464</v>
      </c>
      <c r="E77" s="301" t="s">
        <v>424</v>
      </c>
      <c r="F77" s="133">
        <v>0</v>
      </c>
      <c r="G77" s="133">
        <v>0</v>
      </c>
    </row>
    <row r="78" spans="1:7" x14ac:dyDescent="0.3">
      <c r="A78" s="301" t="s">
        <v>535</v>
      </c>
      <c r="B78" s="301" t="s">
        <v>772</v>
      </c>
      <c r="C78" s="301">
        <v>98.352670000000003</v>
      </c>
      <c r="D78" s="301" t="s">
        <v>466</v>
      </c>
      <c r="E78" s="301" t="s">
        <v>1311</v>
      </c>
      <c r="F78" s="133">
        <v>67</v>
      </c>
      <c r="G78" s="133">
        <v>392</v>
      </c>
    </row>
    <row r="79" spans="1:7" x14ac:dyDescent="0.3">
      <c r="A79" s="301" t="s">
        <v>815</v>
      </c>
      <c r="B79" s="301" t="s">
        <v>816</v>
      </c>
      <c r="C79" s="301">
        <v>97.58184</v>
      </c>
      <c r="D79" s="301" t="s">
        <v>464</v>
      </c>
      <c r="E79" s="301" t="s">
        <v>787</v>
      </c>
      <c r="F79" s="133">
        <v>0</v>
      </c>
      <c r="G79" s="133">
        <v>0</v>
      </c>
    </row>
    <row r="80" spans="1:7" x14ac:dyDescent="0.3">
      <c r="A80" s="301" t="s">
        <v>110</v>
      </c>
      <c r="B80" s="301" t="s">
        <v>109</v>
      </c>
      <c r="C80" s="301">
        <v>96.312790000000007</v>
      </c>
      <c r="D80" s="301" t="s">
        <v>464</v>
      </c>
      <c r="E80" s="301" t="s">
        <v>424</v>
      </c>
      <c r="F80" s="133">
        <v>0</v>
      </c>
      <c r="G80" s="133">
        <v>0</v>
      </c>
    </row>
    <row r="81" spans="1:7" x14ac:dyDescent="0.3">
      <c r="A81" s="301" t="s">
        <v>112</v>
      </c>
      <c r="B81" s="301" t="s">
        <v>111</v>
      </c>
      <c r="C81" s="301">
        <v>96.31326</v>
      </c>
      <c r="D81" s="301" t="s">
        <v>464</v>
      </c>
      <c r="E81" s="301" t="s">
        <v>787</v>
      </c>
      <c r="F81" s="133">
        <v>0</v>
      </c>
      <c r="G81" s="133">
        <v>0</v>
      </c>
    </row>
    <row r="82" spans="1:7" x14ac:dyDescent="0.3">
      <c r="A82" s="301" t="s">
        <v>217</v>
      </c>
      <c r="B82" s="301" t="s">
        <v>216</v>
      </c>
      <c r="C82" s="301">
        <v>97.347740000000002</v>
      </c>
      <c r="D82" s="301" t="s">
        <v>464</v>
      </c>
      <c r="E82" s="301" t="s">
        <v>462</v>
      </c>
      <c r="F82" s="133"/>
      <c r="G82" s="133"/>
    </row>
    <row r="83" spans="1:7" x14ac:dyDescent="0.3">
      <c r="A83" s="301" t="s">
        <v>114</v>
      </c>
      <c r="B83" s="301" t="s">
        <v>113</v>
      </c>
      <c r="C83" s="301" t="s">
        <v>787</v>
      </c>
      <c r="D83" s="301" t="s">
        <v>464</v>
      </c>
      <c r="E83" s="301" t="s">
        <v>787</v>
      </c>
      <c r="F83" s="133">
        <v>0</v>
      </c>
      <c r="G83" s="133">
        <v>0</v>
      </c>
    </row>
    <row r="84" spans="1:7" x14ac:dyDescent="0.3">
      <c r="A84" s="301" t="s">
        <v>221</v>
      </c>
      <c r="B84" s="301" t="s">
        <v>220</v>
      </c>
      <c r="C84" s="301">
        <v>97.429860000000005</v>
      </c>
      <c r="D84" s="301" t="s">
        <v>464</v>
      </c>
      <c r="E84" s="301" t="s">
        <v>787</v>
      </c>
      <c r="F84" s="133"/>
      <c r="G84" s="133"/>
    </row>
    <row r="85" spans="1:7" x14ac:dyDescent="0.3">
      <c r="A85" s="301" t="s">
        <v>349</v>
      </c>
      <c r="B85" s="301" t="s">
        <v>348</v>
      </c>
      <c r="C85" s="301">
        <v>97.432495000000003</v>
      </c>
      <c r="D85" s="301" t="s">
        <v>464</v>
      </c>
      <c r="E85" s="301" t="s">
        <v>462</v>
      </c>
      <c r="F85" s="133">
        <v>92</v>
      </c>
      <c r="G85" s="133">
        <v>505</v>
      </c>
    </row>
    <row r="86" spans="1:7" x14ac:dyDescent="0.3">
      <c r="A86" s="301" t="s">
        <v>122</v>
      </c>
      <c r="B86" s="301" t="s">
        <v>121</v>
      </c>
      <c r="C86" s="301" t="s">
        <v>787</v>
      </c>
      <c r="D86" s="301" t="s">
        <v>464</v>
      </c>
      <c r="E86" s="301" t="s">
        <v>787</v>
      </c>
      <c r="F86" s="133">
        <v>0</v>
      </c>
      <c r="G86" s="133">
        <v>0</v>
      </c>
    </row>
    <row r="87" spans="1:7" x14ac:dyDescent="0.3">
      <c r="A87" s="301" t="s">
        <v>124</v>
      </c>
      <c r="B87" s="301" t="s">
        <v>123</v>
      </c>
      <c r="C87" s="301">
        <v>96.353030000000004</v>
      </c>
      <c r="D87" s="301" t="s">
        <v>464</v>
      </c>
      <c r="E87" s="301" t="s">
        <v>424</v>
      </c>
      <c r="F87" s="133">
        <v>8</v>
      </c>
      <c r="G87" s="133">
        <v>32</v>
      </c>
    </row>
    <row r="88" spans="1:7" x14ac:dyDescent="0.3">
      <c r="A88" s="301" t="s">
        <v>96</v>
      </c>
      <c r="B88" s="301" t="s">
        <v>95</v>
      </c>
      <c r="C88" s="301" t="s">
        <v>787</v>
      </c>
      <c r="D88" s="301" t="s">
        <v>464</v>
      </c>
      <c r="E88" s="301" t="s">
        <v>787</v>
      </c>
      <c r="F88" s="133">
        <v>0</v>
      </c>
      <c r="G88" s="133">
        <v>0</v>
      </c>
    </row>
    <row r="89" spans="1:7" x14ac:dyDescent="0.3">
      <c r="A89" s="301" t="s">
        <v>813</v>
      </c>
      <c r="B89" s="301" t="s">
        <v>814</v>
      </c>
      <c r="C89" s="301" t="s">
        <v>787</v>
      </c>
      <c r="D89" s="301" t="s">
        <v>464</v>
      </c>
      <c r="E89" s="301" t="s">
        <v>787</v>
      </c>
      <c r="F89" s="133">
        <v>0</v>
      </c>
      <c r="G89" s="133">
        <v>0</v>
      </c>
    </row>
    <row r="90" spans="1:7" x14ac:dyDescent="0.3">
      <c r="A90" s="301" t="s">
        <v>822</v>
      </c>
      <c r="B90" s="301" t="s">
        <v>821</v>
      </c>
      <c r="C90" s="301" t="s">
        <v>787</v>
      </c>
      <c r="D90" s="301" t="s">
        <v>464</v>
      </c>
      <c r="E90" s="301" t="s">
        <v>787</v>
      </c>
      <c r="F90" s="133"/>
      <c r="G90" s="133"/>
    </row>
    <row r="91" spans="1:7" x14ac:dyDescent="0.3">
      <c r="A91" s="301" t="s">
        <v>24</v>
      </c>
      <c r="B91" s="301" t="s">
        <v>23</v>
      </c>
      <c r="C91" s="301">
        <v>97.227789999999999</v>
      </c>
      <c r="D91" s="301" t="s">
        <v>464</v>
      </c>
      <c r="E91" s="301" t="s">
        <v>462</v>
      </c>
      <c r="F91" s="133">
        <v>20</v>
      </c>
      <c r="G91" s="133">
        <v>95</v>
      </c>
    </row>
    <row r="92" spans="1:7" x14ac:dyDescent="0.3">
      <c r="A92" s="301" t="s">
        <v>132</v>
      </c>
      <c r="B92" s="301" t="s">
        <v>131</v>
      </c>
      <c r="C92" s="301" t="s">
        <v>787</v>
      </c>
      <c r="D92" s="301" t="s">
        <v>464</v>
      </c>
      <c r="E92" s="301" t="s">
        <v>787</v>
      </c>
      <c r="F92" s="133">
        <v>0</v>
      </c>
      <c r="G92" s="133">
        <v>0</v>
      </c>
    </row>
    <row r="93" spans="1:7" x14ac:dyDescent="0.3">
      <c r="A93" s="301" t="s">
        <v>227</v>
      </c>
      <c r="B93" s="301" t="s">
        <v>226</v>
      </c>
      <c r="C93" s="301">
        <v>97.416826999999998</v>
      </c>
      <c r="D93" s="301" t="s">
        <v>464</v>
      </c>
      <c r="E93" s="301" t="s">
        <v>787</v>
      </c>
      <c r="F93" s="133"/>
      <c r="G93" s="133"/>
    </row>
    <row r="94" spans="1:7" x14ac:dyDescent="0.3">
      <c r="A94" s="301" t="s">
        <v>875</v>
      </c>
      <c r="B94" s="301" t="s">
        <v>872</v>
      </c>
      <c r="C94" s="301">
        <v>97.239130000000003</v>
      </c>
      <c r="D94" s="301" t="s">
        <v>464</v>
      </c>
      <c r="E94" s="301" t="s">
        <v>462</v>
      </c>
      <c r="F94" s="133"/>
      <c r="G94" s="133"/>
    </row>
    <row r="95" spans="1:7" x14ac:dyDescent="0.3">
      <c r="A95" s="301" t="s">
        <v>134</v>
      </c>
      <c r="B95" s="301" t="s">
        <v>133</v>
      </c>
      <c r="C95" s="301" t="s">
        <v>787</v>
      </c>
      <c r="D95" s="301" t="s">
        <v>464</v>
      </c>
      <c r="E95" s="301" t="s">
        <v>787</v>
      </c>
      <c r="F95" s="133"/>
      <c r="G95" s="133"/>
    </row>
    <row r="96" spans="1:7" x14ac:dyDescent="0.3">
      <c r="A96" s="301" t="s">
        <v>795</v>
      </c>
      <c r="B96" s="301" t="s">
        <v>783</v>
      </c>
      <c r="C96" s="301" t="s">
        <v>787</v>
      </c>
      <c r="D96" s="301" t="s">
        <v>464</v>
      </c>
      <c r="E96" s="301" t="s">
        <v>787</v>
      </c>
      <c r="F96" s="133">
        <v>0</v>
      </c>
      <c r="G96" s="133">
        <v>0</v>
      </c>
    </row>
    <row r="97" spans="1:7" x14ac:dyDescent="0.3">
      <c r="A97" s="301" t="s">
        <v>310</v>
      </c>
      <c r="B97" s="301" t="s">
        <v>308</v>
      </c>
      <c r="C97" s="301">
        <v>97.438259000000002</v>
      </c>
      <c r="D97" s="301" t="s">
        <v>464</v>
      </c>
      <c r="E97" s="301" t="s">
        <v>424</v>
      </c>
      <c r="F97" s="133"/>
      <c r="G97" s="133"/>
    </row>
    <row r="98" spans="1:7" x14ac:dyDescent="0.3">
      <c r="A98" s="301" t="s">
        <v>64</v>
      </c>
      <c r="B98" s="301" t="s">
        <v>63</v>
      </c>
      <c r="C98" s="301">
        <v>96.288250000000005</v>
      </c>
      <c r="D98" s="301" t="s">
        <v>464</v>
      </c>
      <c r="E98" s="301" t="s">
        <v>934</v>
      </c>
      <c r="F98" s="133"/>
      <c r="G98" s="133"/>
    </row>
    <row r="99" spans="1:7" x14ac:dyDescent="0.3">
      <c r="A99" s="301" t="s">
        <v>37</v>
      </c>
      <c r="B99" s="301" t="s">
        <v>36</v>
      </c>
      <c r="C99" s="301" t="s">
        <v>787</v>
      </c>
      <c r="D99" s="301" t="s">
        <v>464</v>
      </c>
      <c r="E99" s="301" t="s">
        <v>787</v>
      </c>
      <c r="F99" s="133"/>
      <c r="G99" s="133"/>
    </row>
    <row r="100" spans="1:7" x14ac:dyDescent="0.3">
      <c r="A100" s="301" t="s">
        <v>74</v>
      </c>
      <c r="B100" s="301" t="s">
        <v>73</v>
      </c>
      <c r="C100" s="301" t="s">
        <v>787</v>
      </c>
      <c r="D100" s="301" t="s">
        <v>464</v>
      </c>
      <c r="E100" s="301" t="s">
        <v>787</v>
      </c>
      <c r="F100" s="133"/>
      <c r="G100" s="133"/>
    </row>
    <row r="101" spans="1:7" x14ac:dyDescent="0.3">
      <c r="A101" s="301" t="s">
        <v>282</v>
      </c>
      <c r="B101" s="301" t="s">
        <v>281</v>
      </c>
      <c r="C101" s="301">
        <v>97.403878500000005</v>
      </c>
      <c r="D101" s="301" t="s">
        <v>464</v>
      </c>
      <c r="E101" s="301" t="s">
        <v>462</v>
      </c>
      <c r="F101" s="133">
        <v>7</v>
      </c>
      <c r="G101" s="133">
        <v>37</v>
      </c>
    </row>
    <row r="102" spans="1:7" x14ac:dyDescent="0.3">
      <c r="A102" s="301" t="s">
        <v>26</v>
      </c>
      <c r="B102" s="301" t="s">
        <v>25</v>
      </c>
      <c r="C102" s="301">
        <v>97.240639999999999</v>
      </c>
      <c r="D102" s="301" t="s">
        <v>464</v>
      </c>
      <c r="E102" s="301" t="s">
        <v>462</v>
      </c>
      <c r="F102" s="133">
        <v>11</v>
      </c>
      <c r="G102" s="133">
        <v>63</v>
      </c>
    </row>
    <row r="103" spans="1:7" x14ac:dyDescent="0.3">
      <c r="A103" s="301" t="s">
        <v>467</v>
      </c>
      <c r="B103" s="301" t="s">
        <v>468</v>
      </c>
      <c r="C103" s="301">
        <v>96.315601999999998</v>
      </c>
      <c r="D103" s="301" t="s">
        <v>464</v>
      </c>
      <c r="E103" s="301" t="s">
        <v>787</v>
      </c>
      <c r="F103" s="133">
        <v>0</v>
      </c>
      <c r="G103" s="133">
        <v>0</v>
      </c>
    </row>
    <row r="104" spans="1:7" x14ac:dyDescent="0.3">
      <c r="A104" s="301" t="s">
        <v>954</v>
      </c>
      <c r="B104" s="301" t="s">
        <v>955</v>
      </c>
      <c r="C104" s="301">
        <v>96.637</v>
      </c>
      <c r="D104" s="301" t="s">
        <v>464</v>
      </c>
      <c r="E104" s="301" t="s">
        <v>424</v>
      </c>
      <c r="F104" s="133"/>
      <c r="G104" s="133"/>
    </row>
    <row r="105" spans="1:7" x14ac:dyDescent="0.3">
      <c r="A105" s="301" t="s">
        <v>1031</v>
      </c>
      <c r="B105" s="301" t="s">
        <v>357</v>
      </c>
      <c r="C105" s="301">
        <v>97.421104</v>
      </c>
      <c r="D105" s="301" t="s">
        <v>464</v>
      </c>
      <c r="E105" s="301" t="s">
        <v>787</v>
      </c>
      <c r="F105" s="133"/>
      <c r="G105" s="133"/>
    </row>
    <row r="106" spans="1:7" x14ac:dyDescent="0.3">
      <c r="A106" s="301" t="s">
        <v>1032</v>
      </c>
      <c r="B106" s="301" t="s">
        <v>358</v>
      </c>
      <c r="C106" s="301" t="s">
        <v>787</v>
      </c>
      <c r="D106" s="301" t="s">
        <v>464</v>
      </c>
      <c r="E106" s="301" t="s">
        <v>787</v>
      </c>
      <c r="F106" s="133"/>
      <c r="G106" s="133"/>
    </row>
    <row r="107" spans="1:7" x14ac:dyDescent="0.3">
      <c r="A107" s="301" t="s">
        <v>1033</v>
      </c>
      <c r="B107" s="301" t="s">
        <v>313</v>
      </c>
      <c r="C107" s="301">
        <v>97.551507000000001</v>
      </c>
      <c r="D107" s="301" t="s">
        <v>466</v>
      </c>
      <c r="E107" s="301" t="s">
        <v>934</v>
      </c>
      <c r="F107" s="133">
        <v>0</v>
      </c>
      <c r="G107" s="133">
        <v>0</v>
      </c>
    </row>
    <row r="108" spans="1:7" x14ac:dyDescent="0.3">
      <c r="A108" s="301" t="s">
        <v>1030</v>
      </c>
      <c r="B108" s="301" t="s">
        <v>354</v>
      </c>
      <c r="C108" s="301">
        <v>97.756789999999995</v>
      </c>
      <c r="D108" s="301" t="s">
        <v>466</v>
      </c>
      <c r="E108" s="301" t="s">
        <v>424</v>
      </c>
      <c r="F108" s="133"/>
      <c r="G108" s="133"/>
    </row>
    <row r="109" spans="1:7" x14ac:dyDescent="0.3">
      <c r="A109" s="301" t="s">
        <v>1061</v>
      </c>
      <c r="B109" s="301" t="s">
        <v>1053</v>
      </c>
      <c r="C109" s="301">
        <v>96.793999999999997</v>
      </c>
      <c r="D109" s="301" t="s">
        <v>464</v>
      </c>
      <c r="E109" s="301" t="s">
        <v>787</v>
      </c>
      <c r="F109" s="133"/>
      <c r="G109" s="133"/>
    </row>
    <row r="110" spans="1:7" x14ac:dyDescent="0.3">
      <c r="A110" s="301" t="s">
        <v>1052</v>
      </c>
      <c r="B110" s="301" t="s">
        <v>1055</v>
      </c>
      <c r="C110" s="301">
        <v>96.942279999999997</v>
      </c>
      <c r="D110" s="301" t="s">
        <v>464</v>
      </c>
      <c r="E110" s="301" t="s">
        <v>787</v>
      </c>
      <c r="F110" s="133">
        <v>6</v>
      </c>
      <c r="G110" s="133">
        <v>31</v>
      </c>
    </row>
    <row r="111" spans="1:7" x14ac:dyDescent="0.3">
      <c r="A111" s="301" t="s">
        <v>1078</v>
      </c>
      <c r="B111" s="301" t="s">
        <v>1079</v>
      </c>
      <c r="C111" s="301">
        <v>97.461271999999994</v>
      </c>
      <c r="D111" s="301" t="s">
        <v>464</v>
      </c>
      <c r="E111" s="301" t="s">
        <v>787</v>
      </c>
      <c r="F111" s="133"/>
      <c r="G111" s="133"/>
    </row>
    <row r="112" spans="1:7" x14ac:dyDescent="0.3">
      <c r="A112" s="301" t="s">
        <v>1131</v>
      </c>
      <c r="B112" s="301" t="s">
        <v>1132</v>
      </c>
      <c r="C112" s="301">
        <v>96.637</v>
      </c>
      <c r="D112" s="301" t="s">
        <v>464</v>
      </c>
      <c r="E112" s="301" t="s">
        <v>787</v>
      </c>
      <c r="F112" s="133"/>
      <c r="G112" s="133"/>
    </row>
    <row r="113" spans="1:7" x14ac:dyDescent="0.3">
      <c r="A113" s="301" t="s">
        <v>1127</v>
      </c>
      <c r="B113" s="301" t="s">
        <v>1122</v>
      </c>
      <c r="C113" s="301">
        <v>97.504999999999995</v>
      </c>
      <c r="D113" s="301" t="s">
        <v>464</v>
      </c>
      <c r="E113" s="301" t="s">
        <v>787</v>
      </c>
      <c r="F113" s="133"/>
      <c r="G113" s="133"/>
    </row>
    <row r="114" spans="1:7" x14ac:dyDescent="0.3">
      <c r="A114" s="301" t="s">
        <v>1138</v>
      </c>
      <c r="B114" s="301" t="s">
        <v>1121</v>
      </c>
      <c r="C114" s="301" t="s">
        <v>787</v>
      </c>
      <c r="D114" s="301" t="s">
        <v>464</v>
      </c>
      <c r="E114" s="301" t="s">
        <v>1311</v>
      </c>
      <c r="F114" s="133">
        <v>36</v>
      </c>
      <c r="G114" s="133">
        <v>188</v>
      </c>
    </row>
    <row r="115" spans="1:7" x14ac:dyDescent="0.3">
      <c r="A115" s="301" t="s">
        <v>1141</v>
      </c>
      <c r="B115" s="301" t="s">
        <v>1125</v>
      </c>
      <c r="C115" s="301">
        <v>98.221000000000004</v>
      </c>
      <c r="D115" s="301" t="s">
        <v>464</v>
      </c>
      <c r="E115" s="301" t="s">
        <v>787</v>
      </c>
      <c r="F115" s="133"/>
      <c r="G115" s="133"/>
    </row>
    <row r="116" spans="1:7" x14ac:dyDescent="0.3">
      <c r="A116" s="301" t="s">
        <v>1152</v>
      </c>
      <c r="B116" s="301" t="s">
        <v>1158</v>
      </c>
      <c r="C116" s="301">
        <v>96.662092000000001</v>
      </c>
      <c r="D116" s="301" t="s">
        <v>464</v>
      </c>
      <c r="E116" s="301" t="s">
        <v>787</v>
      </c>
      <c r="F116" s="133"/>
      <c r="G116" s="133"/>
    </row>
    <row r="117" spans="1:7" x14ac:dyDescent="0.3">
      <c r="A117" s="301" t="s">
        <v>1153</v>
      </c>
      <c r="B117" s="301" t="s">
        <v>1160</v>
      </c>
      <c r="C117" s="301">
        <v>96.662092000000001</v>
      </c>
      <c r="D117" s="301" t="s">
        <v>464</v>
      </c>
      <c r="E117" s="301" t="s">
        <v>787</v>
      </c>
      <c r="F117" s="133"/>
      <c r="G117" s="133"/>
    </row>
    <row r="118" spans="1:7" x14ac:dyDescent="0.3">
      <c r="A118" s="301" t="s">
        <v>1184</v>
      </c>
      <c r="B118" s="301" t="s">
        <v>1167</v>
      </c>
      <c r="C118" s="301">
        <v>97.400671000000003</v>
      </c>
      <c r="D118" s="301" t="s">
        <v>464</v>
      </c>
      <c r="E118" s="301" t="s">
        <v>787</v>
      </c>
      <c r="F118" s="133"/>
      <c r="G118" s="133"/>
    </row>
    <row r="119" spans="1:7" x14ac:dyDescent="0.3">
      <c r="A119" s="301" t="s">
        <v>1186</v>
      </c>
      <c r="B119" s="301" t="s">
        <v>1168</v>
      </c>
      <c r="C119" s="301" t="s">
        <v>787</v>
      </c>
      <c r="D119" s="301" t="s">
        <v>464</v>
      </c>
      <c r="E119" s="301" t="s">
        <v>787</v>
      </c>
      <c r="F119" s="133">
        <v>13</v>
      </c>
      <c r="G119" s="133">
        <v>45</v>
      </c>
    </row>
    <row r="120" spans="1:7" x14ac:dyDescent="0.3">
      <c r="A120" s="301" t="s">
        <v>1187</v>
      </c>
      <c r="B120" s="301" t="s">
        <v>1169</v>
      </c>
      <c r="C120" s="301" t="s">
        <v>787</v>
      </c>
      <c r="D120" s="301" t="s">
        <v>464</v>
      </c>
      <c r="E120" s="301" t="s">
        <v>787</v>
      </c>
      <c r="F120" s="133"/>
      <c r="G120" s="133"/>
    </row>
    <row r="121" spans="1:7" x14ac:dyDescent="0.3">
      <c r="A121" s="301" t="s">
        <v>1188</v>
      </c>
      <c r="B121" s="301" t="s">
        <v>1170</v>
      </c>
      <c r="C121" s="301" t="s">
        <v>787</v>
      </c>
      <c r="D121" s="301" t="s">
        <v>464</v>
      </c>
      <c r="E121" s="301" t="s">
        <v>787</v>
      </c>
      <c r="F121" s="133"/>
      <c r="G121" s="133"/>
    </row>
    <row r="122" spans="1:7" x14ac:dyDescent="0.3">
      <c r="A122" s="301" t="s">
        <v>1196</v>
      </c>
      <c r="B122" s="301" t="s">
        <v>1172</v>
      </c>
      <c r="C122" s="301" t="s">
        <v>787</v>
      </c>
      <c r="D122" s="301" t="s">
        <v>464</v>
      </c>
      <c r="E122" s="301" t="s">
        <v>787</v>
      </c>
      <c r="F122" s="133"/>
      <c r="G122" s="133"/>
    </row>
    <row r="123" spans="1:7" x14ac:dyDescent="0.3">
      <c r="A123" s="301" t="s">
        <v>1206</v>
      </c>
      <c r="B123" s="301" t="s">
        <v>1173</v>
      </c>
      <c r="C123" s="301" t="s">
        <v>787</v>
      </c>
      <c r="D123" s="301" t="s">
        <v>464</v>
      </c>
      <c r="E123" s="301" t="s">
        <v>787</v>
      </c>
      <c r="F123" s="133"/>
      <c r="G123" s="133"/>
    </row>
    <row r="124" spans="1:7" x14ac:dyDescent="0.3">
      <c r="A124" s="301" t="s">
        <v>1207</v>
      </c>
      <c r="B124" s="301" t="s">
        <v>1174</v>
      </c>
      <c r="C124" s="301" t="s">
        <v>787</v>
      </c>
      <c r="D124" s="301" t="s">
        <v>464</v>
      </c>
      <c r="E124" s="301" t="s">
        <v>787</v>
      </c>
      <c r="F124" s="133"/>
      <c r="G124" s="133"/>
    </row>
    <row r="125" spans="1:7" x14ac:dyDescent="0.3">
      <c r="A125" s="301" t="s">
        <v>1197</v>
      </c>
      <c r="B125" s="301" t="s">
        <v>1175</v>
      </c>
      <c r="C125" s="301" t="s">
        <v>787</v>
      </c>
      <c r="D125" s="301" t="s">
        <v>464</v>
      </c>
      <c r="E125" s="301" t="s">
        <v>787</v>
      </c>
      <c r="F125" s="133"/>
      <c r="G125" s="133"/>
    </row>
    <row r="126" spans="1:7" x14ac:dyDescent="0.3">
      <c r="A126" s="301" t="s">
        <v>1208</v>
      </c>
      <c r="B126" s="301" t="s">
        <v>1176</v>
      </c>
      <c r="C126" s="301" t="s">
        <v>787</v>
      </c>
      <c r="D126" s="301" t="s">
        <v>464</v>
      </c>
      <c r="E126" s="301" t="s">
        <v>787</v>
      </c>
      <c r="F126" s="133"/>
      <c r="G126" s="133"/>
    </row>
    <row r="127" spans="1:7" x14ac:dyDescent="0.3">
      <c r="A127" s="301" t="s">
        <v>1212</v>
      </c>
      <c r="B127" s="301" t="s">
        <v>1177</v>
      </c>
      <c r="C127" s="301" t="s">
        <v>787</v>
      </c>
      <c r="D127" s="301" t="s">
        <v>464</v>
      </c>
      <c r="E127" s="301" t="s">
        <v>787</v>
      </c>
      <c r="F127" s="133"/>
      <c r="G127" s="133"/>
    </row>
    <row r="128" spans="1:7" x14ac:dyDescent="0.3">
      <c r="A128" s="301" t="s">
        <v>1190</v>
      </c>
      <c r="B128" s="301" t="s">
        <v>1178</v>
      </c>
      <c r="C128" s="301" t="s">
        <v>787</v>
      </c>
      <c r="D128" s="301" t="s">
        <v>464</v>
      </c>
      <c r="E128" s="301" t="s">
        <v>787</v>
      </c>
      <c r="F128" s="133"/>
      <c r="G128" s="133"/>
    </row>
    <row r="129" spans="1:7" x14ac:dyDescent="0.3">
      <c r="A129" s="301" t="s">
        <v>1191</v>
      </c>
      <c r="B129" s="301" t="s">
        <v>1179</v>
      </c>
      <c r="C129" s="301" t="s">
        <v>787</v>
      </c>
      <c r="D129" s="301" t="s">
        <v>464</v>
      </c>
      <c r="E129" s="301" t="s">
        <v>787</v>
      </c>
      <c r="F129" s="133"/>
      <c r="G129" s="133"/>
    </row>
    <row r="130" spans="1:7" x14ac:dyDescent="0.3">
      <c r="A130" s="301" t="s">
        <v>1192</v>
      </c>
      <c r="B130" s="301" t="s">
        <v>1180</v>
      </c>
      <c r="C130" s="301" t="s">
        <v>787</v>
      </c>
      <c r="D130" s="301" t="s">
        <v>464</v>
      </c>
      <c r="E130" s="301" t="s">
        <v>787</v>
      </c>
      <c r="F130" s="133"/>
      <c r="G130" s="133"/>
    </row>
    <row r="131" spans="1:7" x14ac:dyDescent="0.3">
      <c r="A131" s="301" t="s">
        <v>1193</v>
      </c>
      <c r="B131" s="301" t="s">
        <v>1181</v>
      </c>
      <c r="C131" s="301" t="s">
        <v>787</v>
      </c>
      <c r="D131" s="301" t="s">
        <v>464</v>
      </c>
      <c r="E131" s="301" t="s">
        <v>787</v>
      </c>
      <c r="F131" s="133"/>
      <c r="G131" s="133"/>
    </row>
    <row r="132" spans="1:7" x14ac:dyDescent="0.3">
      <c r="A132" s="301" t="s">
        <v>1194</v>
      </c>
      <c r="B132" s="301" t="s">
        <v>1182</v>
      </c>
      <c r="C132" s="301" t="s">
        <v>787</v>
      </c>
      <c r="D132" s="301" t="s">
        <v>464</v>
      </c>
      <c r="E132" s="301" t="s">
        <v>787</v>
      </c>
      <c r="F132" s="133"/>
      <c r="G132" s="133"/>
    </row>
    <row r="133" spans="1:7" x14ac:dyDescent="0.3">
      <c r="A133" s="301" t="s">
        <v>1386</v>
      </c>
      <c r="B133" s="301" t="s">
        <v>1398</v>
      </c>
      <c r="C133" s="301" t="s">
        <v>787</v>
      </c>
      <c r="D133" s="301" t="s">
        <v>464</v>
      </c>
      <c r="E133" s="301" t="s">
        <v>1311</v>
      </c>
      <c r="F133" s="133">
        <v>42</v>
      </c>
      <c r="G133" s="133">
        <v>190</v>
      </c>
    </row>
    <row r="134" spans="1:7" x14ac:dyDescent="0.3">
      <c r="A134" s="301" t="s">
        <v>1511</v>
      </c>
      <c r="B134" s="301" t="s">
        <v>1535</v>
      </c>
      <c r="C134" s="301" t="s">
        <v>787</v>
      </c>
      <c r="D134" s="301" t="s">
        <v>464</v>
      </c>
      <c r="E134" s="301" t="s">
        <v>787</v>
      </c>
      <c r="F134" s="133">
        <v>245</v>
      </c>
      <c r="G134" s="133">
        <v>1084</v>
      </c>
    </row>
    <row r="135" spans="1:7" x14ac:dyDescent="0.3">
      <c r="A135" s="301" t="s">
        <v>1520</v>
      </c>
      <c r="B135" s="301" t="s">
        <v>1537</v>
      </c>
      <c r="C135" s="301" t="s">
        <v>787</v>
      </c>
      <c r="D135" s="301" t="s">
        <v>464</v>
      </c>
      <c r="E135" s="301" t="s">
        <v>1311</v>
      </c>
      <c r="F135" s="133">
        <v>25</v>
      </c>
      <c r="G135" s="133">
        <v>69</v>
      </c>
    </row>
    <row r="136" spans="1:7" x14ac:dyDescent="0.3">
      <c r="A136" s="301" t="s">
        <v>1634</v>
      </c>
      <c r="B136" s="301" t="s">
        <v>1619</v>
      </c>
      <c r="C136" s="301">
        <v>97.49136</v>
      </c>
      <c r="D136" s="301" t="s">
        <v>464</v>
      </c>
      <c r="E136" s="301" t="s">
        <v>1311</v>
      </c>
      <c r="F136" s="133">
        <v>229</v>
      </c>
      <c r="G136" s="133">
        <v>1247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D23"/>
  <sheetViews>
    <sheetView topLeftCell="A3" workbookViewId="0">
      <selection activeCell="D8" sqref="D4:D23"/>
      <pivotSelection pane="bottomRight" showHeader="1" axis="axisRow" dimension="3" activeRow="7" activeCol="3" previousRow="7" previousCol="3" click="1" r:id="rId1">
        <pivotArea dataOnly="0" labelOnly="1" outline="0" fieldPosition="0">
          <references count="1">
            <reference field="19" count="0"/>
          </references>
        </pivotArea>
      </pivotSelection>
    </sheetView>
  </sheetViews>
  <sheetFormatPr defaultRowHeight="14.4" x14ac:dyDescent="0.3"/>
  <cols>
    <col min="1" max="1" width="16.5546875" bestFit="1" customWidth="1"/>
    <col min="2" max="2" width="22.5546875" bestFit="1" customWidth="1"/>
    <col min="3" max="3" width="11.6640625" bestFit="1" customWidth="1"/>
    <col min="4" max="5" width="15.6640625" bestFit="1" customWidth="1"/>
    <col min="6" max="6" width="16.33203125" bestFit="1" customWidth="1"/>
    <col min="7" max="7" width="10.5546875" bestFit="1" customWidth="1"/>
  </cols>
  <sheetData>
    <row r="1" spans="1:4" hidden="1" x14ac:dyDescent="0.3">
      <c r="A1" s="137" t="s">
        <v>458</v>
      </c>
      <c r="B1" s="301" t="s">
        <v>460</v>
      </c>
    </row>
    <row r="2" spans="1:4" hidden="1" x14ac:dyDescent="0.3"/>
    <row r="3" spans="1:4" x14ac:dyDescent="0.3">
      <c r="A3" s="137" t="s">
        <v>399</v>
      </c>
      <c r="B3" s="137" t="s">
        <v>0</v>
      </c>
      <c r="C3" s="137" t="s">
        <v>463</v>
      </c>
      <c r="D3" s="137" t="s">
        <v>511</v>
      </c>
    </row>
    <row r="4" spans="1:4" x14ac:dyDescent="0.3">
      <c r="A4" s="301" t="s">
        <v>778</v>
      </c>
      <c r="B4" s="301" t="s">
        <v>5</v>
      </c>
      <c r="C4" s="301" t="s">
        <v>14</v>
      </c>
      <c r="D4" s="301" t="s">
        <v>13</v>
      </c>
    </row>
    <row r="5" spans="1:4" x14ac:dyDescent="0.3">
      <c r="C5" s="301" t="s">
        <v>18</v>
      </c>
      <c r="D5" s="301" t="s">
        <v>17</v>
      </c>
    </row>
    <row r="6" spans="1:4" x14ac:dyDescent="0.3">
      <c r="C6" s="301" t="s">
        <v>364</v>
      </c>
      <c r="D6" s="301" t="s">
        <v>374</v>
      </c>
    </row>
    <row r="7" spans="1:4" x14ac:dyDescent="0.3">
      <c r="C7" s="301" t="s">
        <v>22</v>
      </c>
      <c r="D7" s="301" t="s">
        <v>21</v>
      </c>
    </row>
    <row r="8" spans="1:4" x14ac:dyDescent="0.3">
      <c r="C8" s="301" t="s">
        <v>26</v>
      </c>
      <c r="D8" s="301" t="s">
        <v>25</v>
      </c>
    </row>
    <row r="9" spans="1:4" x14ac:dyDescent="0.3">
      <c r="B9" s="301" t="s">
        <v>146</v>
      </c>
      <c r="C9" s="301" t="s">
        <v>367</v>
      </c>
      <c r="D9" s="301" t="s">
        <v>381</v>
      </c>
    </row>
    <row r="10" spans="1:4" x14ac:dyDescent="0.3">
      <c r="C10" s="301" t="s">
        <v>368</v>
      </c>
      <c r="D10" s="301" t="s">
        <v>382</v>
      </c>
    </row>
    <row r="11" spans="1:4" x14ac:dyDescent="0.3">
      <c r="C11" s="301" t="s">
        <v>371</v>
      </c>
      <c r="D11" s="301" t="s">
        <v>385</v>
      </c>
    </row>
    <row r="12" spans="1:4" x14ac:dyDescent="0.3">
      <c r="B12" s="301" t="s">
        <v>151</v>
      </c>
      <c r="C12" s="301" t="s">
        <v>160</v>
      </c>
      <c r="D12" s="301" t="s">
        <v>159</v>
      </c>
    </row>
    <row r="13" spans="1:4" x14ac:dyDescent="0.3">
      <c r="C13" s="301" t="s">
        <v>152</v>
      </c>
      <c r="D13" s="301" t="s">
        <v>150</v>
      </c>
    </row>
    <row r="14" spans="1:4" x14ac:dyDescent="0.3">
      <c r="B14" s="301" t="s">
        <v>185</v>
      </c>
      <c r="C14" s="301" t="s">
        <v>202</v>
      </c>
      <c r="D14" s="301" t="s">
        <v>201</v>
      </c>
    </row>
    <row r="15" spans="1:4" x14ac:dyDescent="0.3">
      <c r="C15" s="301" t="s">
        <v>209</v>
      </c>
      <c r="D15" s="301" t="s">
        <v>208</v>
      </c>
    </row>
    <row r="16" spans="1:4" x14ac:dyDescent="0.3">
      <c r="B16" s="301" t="s">
        <v>230</v>
      </c>
      <c r="C16" s="301" t="s">
        <v>901</v>
      </c>
      <c r="D16" s="301" t="s">
        <v>902</v>
      </c>
    </row>
    <row r="17" spans="2:4" x14ac:dyDescent="0.3">
      <c r="C17" s="301" t="s">
        <v>911</v>
      </c>
      <c r="D17" s="301" t="s">
        <v>912</v>
      </c>
    </row>
    <row r="18" spans="2:4" x14ac:dyDescent="0.3">
      <c r="C18" s="301" t="s">
        <v>359</v>
      </c>
      <c r="D18" s="301" t="s">
        <v>771</v>
      </c>
    </row>
    <row r="19" spans="2:4" x14ac:dyDescent="0.3">
      <c r="B19" s="301" t="s">
        <v>288</v>
      </c>
      <c r="C19" s="301" t="s">
        <v>903</v>
      </c>
      <c r="D19" s="301" t="s">
        <v>904</v>
      </c>
    </row>
    <row r="20" spans="2:4" x14ac:dyDescent="0.3">
      <c r="C20" s="301" t="s">
        <v>915</v>
      </c>
      <c r="D20" s="301" t="s">
        <v>908</v>
      </c>
    </row>
    <row r="21" spans="2:4" x14ac:dyDescent="0.3">
      <c r="B21" s="301" t="s">
        <v>301</v>
      </c>
      <c r="C21" s="301" t="s">
        <v>305</v>
      </c>
      <c r="D21" s="301" t="s">
        <v>304</v>
      </c>
    </row>
    <row r="22" spans="2:4" x14ac:dyDescent="0.3">
      <c r="B22" s="301" t="s">
        <v>309</v>
      </c>
      <c r="C22" s="301" t="s">
        <v>351</v>
      </c>
      <c r="D22" s="301" t="s">
        <v>350</v>
      </c>
    </row>
    <row r="23" spans="2:4" x14ac:dyDescent="0.3">
      <c r="B23" s="301" t="s">
        <v>719</v>
      </c>
      <c r="C23" s="301" t="s">
        <v>1058</v>
      </c>
      <c r="D23" s="301" t="s">
        <v>1042</v>
      </c>
    </row>
  </sheetData>
  <pageMargins left="0.25" right="0.25" top="0.75" bottom="0.75" header="0.3" footer="0.3"/>
  <pageSetup paperSize="9"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10.xml>��< ? x m l   v e r s i o n = " 1 . 0 "   e n c o d i n g = " U T F - 1 6 " ? > < G e m i n i   x m l n s = " h t t p : / / g e m i n i / p i v o t c u s t o m i z a t i o n / L i n k e d T a b l e U p d a t e M o d e " > < C u s t o m C o n t e n t > < ! [ C D A T A [ T r u e ] ] > < / C u s t o m C o n t e n t > < / G e m i n i > 
</file>

<file path=customXml/item11.xml>��< ? x m l   v e r s i o n = " 1 . 0 "   e n c o d i n g = " U T F - 1 6 " ? > < G e m i n i   x m l n s = " h t t p : / / g e m i n i / p i v o t c u s t o m i z a t i o n / T a b l e O r d e r " > < C u s t o m C o n t e n t > < ! [ C D A T A [ ] ] > < / C u s t o m C o n t e n t > < / G e m i n i > 
</file>

<file path=customXml/item2.xml>��< ? x m l   v e r s i o n = " 1 . 0 "   e n c o d i n g = " U T F - 1 6 " ? > < G e m i n i   x m l n s = " h t t p : / / g e m i n i / p i v o t c u s t o m i z a t i o n / C l i e n t W i n d o w X M L " > < C u s t o m C o n t e n t > < ! [ C D A T A [ T a b l e _ C a m p L i s t ] ] > < / C u s t o m C o n t e n t > < / G e m i n i > 
</file>

<file path=customXml/item3.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4.xml>��< ? x m l   v e r s i o n = " 1 . 0 "   e n c o d i n g = " U T F - 1 6 " ? > < G e m i n i   x m l n s = " h t t p : / / g e m i n i / p i v o t c u s t o m i z a t i o n / M a n u a l C a l c M o d e " > < C u s t o m C o n t e n t > < ! [ C D A T A [ F a l s e ] ] > < / C u s t o m C o n t e n t > < / G e m i n i > 
</file>

<file path=customXml/item5.xml>��< ? x m l   v e r s i o n = " 1 . 0 "   e n c o d i n g = " U T F - 1 6 " ? > < G e m i n i   x m l n s = " h t t p : / / g e m i n i / w o r k b o o k c u s t o m i z a t i o n / R e l a t i o n s h i p A u t o D e t e c t i o n E n a b l e d " > < C u s t o m C o n t e n t > < ! [ C D A T A [ T r u e ] ] > < / C u s t o m C o n t e n t > < / G e m i n i > 
</file>

<file path=customXml/item6.xml>��< ? x m l   v e r s i o n = " 1 . 0 "   e n c o d i n g = " U T F - 1 6 " ? > < G e m i n i   x m l n s = " h t t p : / / g e m i n i / p i v o t c u s t o m i z a t i o n / T a b l e C o u n t I n S a n d b o x " > < C u s t o m C o n t e n t > < ! [ C D A T A [ 2 ] ] > < / C u s t o m C o n t e n t > < / G e m i n i > 
</file>

<file path=customXml/item7.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8.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9.xml>��< ? x m l   v e r s i o n = " 1 . 0 "   e n c o d i n g = " U T F - 1 6 " ? > < G e m i n i   x m l n s = " h t t p : / / g e m i n i / w o r k b o o k c u s t o m i z a t i o n / S a n d b o x N o n E m p t y " > < C u s t o m C o n t e n t > < ! [ C D A T A [ 1 ] ] > < / C u s t o m C o n t e n t > < / G e m i n i > 
</file>

<file path=customXml/itemProps1.xml><?xml version="1.0" encoding="utf-8"?>
<ds:datastoreItem xmlns:ds="http://schemas.openxmlformats.org/officeDocument/2006/customXml" ds:itemID="{21F44420-13F1-4F50-9105-F761EFC3AFFE}">
  <ds:schemaRefs/>
</ds:datastoreItem>
</file>

<file path=customXml/itemProps10.xml><?xml version="1.0" encoding="utf-8"?>
<ds:datastoreItem xmlns:ds="http://schemas.openxmlformats.org/officeDocument/2006/customXml" ds:itemID="{29F038A7-53D4-43C9-BA81-F04FA320B26C}">
  <ds:schemaRefs/>
</ds:datastoreItem>
</file>

<file path=customXml/itemProps11.xml><?xml version="1.0" encoding="utf-8"?>
<ds:datastoreItem xmlns:ds="http://schemas.openxmlformats.org/officeDocument/2006/customXml" ds:itemID="{69B4A3EE-0A3F-4462-99AB-FF7F45263C2E}">
  <ds:schemaRefs/>
</ds:datastoreItem>
</file>

<file path=customXml/itemProps2.xml><?xml version="1.0" encoding="utf-8"?>
<ds:datastoreItem xmlns:ds="http://schemas.openxmlformats.org/officeDocument/2006/customXml" ds:itemID="{813269B1-46E6-446B-AAFD-6C3C2E019447}">
  <ds:schemaRefs/>
</ds:datastoreItem>
</file>

<file path=customXml/itemProps3.xml><?xml version="1.0" encoding="utf-8"?>
<ds:datastoreItem xmlns:ds="http://schemas.openxmlformats.org/officeDocument/2006/customXml" ds:itemID="{54F841B6-B55C-4835-A603-634668231C4E}">
  <ds:schemaRefs/>
</ds:datastoreItem>
</file>

<file path=customXml/itemProps4.xml><?xml version="1.0" encoding="utf-8"?>
<ds:datastoreItem xmlns:ds="http://schemas.openxmlformats.org/officeDocument/2006/customXml" ds:itemID="{EFDD4649-07B9-495C-8FFA-CE327D4258B8}">
  <ds:schemaRefs/>
</ds:datastoreItem>
</file>

<file path=customXml/itemProps5.xml><?xml version="1.0" encoding="utf-8"?>
<ds:datastoreItem xmlns:ds="http://schemas.openxmlformats.org/officeDocument/2006/customXml" ds:itemID="{C2BE83A5-448A-4B18-BB34-D729CAA9F86F}">
  <ds:schemaRefs/>
</ds:datastoreItem>
</file>

<file path=customXml/itemProps6.xml><?xml version="1.0" encoding="utf-8"?>
<ds:datastoreItem xmlns:ds="http://schemas.openxmlformats.org/officeDocument/2006/customXml" ds:itemID="{DB9160EE-0167-41E4-AC28-973692AB29DA}">
  <ds:schemaRefs/>
</ds:datastoreItem>
</file>

<file path=customXml/itemProps7.xml><?xml version="1.0" encoding="utf-8"?>
<ds:datastoreItem xmlns:ds="http://schemas.openxmlformats.org/officeDocument/2006/customXml" ds:itemID="{56F54182-A2E7-46D3-9B50-3EE12C2ED11C}">
  <ds:schemaRefs/>
</ds:datastoreItem>
</file>

<file path=customXml/itemProps8.xml><?xml version="1.0" encoding="utf-8"?>
<ds:datastoreItem xmlns:ds="http://schemas.openxmlformats.org/officeDocument/2006/customXml" ds:itemID="{3957C5D7-EFF0-44A3-9298-445924399827}">
  <ds:schemaRefs/>
</ds:datastoreItem>
</file>

<file path=customXml/itemProps9.xml><?xml version="1.0" encoding="utf-8"?>
<ds:datastoreItem xmlns:ds="http://schemas.openxmlformats.org/officeDocument/2006/customXml" ds:itemID="{D50E7055-9622-4A96-82B8-EBACB5B3962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55</vt:i4>
      </vt:variant>
    </vt:vector>
  </HeadingPairs>
  <TitlesOfParts>
    <vt:vector size="76" baseType="lpstr">
      <vt:lpstr>IDP locations</vt:lpstr>
      <vt:lpstr>DistanceToCamp</vt:lpstr>
      <vt:lpstr>Definition</vt:lpstr>
      <vt:lpstr>Graphs</vt:lpstr>
      <vt:lpstr>IDP location Analysis</vt:lpstr>
      <vt:lpstr>CCCM Dashboard</vt:lpstr>
      <vt:lpstr>Map</vt:lpstr>
      <vt:lpstr>ForGIS</vt:lpstr>
      <vt:lpstr>Shelter Cross Check</vt:lpstr>
      <vt:lpstr>IDP locations (printable)</vt:lpstr>
      <vt:lpstr>Relocation</vt:lpstr>
      <vt:lpstr>Shelter Gap Analysis</vt:lpstr>
      <vt:lpstr>Define_TCL</vt:lpstr>
      <vt:lpstr>Shelter Coverage Camp</vt:lpstr>
      <vt:lpstr>Shelter Solution</vt:lpstr>
      <vt:lpstr>Shelter overview</vt:lpstr>
      <vt:lpstr>NFI Stock and Pipeline</vt:lpstr>
      <vt:lpstr>NFI Distributions</vt:lpstr>
      <vt:lpstr>Winter Item</vt:lpstr>
      <vt:lpstr>NFI Summary</vt:lpstr>
      <vt:lpstr>data</vt:lpstr>
      <vt:lpstr>Map!AllData_Camplist</vt:lpstr>
      <vt:lpstr>'Shelter overview'!AllData_Camplist</vt:lpstr>
      <vt:lpstr>AllData_Camplist</vt:lpstr>
      <vt:lpstr>Camp_Accessibility</vt:lpstr>
      <vt:lpstr>Camp_List</vt:lpstr>
      <vt:lpstr>Camplist_HH</vt:lpstr>
      <vt:lpstr>Camplist_Popl</vt:lpstr>
      <vt:lpstr>CampList_Status</vt:lpstr>
      <vt:lpstr>Camplist_Township</vt:lpstr>
      <vt:lpstr>Camplist_Type_Of_Acc</vt:lpstr>
      <vt:lpstr>CL</vt:lpstr>
      <vt:lpstr>Kachin</vt:lpstr>
      <vt:lpstr>Kashin</vt:lpstr>
      <vt:lpstr>Map!Kyauk_Phyu_G</vt:lpstr>
      <vt:lpstr>NameTSPOP</vt:lpstr>
      <vt:lpstr>NFI</vt:lpstr>
      <vt:lpstr>NFI_Blanket_Track</vt:lpstr>
      <vt:lpstr>NFI_Clothes_Track</vt:lpstr>
      <vt:lpstr>NFI_Core_Track</vt:lpstr>
      <vt:lpstr>NFI_Hygiene_Track</vt:lpstr>
      <vt:lpstr>NFI_Kitchen_Track</vt:lpstr>
      <vt:lpstr>NFI_Monitor_Date</vt:lpstr>
      <vt:lpstr>NFI_Month</vt:lpstr>
      <vt:lpstr>NFI_Mosquito_Track</vt:lpstr>
      <vt:lpstr>NFI_Org</vt:lpstr>
      <vt:lpstr>NFI_Plastic_Bucket_Track</vt:lpstr>
      <vt:lpstr>NFI_Plastic_Mat_Track</vt:lpstr>
      <vt:lpstr>NFI_Sanitary_Track</vt:lpstr>
      <vt:lpstr>NFI_State</vt:lpstr>
      <vt:lpstr>NFI_Tarpaulin_Track</vt:lpstr>
      <vt:lpstr>NFI_Township</vt:lpstr>
      <vt:lpstr>NFI_Winter_Blanket_Track</vt:lpstr>
      <vt:lpstr>NFI_Winter_Clothes_Adult_Track</vt:lpstr>
      <vt:lpstr>NFI_Winter_Clothes_Children_Track</vt:lpstr>
      <vt:lpstr>NFI_Winter_Items_Other_Track</vt:lpstr>
      <vt:lpstr>Pcode_Priority</vt:lpstr>
      <vt:lpstr>'CCCM Dashboard'!Print_Area</vt:lpstr>
      <vt:lpstr>'IDP location Analysis'!Print_Area</vt:lpstr>
      <vt:lpstr>'IDP locations'!Print_Area</vt:lpstr>
      <vt:lpstr>Map!Print_Area</vt:lpstr>
      <vt:lpstr>'NFI Distributions'!Print_Area</vt:lpstr>
      <vt:lpstr>'NFI Summary'!Print_Area</vt:lpstr>
      <vt:lpstr>'Shelter overview'!Print_Area</vt:lpstr>
      <vt:lpstr>'IDP locations (printable)'!Print_Titles</vt:lpstr>
      <vt:lpstr>'Shelter Cross Check'!Print_Titles</vt:lpstr>
      <vt:lpstr>PriorityCampWin</vt:lpstr>
      <vt:lpstr>Map!Rakhine_DB</vt:lpstr>
      <vt:lpstr>Report_Date</vt:lpstr>
      <vt:lpstr>Shan_North</vt:lpstr>
      <vt:lpstr>Stat01</vt:lpstr>
      <vt:lpstr>State</vt:lpstr>
      <vt:lpstr>TCL_C</vt:lpstr>
      <vt:lpstr>TCL_T</vt:lpstr>
      <vt:lpstr>TCL_T1</vt:lpstr>
      <vt:lpstr>WinAccomo</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Deepika Bhardwaj</cp:lastModifiedBy>
  <cp:lastPrinted>2019-03-16T01:55:16Z</cp:lastPrinted>
  <dcterms:created xsi:type="dcterms:W3CDTF">2013-03-18T02:36:38Z</dcterms:created>
  <dcterms:modified xsi:type="dcterms:W3CDTF">2019-05-20T10:31:50Z</dcterms:modified>
</cp:coreProperties>
</file>